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" state="visible" r:id="rId4"/>
    <sheet sheetId="2" name="Schedule" state="visible" r:id="rId5"/>
  </sheets>
  <calcPr calcId="171027" fullCalcOnLoad="1"/>
</workbook>
</file>

<file path=xl/sharedStrings.xml><?xml version="1.0" encoding="utf-8"?>
<sst xmlns="http://schemas.openxmlformats.org/spreadsheetml/2006/main" count="84" uniqueCount="47">
  <si>
    <t>Debt snowball spreadsheet</t>
  </si>
  <si>
    <t>Type your numbers in the blue cells. The Schedule sheet shows every month.</t>
  </si>
  <si>
    <t>Free from debtpayoff.app</t>
  </si>
  <si>
    <t>Settings</t>
  </si>
  <si>
    <t>Method</t>
  </si>
  <si>
    <t>Snowball</t>
  </si>
  <si>
    <t>Snowball or Avalanche</t>
  </si>
  <si>
    <t>Monthly budget</t>
  </si>
  <si>
    <t>All you pay toward your debts each month</t>
  </si>
  <si>
    <t>Start date</t>
  </si>
  <si>
    <t>Date of your balances. The first payment is one month later.</t>
  </si>
  <si>
    <t>Minimum payments</t>
  </si>
  <si>
    <t>Extra each month</t>
  </si>
  <si>
    <t>Budget minus minimums. It goes to the first debt in the order.</t>
  </si>
  <si>
    <t>Results</t>
  </si>
  <si>
    <t>Debt-free month</t>
  </si>
  <si>
    <t>Months to debt-free</t>
  </si>
  <si>
    <t>Total interest</t>
  </si>
  <si>
    <t>Total paid</t>
  </si>
  <si>
    <t>Check</t>
  </si>
  <si>
    <t>Debts (up to 10)</t>
  </si>
  <si>
    <t>#</t>
  </si>
  <si>
    <t>Debt</t>
  </si>
  <si>
    <t>Balance</t>
  </si>
  <si>
    <t>APR %</t>
  </si>
  <si>
    <t>Minimum payment</t>
  </si>
  <si>
    <t>Order</t>
  </si>
  <si>
    <t>Months</t>
  </si>
  <si>
    <t>Paid off</t>
  </si>
  <si>
    <t>Interest paid</t>
  </si>
  <si>
    <t>Credit card</t>
  </si>
  <si>
    <t>Car loan</t>
  </si>
  <si>
    <t>Medical bill</t>
  </si>
  <si>
    <t>Total</t>
  </si>
  <si>
    <t>Month-by-month schedule</t>
  </si>
  <si>
    <t>Calculated from the Plan sheet. Change your numbers there.</t>
  </si>
  <si>
    <t>Minimum</t>
  </si>
  <si>
    <t>Starting balance</t>
  </si>
  <si>
    <t>Month</t>
  </si>
  <si>
    <t>Date</t>
  </si>
  <si>
    <t>Extra to #</t>
  </si>
  <si>
    <t>Extra goes to</t>
  </si>
  <si>
    <t>Rolled over</t>
  </si>
  <si>
    <t>Paid</t>
  </si>
  <si>
    <t>Interest</t>
  </si>
  <si>
    <t>Balance left</t>
  </si>
  <si>
    <t>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</si>
</sst>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mmm yyyy"/>
    <numFmt numFmtId="166" formatCode="0;-0;"/>
    <numFmt numFmtId="167" formatCode="#,##0.00;-#,##0.00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color rgb="FF555555"/>
    </font>
    <font>
      <u/>
      <color rgb="FF0B57D0"/>
    </font>
    <font>
      <b/>
      <sz val="13"/>
    </font>
    <font>
      <i/>
      <color rgb="FF6B6B6B"/>
    </font>
    <font>
      <b/>
    </font>
    <font>
      <color rgb="FF6B6B6B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9DC3E6"/>
      </left>
      <right style="thin">
        <color rgb="FF9DC3E6"/>
      </right>
      <top style="thin">
        <color rgb="FF9DC3E6"/>
      </top>
      <bottom style="thin">
        <color rgb="FF9DC3E6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5" fillId="0" borderId="0" xfId="0" applyFont="1"/>
    <xf numFmtId="4" fontId="0" fillId="2" borderId="1" xfId="0" applyNumberFormat="1" applyFill="1" applyBorder="1"/>
    <xf numFmtId="164" fontId="0" fillId="2" borderId="1" xfId="0" applyNumberFormat="1" applyFill="1" applyBorder="1"/>
    <xf numFmtId="4" fontId="0" fillId="0" borderId="0" xfId="0" applyNumberFormat="1"/>
    <xf numFmtId="165" fontId="6" fillId="0" borderId="0" xfId="0" applyNumberFormat="1" applyFont="1"/>
    <xf numFmtId="1" fontId="6" fillId="0" borderId="0" xfId="0" applyNumberFormat="1" applyFont="1"/>
    <xf numFmtId="4" fontId="6" fillId="0" borderId="0" xfId="0" applyNumberFormat="1" applyFont="1"/>
    <xf numFmtId="0" fontId="6" fillId="0" borderId="0" xfId="0" applyFont="1"/>
    <xf numFmtId="0" fontId="6" fillId="3" borderId="2" xfId="0" applyFont="1" applyFill="1" applyBorder="1" applyAlignment="1">
      <alignment vertical="bottom" wrapText="1"/>
    </xf>
    <xf numFmtId="0" fontId="7" fillId="0" borderId="0" xfId="0" applyFont="1"/>
    <xf numFmtId="2" fontId="0" fillId="2" borderId="1" xfId="0" applyNumberFormat="1" applyFill="1" applyBorder="1"/>
    <xf numFmtId="1" fontId="0" fillId="0" borderId="0" xfId="0" applyNumberFormat="1"/>
    <xf numFmtId="165" fontId="0" fillId="0" borderId="0" xfId="0" applyNumberFormat="1"/>
    <xf numFmtId="0" fontId="6" fillId="0" borderId="3" xfId="0" applyFont="1" applyBorder="1"/>
    <xf numFmtId="4" fontId="6" fillId="0" borderId="3" xfId="0" applyNumberFormat="1" applyFont="1" applyBorder="1"/>
    <xf numFmtId="166" fontId="0" fillId="0" borderId="0" xfId="0" applyNumberFormat="1"/>
    <xf numFmtId="164" fontId="0" fillId="0" borderId="0" xfId="0" applyNumberFormat="1"/>
    <xf numFmtId="2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btpayoff.app/debt-snowball-spreadshe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FormatPr defaultRowHeight="15" outlineLevelRow="0" outlineLevelCol="0" x14ac:dyDescent="55"/>
  <cols>
    <col min="1" max="1" width="4" customWidth="1"/>
    <col min="2" max="2" width="22" customWidth="1"/>
    <col min="3" max="3" width="13" customWidth="1"/>
    <col min="5" max="5" width="12" customWidth="1"/>
    <col min="6" max="6" width="7" customWidth="1"/>
    <col min="7" max="7" width="8" customWidth="1"/>
    <col min="8" max="8" width="11" customWidth="1"/>
    <col min="9" max="9" width="13" customWidth="1"/>
    <col min="10" max="10" width="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2:2" x14ac:dyDescent="0.25">
      <c r="B4" s="4" t="s">
        <v>3</v>
      </c>
    </row>
    <row r="5" spans="2:4" x14ac:dyDescent="0.25">
      <c r="B5" t="s">
        <v>4</v>
      </c>
      <c r="C5" s="5" t="s">
        <v>5</v>
      </c>
      <c r="D5" s="6" t="s">
        <v>6</v>
      </c>
    </row>
    <row r="6" spans="2:4" x14ac:dyDescent="0.25">
      <c r="B6" t="s">
        <v>7</v>
      </c>
      <c r="C6" s="7">
        <v>480</v>
      </c>
      <c r="D6" s="6" t="s">
        <v>8</v>
      </c>
    </row>
    <row r="7" spans="2:4" x14ac:dyDescent="0.25">
      <c r="B7" t="s">
        <v>9</v>
      </c>
      <c r="C7" s="8">
        <f>TODAY()</f>
        <v>46300</v>
      </c>
      <c r="D7" s="6" t="s">
        <v>10</v>
      </c>
    </row>
    <row r="8" spans="2:3" x14ac:dyDescent="0.25">
      <c r="B8" t="s">
        <v>11</v>
      </c>
      <c r="C8" s="9">
        <f>ROUND(SUM(Schedule!I6:AL6),2)</f>
        <v>330</v>
      </c>
    </row>
    <row r="9" spans="2:4" x14ac:dyDescent="0.25">
      <c r="B9" t="s">
        <v>12</v>
      </c>
      <c r="C9" s="9">
        <f>C6-C8</f>
        <v>150</v>
      </c>
      <c r="D9" s="6" t="s">
        <v>13</v>
      </c>
    </row>
    <row r="10" spans="2:2" x14ac:dyDescent="0.25">
      <c r="B10" s="4" t="s">
        <v>14</v>
      </c>
    </row>
    <row r="11" spans="2:3" x14ac:dyDescent="0.25">
      <c r="B11" t="s">
        <v>15</v>
      </c>
      <c r="C11" s="10">
        <f>IF(C12&gt;0,EDATE(C7,C12),"")</f>
        <v>47213</v>
      </c>
    </row>
    <row r="12" spans="2:3" x14ac:dyDescent="0.25">
      <c r="B12" t="s">
        <v>16</v>
      </c>
      <c r="C12" s="11">
        <f>COUNTIF(Schedule!F11:F370,"&gt;0")</f>
        <v>30</v>
      </c>
    </row>
    <row r="13" spans="2:3" x14ac:dyDescent="0.25">
      <c r="B13" t="s">
        <v>17</v>
      </c>
      <c r="C13" s="12">
        <f>ROUND(SUM(Schedule!G11:G370),2)</f>
        <v>1618.61</v>
      </c>
    </row>
    <row r="14" spans="2:3" x14ac:dyDescent="0.25">
      <c r="B14" t="s">
        <v>18</v>
      </c>
      <c r="C14" s="12">
        <f>ROUND(SUM(Schedule!F11:F370),2)</f>
        <v>13908.61</v>
      </c>
    </row>
    <row r="15" spans="2:3" x14ac:dyDescent="0.25">
      <c r="B15" t="s">
        <v>19</v>
      </c>
      <c r="C15" s="13" t="str">
        <f>IF(COUNTIF(Schedule!I8:AL8,"&gt;0")=0,"Add your debts below.",IF(COUNTIF(Schedule!I9:AL9,"No minimum")&gt;0,"Add a minimum payment for each debt.",IF(C9&lt;0,"The budget is below the minimum payments.",IF(COUNTIF(Schedule!I9:AL9,"Too low")&gt;0,"A payment does not cover its interest. See the Check column.",IF(Schedule!H370&gt;0,"Not paid off in 360 months. Raise the budget.","OK")))))</f>
        <v>OK</v>
      </c>
    </row>
    <row r="17" spans="2:2" x14ac:dyDescent="0.25">
      <c r="B17" s="4" t="s">
        <v>20</v>
      </c>
    </row>
    <row r="18" ht="30" customHeight="1" spans="1:10" x14ac:dyDescent="0.25">
      <c r="A18" s="14" t="s">
        <v>21</v>
      </c>
      <c r="B18" s="14" t="s">
        <v>22</v>
      </c>
      <c r="C18" s="14" t="s">
        <v>23</v>
      </c>
      <c r="D18" s="14" t="s">
        <v>24</v>
      </c>
      <c r="E18" s="14" t="s">
        <v>25</v>
      </c>
      <c r="F18" s="14" t="s">
        <v>26</v>
      </c>
      <c r="G18" s="14" t="s">
        <v>27</v>
      </c>
      <c r="H18" s="14" t="s">
        <v>28</v>
      </c>
      <c r="I18" s="14" t="s">
        <v>29</v>
      </c>
      <c r="J18" s="14" t="s">
        <v>19</v>
      </c>
    </row>
    <row r="19" spans="1:10" x14ac:dyDescent="0.25">
      <c r="A19" s="15">
        <v>1</v>
      </c>
      <c r="B19" s="5" t="s">
        <v>30</v>
      </c>
      <c r="C19" s="7">
        <v>3250</v>
      </c>
      <c r="D19" s="16">
        <v>24.99</v>
      </c>
      <c r="E19" s="7">
        <v>95</v>
      </c>
      <c r="F19" s="17">
        <f>IF(Schedule!I5&gt;0,Schedule!I5,"")</f>
        <v>2</v>
      </c>
      <c r="G19" s="17">
        <f>IF(Schedule!I8&gt;0,COUNTIF(Schedule!I11:I370,"&gt;0"),"")</f>
        <v>18</v>
      </c>
      <c r="H19" s="18">
        <f>IF(Schedule!I8&gt;0,IF(Schedule!K370=0,EDATE($C$7,G19),""),"")</f>
        <v>46848</v>
      </c>
      <c r="I19" s="9">
        <f>IF(Schedule!I8&gt;0,ROUND(SUM(Schedule!J11:J370),2),"")</f>
        <v>759.82</v>
      </c>
      <c r="J19" t="str">
        <f>Schedule!I9</f>
        <v>OK</v>
      </c>
    </row>
    <row r="20" spans="1:10" x14ac:dyDescent="0.25">
      <c r="A20" s="15">
        <v>2</v>
      </c>
      <c r="B20" s="5" t="s">
        <v>31</v>
      </c>
      <c r="C20" s="7">
        <v>8400</v>
      </c>
      <c r="D20" s="16">
        <v>6.5</v>
      </c>
      <c r="E20" s="7">
        <v>210</v>
      </c>
      <c r="F20" s="17">
        <f>IF(Schedule!L5&gt;0,Schedule!L5,"")</f>
        <v>3</v>
      </c>
      <c r="G20" s="17">
        <f>IF(Schedule!L8&gt;0,COUNTIF(Schedule!L11:L370,"&gt;0"),"")</f>
        <v>30</v>
      </c>
      <c r="H20" s="18">
        <f>IF(Schedule!L8&gt;0,IF(Schedule!N370=0,EDATE($C$7,G20),""),"")</f>
        <v>47213</v>
      </c>
      <c r="I20" s="9">
        <f>IF(Schedule!L8&gt;0,ROUND(SUM(Schedule!M11:M370),2),"")</f>
        <v>858.79</v>
      </c>
      <c r="J20" t="str">
        <f>Schedule!L9</f>
        <v>OK</v>
      </c>
    </row>
    <row r="21" spans="1:10" x14ac:dyDescent="0.25">
      <c r="A21" s="15">
        <v>3</v>
      </c>
      <c r="B21" s="5" t="s">
        <v>32</v>
      </c>
      <c r="C21" s="7">
        <v>640</v>
      </c>
      <c r="D21" s="16">
        <v>0</v>
      </c>
      <c r="E21" s="7">
        <v>25</v>
      </c>
      <c r="F21" s="17">
        <f>IF(Schedule!O5&gt;0,Schedule!O5,"")</f>
        <v>1</v>
      </c>
      <c r="G21" s="17">
        <f>IF(Schedule!O8&gt;0,COUNTIF(Schedule!O11:O370,"&gt;0"),"")</f>
        <v>4</v>
      </c>
      <c r="H21" s="18">
        <f>IF(Schedule!O8&gt;0,IF(Schedule!Q370=0,EDATE($C$7,G21),""),"")</f>
        <v>46423</v>
      </c>
      <c r="I21" s="9">
        <f>IF(Schedule!O8&gt;0,ROUND(SUM(Schedule!P11:P370),2),"")</f>
        <v>0</v>
      </c>
      <c r="J21" t="str">
        <f>Schedule!O9</f>
        <v>OK</v>
      </c>
    </row>
    <row r="22" spans="1:10" x14ac:dyDescent="0.25">
      <c r="A22" s="15">
        <v>4</v>
      </c>
      <c r="B22" s="5"/>
      <c r="C22" s="7"/>
      <c r="D22" s="16"/>
      <c r="E22" s="7"/>
      <c r="F22" s="17" t="str">
        <f>IF(Schedule!R5&gt;0,Schedule!R5,"")</f>
        <v/>
      </c>
      <c r="G22" s="17" t="str">
        <f>IF(Schedule!R8&gt;0,COUNTIF(Schedule!R11:R370,"&gt;0"),"")</f>
        <v/>
      </c>
      <c r="H22" s="18" t="str">
        <f>IF(Schedule!R8&gt;0,IF(Schedule!T370=0,EDATE($C$7,G22),""),"")</f>
        <v/>
      </c>
      <c r="I22" s="9" t="str">
        <f>IF(Schedule!R8&gt;0,ROUND(SUM(Schedule!S11:S370),2),"")</f>
        <v/>
      </c>
      <c r="J22" t="str">
        <f>Schedule!R9</f>
        <v/>
      </c>
    </row>
    <row r="23" spans="1:10" x14ac:dyDescent="0.25">
      <c r="A23" s="15">
        <v>5</v>
      </c>
      <c r="B23" s="5"/>
      <c r="C23" s="7"/>
      <c r="D23" s="16"/>
      <c r="E23" s="7"/>
      <c r="F23" s="17" t="str">
        <f>IF(Schedule!U5&gt;0,Schedule!U5,"")</f>
        <v/>
      </c>
      <c r="G23" s="17" t="str">
        <f>IF(Schedule!U8&gt;0,COUNTIF(Schedule!U11:U370,"&gt;0"),"")</f>
        <v/>
      </c>
      <c r="H23" s="18" t="str">
        <f>IF(Schedule!U8&gt;0,IF(Schedule!W370=0,EDATE($C$7,G23),""),"")</f>
        <v/>
      </c>
      <c r="I23" s="9" t="str">
        <f>IF(Schedule!U8&gt;0,ROUND(SUM(Schedule!V11:V370),2),"")</f>
        <v/>
      </c>
      <c r="J23" t="str">
        <f>Schedule!U9</f>
        <v/>
      </c>
    </row>
    <row r="24" spans="1:10" x14ac:dyDescent="0.25">
      <c r="A24" s="15">
        <v>6</v>
      </c>
      <c r="B24" s="5"/>
      <c r="C24" s="7"/>
      <c r="D24" s="16"/>
      <c r="E24" s="7"/>
      <c r="F24" s="17" t="str">
        <f>IF(Schedule!X5&gt;0,Schedule!X5,"")</f>
        <v/>
      </c>
      <c r="G24" s="17" t="str">
        <f>IF(Schedule!X8&gt;0,COUNTIF(Schedule!X11:X370,"&gt;0"),"")</f>
        <v/>
      </c>
      <c r="H24" s="18" t="str">
        <f>IF(Schedule!X8&gt;0,IF(Schedule!Z370=0,EDATE($C$7,G24),""),"")</f>
        <v/>
      </c>
      <c r="I24" s="9" t="str">
        <f>IF(Schedule!X8&gt;0,ROUND(SUM(Schedule!Y11:Y370),2),"")</f>
        <v/>
      </c>
      <c r="J24" t="str">
        <f>Schedule!X9</f>
        <v/>
      </c>
    </row>
    <row r="25" spans="1:10" x14ac:dyDescent="0.25">
      <c r="A25" s="15">
        <v>7</v>
      </c>
      <c r="B25" s="5"/>
      <c r="C25" s="7"/>
      <c r="D25" s="16"/>
      <c r="E25" s="7"/>
      <c r="F25" s="17" t="str">
        <f>IF(Schedule!AA5&gt;0,Schedule!AA5,"")</f>
        <v/>
      </c>
      <c r="G25" s="17" t="str">
        <f>IF(Schedule!AA8&gt;0,COUNTIF(Schedule!AA11:AA370,"&gt;0"),"")</f>
        <v/>
      </c>
      <c r="H25" s="18" t="str">
        <f>IF(Schedule!AA8&gt;0,IF(Schedule!AC370=0,EDATE($C$7,G25),""),"")</f>
        <v/>
      </c>
      <c r="I25" s="9" t="str">
        <f>IF(Schedule!AA8&gt;0,ROUND(SUM(Schedule!AB11:AB370),2),"")</f>
        <v/>
      </c>
      <c r="J25" t="str">
        <f>Schedule!AA9</f>
        <v/>
      </c>
    </row>
    <row r="26" spans="1:10" x14ac:dyDescent="0.25">
      <c r="A26" s="15">
        <v>8</v>
      </c>
      <c r="B26" s="5"/>
      <c r="C26" s="7"/>
      <c r="D26" s="16"/>
      <c r="E26" s="7"/>
      <c r="F26" s="17" t="str">
        <f>IF(Schedule!AD5&gt;0,Schedule!AD5,"")</f>
        <v/>
      </c>
      <c r="G26" s="17" t="str">
        <f>IF(Schedule!AD8&gt;0,COUNTIF(Schedule!AD11:AD370,"&gt;0"),"")</f>
        <v/>
      </c>
      <c r="H26" s="18" t="str">
        <f>IF(Schedule!AD8&gt;0,IF(Schedule!AF370=0,EDATE($C$7,G26),""),"")</f>
        <v/>
      </c>
      <c r="I26" s="9" t="str">
        <f>IF(Schedule!AD8&gt;0,ROUND(SUM(Schedule!AE11:AE370),2),"")</f>
        <v/>
      </c>
      <c r="J26" t="str">
        <f>Schedule!AD9</f>
        <v/>
      </c>
    </row>
    <row r="27" spans="1:10" x14ac:dyDescent="0.25">
      <c r="A27" s="15">
        <v>9</v>
      </c>
      <c r="B27" s="5"/>
      <c r="C27" s="7"/>
      <c r="D27" s="16"/>
      <c r="E27" s="7"/>
      <c r="F27" s="17" t="str">
        <f>IF(Schedule!AG5&gt;0,Schedule!AG5,"")</f>
        <v/>
      </c>
      <c r="G27" s="17" t="str">
        <f>IF(Schedule!AG8&gt;0,COUNTIF(Schedule!AG11:AG370,"&gt;0"),"")</f>
        <v/>
      </c>
      <c r="H27" s="18" t="str">
        <f>IF(Schedule!AG8&gt;0,IF(Schedule!AI370=0,EDATE($C$7,G27),""),"")</f>
        <v/>
      </c>
      <c r="I27" s="9" t="str">
        <f>IF(Schedule!AG8&gt;0,ROUND(SUM(Schedule!AH11:AH370),2),"")</f>
        <v/>
      </c>
      <c r="J27" t="str">
        <f>Schedule!AG9</f>
        <v/>
      </c>
    </row>
    <row r="28" spans="1:10" x14ac:dyDescent="0.25">
      <c r="A28" s="15">
        <v>10</v>
      </c>
      <c r="B28" s="5"/>
      <c r="C28" s="7"/>
      <c r="D28" s="16"/>
      <c r="E28" s="7"/>
      <c r="F28" s="17" t="str">
        <f>IF(Schedule!AJ5&gt;0,Schedule!AJ5,"")</f>
        <v/>
      </c>
      <c r="G28" s="17" t="str">
        <f>IF(Schedule!AJ8&gt;0,COUNTIF(Schedule!AJ11:AJ370,"&gt;0"),"")</f>
        <v/>
      </c>
      <c r="H28" s="18" t="str">
        <f>IF(Schedule!AJ8&gt;0,IF(Schedule!AL370=0,EDATE($C$7,G28),""),"")</f>
        <v/>
      </c>
      <c r="I28" s="9" t="str">
        <f>IF(Schedule!AJ8&gt;0,ROUND(SUM(Schedule!AK11:AK370),2),"")</f>
        <v/>
      </c>
      <c r="J28" t="str">
        <f>Schedule!AJ9</f>
        <v/>
      </c>
    </row>
    <row r="29" spans="2:9" x14ac:dyDescent="0.25">
      <c r="B29" s="19" t="s">
        <v>33</v>
      </c>
      <c r="C29" s="20">
        <f>ROUND(SUM(Schedule!I8:AL8),2)</f>
        <v>12290</v>
      </c>
      <c r="E29" s="20">
        <f>C8</f>
        <v>330</v>
      </c>
      <c r="I29" s="20">
        <f>C13</f>
        <v>1618.61</v>
      </c>
    </row>
  </sheetData>
  <dataValidations count="1">
    <dataValidation type="list" showErrorMessage="1" errorTitle="Method" error="Pick Snowball or Avalanche." sqref="C5">
      <formula1>"Snowball,Avalanche"</formula1>
    </dataValidation>
  </dataValidations>
  <hyperlinks>
    <hyperlink ref="A3" r:id="rId1"/>
  </hyperlink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70"/>
  <sheetViews>
    <sheetView workbookViewId="0">
      <pane xSplit="2" ySplit="10" topLeftCell="C11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8" customWidth="1"/>
    <col min="4" max="4" width="16" customWidth="1"/>
    <col min="5" max="6" width="12" customWidth="1"/>
    <col min="7" max="7" width="11" customWidth="1"/>
    <col min="8" max="8" width="14" customWidth="1"/>
    <col min="9" max="38" width="11" customWidth="1"/>
  </cols>
  <sheetData>
    <row r="1" spans="1:1" x14ac:dyDescent="0.25">
      <c r="A1" s="1" t="s">
        <v>34</v>
      </c>
    </row>
    <row r="2" spans="1:1" x14ac:dyDescent="0.25">
      <c r="A2" s="2" t="s">
        <v>35</v>
      </c>
    </row>
    <row r="4" spans="4:36" x14ac:dyDescent="0.25">
      <c r="D4" t="s">
        <v>4</v>
      </c>
      <c r="E4" t="str">
        <f>IF(UPPER(LEFT(TRIM(Plan!C5),1))="A","Avalanche","Snowball")</f>
        <v>Snowball</v>
      </c>
      <c r="H4" t="s">
        <v>22</v>
      </c>
      <c r="I4" s="13" t="str">
        <f>IF(I8&gt;0,IF(TRIM(Plan!B19)="","Debt 1",TRIM(Plan!B19)),"")</f>
        <v>Credit card</v>
      </c>
      <c r="L4" s="13" t="str">
        <f>IF(L8&gt;0,IF(TRIM(Plan!B20)="","Debt 2",TRIM(Plan!B20)),"")</f>
        <v>Car loan</v>
      </c>
      <c r="O4" s="13" t="str">
        <f>IF(O8&gt;0,IF(TRIM(Plan!B21)="","Debt 3",TRIM(Plan!B21)),"")</f>
        <v>Medical bill</v>
      </c>
      <c r="R4" s="13" t="str">
        <f>IF(R8&gt;0,IF(TRIM(Plan!B22)="","Debt 4",TRIM(Plan!B22)),"")</f>
        <v/>
      </c>
      <c r="U4" s="13" t="str">
        <f>IF(U8&gt;0,IF(TRIM(Plan!B23)="","Debt 5",TRIM(Plan!B23)),"")</f>
        <v/>
      </c>
      <c r="X4" s="13" t="str">
        <f>IF(X8&gt;0,IF(TRIM(Plan!B24)="","Debt 6",TRIM(Plan!B24)),"")</f>
        <v/>
      </c>
      <c r="AA4" s="13" t="str">
        <f>IF(AA8&gt;0,IF(TRIM(Plan!B25)="","Debt 7",TRIM(Plan!B25)),"")</f>
        <v/>
      </c>
      <c r="AD4" s="13" t="str">
        <f>IF(AD8&gt;0,IF(TRIM(Plan!B26)="","Debt 8",TRIM(Plan!B26)),"")</f>
        <v/>
      </c>
      <c r="AG4" s="13" t="str">
        <f>IF(AG8&gt;0,IF(TRIM(Plan!B27)="","Debt 9",TRIM(Plan!B27)),"")</f>
        <v/>
      </c>
      <c r="AJ4" s="13" t="str">
        <f>IF(AJ8&gt;0,IF(TRIM(Plan!B28)="","Debt 10",TRIM(Plan!B28)),"")</f>
        <v/>
      </c>
    </row>
    <row r="5" spans="4:36" x14ac:dyDescent="0.25">
      <c r="D5" t="s">
        <v>12</v>
      </c>
      <c r="E5" s="9">
        <f>MAX(0,Plan!C9)</f>
        <v>150</v>
      </c>
      <c r="H5" t="s">
        <v>26</v>
      </c>
      <c r="I5" s="21">
        <f>IF(I8&gt;0,1+IF(AND(L8&gt;0,IF($E$4="Avalanche",OR(L7&gt;I7,AND(L7=I7,OR(L8&lt;I8,AND(L8=I8,L4&lt;I4)))),OR(L8&lt;I8,AND(L8=I8,OR(L7&gt;I7,AND(L7=I7,L4&lt;I4)))))),1,0)+IF(AND(O8&gt;0,IF($E$4="Avalanche",OR(O7&gt;I7,AND(O7=I7,OR(O8&lt;I8,AND(O8=I8,O4&lt;I4)))),OR(O8&lt;I8,AND(O8=I8,OR(O7&gt;I7,AND(O7=I7,O4&lt;I4)))))),1,0)+IF(AND(R8&gt;0,IF($E$4="Avalanche",OR(R7&gt;I7,AND(R7=I7,OR(R8&lt;I8,AND(R8=I8,R4&lt;I4)))),OR(R8&lt;I8,AND(R8=I8,OR(R7&gt;I7,AND(R7=I7,R4&lt;I4)))))),1,0)+IF(AND(U8&gt;0,IF($E$4="Avalanche",OR(U7&gt;I7,AND(U7=I7,OR(U8&lt;I8,AND(U8=I8,U4&lt;I4)))),OR(U8&lt;I8,AND(U8=I8,OR(U7&gt;I7,AND(U7=I7,U4&lt;I4)))))),1,0)+IF(AND(X8&gt;0,IF($E$4="Avalanche",OR(X7&gt;I7,AND(X7=I7,OR(X8&lt;I8,AND(X8=I8,X4&lt;I4)))),OR(X8&lt;I8,AND(X8=I8,OR(X7&gt;I7,AND(X7=I7,X4&lt;I4)))))),1,0)+IF(AND(AA8&gt;0,IF($E$4="Avalanche",OR(AA7&gt;I7,AND(AA7=I7,OR(AA8&lt;I8,AND(AA8=I8,AA4&lt;I4)))),OR(AA8&lt;I8,AND(AA8=I8,OR(AA7&gt;I7,AND(AA7=I7,AA4&lt;I4)))))),1,0)+IF(AND(AD8&gt;0,IF($E$4="Avalanche",OR(AD7&gt;I7,AND(AD7=I7,OR(AD8&lt;I8,AND(AD8=I8,AD4&lt;I4)))),OR(AD8&lt;I8,AND(AD8=I8,OR(AD7&gt;I7,AND(AD7=I7,AD4&lt;I4)))))),1,0)+IF(AND(AG8&gt;0,IF($E$4="Avalanche",OR(AG7&gt;I7,AND(AG7=I7,OR(AG8&lt;I8,AND(AG8=I8,AG4&lt;I4)))),OR(AG8&lt;I8,AND(AG8=I8,OR(AG7&gt;I7,AND(AG7=I7,AG4&lt;I4)))))),1,0)+IF(AND(AJ8&gt;0,IF($E$4="Avalanche",OR(AJ7&gt;I7,AND(AJ7=I7,OR(AJ8&lt;I8,AND(AJ8=I8,AJ4&lt;I4)))),OR(AJ8&lt;I8,AND(AJ8=I8,OR(AJ7&gt;I7,AND(AJ7=I7,AJ4&lt;I4)))))),1,0),0)</f>
        <v>2</v>
      </c>
      <c r="L5" s="21">
        <f>IF(L8&gt;0,1+IF(AND(I8&gt;0,IF($E$4="Avalanche",OR(I7&gt;L7,AND(I7=L7,OR(I8&lt;L8,AND(I8=L8,I4&lt;=L4)))),OR(I8&lt;L8,AND(I8=L8,OR(I7&gt;L7,AND(I7=L7,I4&lt;=L4)))))),1,0)+IF(AND(O8&gt;0,IF($E$4="Avalanche",OR(O7&gt;L7,AND(O7=L7,OR(O8&lt;L8,AND(O8=L8,O4&lt;L4)))),OR(O8&lt;L8,AND(O8=L8,OR(O7&gt;L7,AND(O7=L7,O4&lt;L4)))))),1,0)+IF(AND(R8&gt;0,IF($E$4="Avalanche",OR(R7&gt;L7,AND(R7=L7,OR(R8&lt;L8,AND(R8=L8,R4&lt;L4)))),OR(R8&lt;L8,AND(R8=L8,OR(R7&gt;L7,AND(R7=L7,R4&lt;L4)))))),1,0)+IF(AND(U8&gt;0,IF($E$4="Avalanche",OR(U7&gt;L7,AND(U7=L7,OR(U8&lt;L8,AND(U8=L8,U4&lt;L4)))),OR(U8&lt;L8,AND(U8=L8,OR(U7&gt;L7,AND(U7=L7,U4&lt;L4)))))),1,0)+IF(AND(X8&gt;0,IF($E$4="Avalanche",OR(X7&gt;L7,AND(X7=L7,OR(X8&lt;L8,AND(X8=L8,X4&lt;L4)))),OR(X8&lt;L8,AND(X8=L8,OR(X7&gt;L7,AND(X7=L7,X4&lt;L4)))))),1,0)+IF(AND(AA8&gt;0,IF($E$4="Avalanche",OR(AA7&gt;L7,AND(AA7=L7,OR(AA8&lt;L8,AND(AA8=L8,AA4&lt;L4)))),OR(AA8&lt;L8,AND(AA8=L8,OR(AA7&gt;L7,AND(AA7=L7,AA4&lt;L4)))))),1,0)+IF(AND(AD8&gt;0,IF($E$4="Avalanche",OR(AD7&gt;L7,AND(AD7=L7,OR(AD8&lt;L8,AND(AD8=L8,AD4&lt;L4)))),OR(AD8&lt;L8,AND(AD8=L8,OR(AD7&gt;L7,AND(AD7=L7,AD4&lt;L4)))))),1,0)+IF(AND(AG8&gt;0,IF($E$4="Avalanche",OR(AG7&gt;L7,AND(AG7=L7,OR(AG8&lt;L8,AND(AG8=L8,AG4&lt;L4)))),OR(AG8&lt;L8,AND(AG8=L8,OR(AG7&gt;L7,AND(AG7=L7,AG4&lt;L4)))))),1,0)+IF(AND(AJ8&gt;0,IF($E$4="Avalanche",OR(AJ7&gt;L7,AND(AJ7=L7,OR(AJ8&lt;L8,AND(AJ8=L8,AJ4&lt;L4)))),OR(AJ8&lt;L8,AND(AJ8=L8,OR(AJ7&gt;L7,AND(AJ7=L7,AJ4&lt;L4)))))),1,0),0)</f>
        <v>3</v>
      </c>
      <c r="O5" s="21">
        <f>IF(O8&gt;0,1+IF(AND(I8&gt;0,IF($E$4="Avalanche",OR(I7&gt;O7,AND(I7=O7,OR(I8&lt;O8,AND(I8=O8,I4&lt;=O4)))),OR(I8&lt;O8,AND(I8=O8,OR(I7&gt;O7,AND(I7=O7,I4&lt;=O4)))))),1,0)+IF(AND(L8&gt;0,IF($E$4="Avalanche",OR(L7&gt;O7,AND(L7=O7,OR(L8&lt;O8,AND(L8=O8,L4&lt;=O4)))),OR(L8&lt;O8,AND(L8=O8,OR(L7&gt;O7,AND(L7=O7,L4&lt;=O4)))))),1,0)+IF(AND(R8&gt;0,IF($E$4="Avalanche",OR(R7&gt;O7,AND(R7=O7,OR(R8&lt;O8,AND(R8=O8,R4&lt;O4)))),OR(R8&lt;O8,AND(R8=O8,OR(R7&gt;O7,AND(R7=O7,R4&lt;O4)))))),1,0)+IF(AND(U8&gt;0,IF($E$4="Avalanche",OR(U7&gt;O7,AND(U7=O7,OR(U8&lt;O8,AND(U8=O8,U4&lt;O4)))),OR(U8&lt;O8,AND(U8=O8,OR(U7&gt;O7,AND(U7=O7,U4&lt;O4)))))),1,0)+IF(AND(X8&gt;0,IF($E$4="Avalanche",OR(X7&gt;O7,AND(X7=O7,OR(X8&lt;O8,AND(X8=O8,X4&lt;O4)))),OR(X8&lt;O8,AND(X8=O8,OR(X7&gt;O7,AND(X7=O7,X4&lt;O4)))))),1,0)+IF(AND(AA8&gt;0,IF($E$4="Avalanche",OR(AA7&gt;O7,AND(AA7=O7,OR(AA8&lt;O8,AND(AA8=O8,AA4&lt;O4)))),OR(AA8&lt;O8,AND(AA8=O8,OR(AA7&gt;O7,AND(AA7=O7,AA4&lt;O4)))))),1,0)+IF(AND(AD8&gt;0,IF($E$4="Avalanche",OR(AD7&gt;O7,AND(AD7=O7,OR(AD8&lt;O8,AND(AD8=O8,AD4&lt;O4)))),OR(AD8&lt;O8,AND(AD8=O8,OR(AD7&gt;O7,AND(AD7=O7,AD4&lt;O4)))))),1,0)+IF(AND(AG8&gt;0,IF($E$4="Avalanche",OR(AG7&gt;O7,AND(AG7=O7,OR(AG8&lt;O8,AND(AG8=O8,AG4&lt;O4)))),OR(AG8&lt;O8,AND(AG8=O8,OR(AG7&gt;O7,AND(AG7=O7,AG4&lt;O4)))))),1,0)+IF(AND(AJ8&gt;0,IF($E$4="Avalanche",OR(AJ7&gt;O7,AND(AJ7=O7,OR(AJ8&lt;O8,AND(AJ8=O8,AJ4&lt;O4)))),OR(AJ8&lt;O8,AND(AJ8=O8,OR(AJ7&gt;O7,AND(AJ7=O7,AJ4&lt;O4)))))),1,0),0)</f>
        <v>1</v>
      </c>
      <c r="R5" s="21">
        <f>IF(R8&gt;0,1+IF(AND(I8&gt;0,IF($E$4="Avalanche",OR(I7&gt;R7,AND(I7=R7,OR(I8&lt;R8,AND(I8=R8,I4&lt;=R4)))),OR(I8&lt;R8,AND(I8=R8,OR(I7&gt;R7,AND(I7=R7,I4&lt;=R4)))))),1,0)+IF(AND(L8&gt;0,IF($E$4="Avalanche",OR(L7&gt;R7,AND(L7=R7,OR(L8&lt;R8,AND(L8=R8,L4&lt;=R4)))),OR(L8&lt;R8,AND(L8=R8,OR(L7&gt;R7,AND(L7=R7,L4&lt;=R4)))))),1,0)+IF(AND(O8&gt;0,IF($E$4="Avalanche",OR(O7&gt;R7,AND(O7=R7,OR(O8&lt;R8,AND(O8=R8,O4&lt;=R4)))),OR(O8&lt;R8,AND(O8=R8,OR(O7&gt;R7,AND(O7=R7,O4&lt;=R4)))))),1,0)+IF(AND(U8&gt;0,IF($E$4="Avalanche",OR(U7&gt;R7,AND(U7=R7,OR(U8&lt;R8,AND(U8=R8,U4&lt;R4)))),OR(U8&lt;R8,AND(U8=R8,OR(U7&gt;R7,AND(U7=R7,U4&lt;R4)))))),1,0)+IF(AND(X8&gt;0,IF($E$4="Avalanche",OR(X7&gt;R7,AND(X7=R7,OR(X8&lt;R8,AND(X8=R8,X4&lt;R4)))),OR(X8&lt;R8,AND(X8=R8,OR(X7&gt;R7,AND(X7=R7,X4&lt;R4)))))),1,0)+IF(AND(AA8&gt;0,IF($E$4="Avalanche",OR(AA7&gt;R7,AND(AA7=R7,OR(AA8&lt;R8,AND(AA8=R8,AA4&lt;R4)))),OR(AA8&lt;R8,AND(AA8=R8,OR(AA7&gt;R7,AND(AA7=R7,AA4&lt;R4)))))),1,0)+IF(AND(AD8&gt;0,IF($E$4="Avalanche",OR(AD7&gt;R7,AND(AD7=R7,OR(AD8&lt;R8,AND(AD8=R8,AD4&lt;R4)))),OR(AD8&lt;R8,AND(AD8=R8,OR(AD7&gt;R7,AND(AD7=R7,AD4&lt;R4)))))),1,0)+IF(AND(AG8&gt;0,IF($E$4="Avalanche",OR(AG7&gt;R7,AND(AG7=R7,OR(AG8&lt;R8,AND(AG8=R8,AG4&lt;R4)))),OR(AG8&lt;R8,AND(AG8=R8,OR(AG7&gt;R7,AND(AG7=R7,AG4&lt;R4)))))),1,0)+IF(AND(AJ8&gt;0,IF($E$4="Avalanche",OR(AJ7&gt;R7,AND(AJ7=R7,OR(AJ8&lt;R8,AND(AJ8=R8,AJ4&lt;R4)))),OR(AJ8&lt;R8,AND(AJ8=R8,OR(AJ7&gt;R7,AND(AJ7=R7,AJ4&lt;R4)))))),1,0),0)</f>
        <v>0</v>
      </c>
      <c r="U5" s="21">
        <f>IF(U8&gt;0,1+IF(AND(I8&gt;0,IF($E$4="Avalanche",OR(I7&gt;U7,AND(I7=U7,OR(I8&lt;U8,AND(I8=U8,I4&lt;=U4)))),OR(I8&lt;U8,AND(I8=U8,OR(I7&gt;U7,AND(I7=U7,I4&lt;=U4)))))),1,0)+IF(AND(L8&gt;0,IF($E$4="Avalanche",OR(L7&gt;U7,AND(L7=U7,OR(L8&lt;U8,AND(L8=U8,L4&lt;=U4)))),OR(L8&lt;U8,AND(L8=U8,OR(L7&gt;U7,AND(L7=U7,L4&lt;=U4)))))),1,0)+IF(AND(O8&gt;0,IF($E$4="Avalanche",OR(O7&gt;U7,AND(O7=U7,OR(O8&lt;U8,AND(O8=U8,O4&lt;=U4)))),OR(O8&lt;U8,AND(O8=U8,OR(O7&gt;U7,AND(O7=U7,O4&lt;=U4)))))),1,0)+IF(AND(R8&gt;0,IF($E$4="Avalanche",OR(R7&gt;U7,AND(R7=U7,OR(R8&lt;U8,AND(R8=U8,R4&lt;=U4)))),OR(R8&lt;U8,AND(R8=U8,OR(R7&gt;U7,AND(R7=U7,R4&lt;=U4)))))),1,0)+IF(AND(X8&gt;0,IF($E$4="Avalanche",OR(X7&gt;U7,AND(X7=U7,OR(X8&lt;U8,AND(X8=U8,X4&lt;U4)))),OR(X8&lt;U8,AND(X8=U8,OR(X7&gt;U7,AND(X7=U7,X4&lt;U4)))))),1,0)+IF(AND(AA8&gt;0,IF($E$4="Avalanche",OR(AA7&gt;U7,AND(AA7=U7,OR(AA8&lt;U8,AND(AA8=U8,AA4&lt;U4)))),OR(AA8&lt;U8,AND(AA8=U8,OR(AA7&gt;U7,AND(AA7=U7,AA4&lt;U4)))))),1,0)+IF(AND(AD8&gt;0,IF($E$4="Avalanche",OR(AD7&gt;U7,AND(AD7=U7,OR(AD8&lt;U8,AND(AD8=U8,AD4&lt;U4)))),OR(AD8&lt;U8,AND(AD8=U8,OR(AD7&gt;U7,AND(AD7=U7,AD4&lt;U4)))))),1,0)+IF(AND(AG8&gt;0,IF($E$4="Avalanche",OR(AG7&gt;U7,AND(AG7=U7,OR(AG8&lt;U8,AND(AG8=U8,AG4&lt;U4)))),OR(AG8&lt;U8,AND(AG8=U8,OR(AG7&gt;U7,AND(AG7=U7,AG4&lt;U4)))))),1,0)+IF(AND(AJ8&gt;0,IF($E$4="Avalanche",OR(AJ7&gt;U7,AND(AJ7=U7,OR(AJ8&lt;U8,AND(AJ8=U8,AJ4&lt;U4)))),OR(AJ8&lt;U8,AND(AJ8=U8,OR(AJ7&gt;U7,AND(AJ7=U7,AJ4&lt;U4)))))),1,0),0)</f>
        <v>0</v>
      </c>
      <c r="X5" s="21">
        <f>IF(X8&gt;0,1+IF(AND(I8&gt;0,IF($E$4="Avalanche",OR(I7&gt;X7,AND(I7=X7,OR(I8&lt;X8,AND(I8=X8,I4&lt;=X4)))),OR(I8&lt;X8,AND(I8=X8,OR(I7&gt;X7,AND(I7=X7,I4&lt;=X4)))))),1,0)+IF(AND(L8&gt;0,IF($E$4="Avalanche",OR(L7&gt;X7,AND(L7=X7,OR(L8&lt;X8,AND(L8=X8,L4&lt;=X4)))),OR(L8&lt;X8,AND(L8=X8,OR(L7&gt;X7,AND(L7=X7,L4&lt;=X4)))))),1,0)+IF(AND(O8&gt;0,IF($E$4="Avalanche",OR(O7&gt;X7,AND(O7=X7,OR(O8&lt;X8,AND(O8=X8,O4&lt;=X4)))),OR(O8&lt;X8,AND(O8=X8,OR(O7&gt;X7,AND(O7=X7,O4&lt;=X4)))))),1,0)+IF(AND(R8&gt;0,IF($E$4="Avalanche",OR(R7&gt;X7,AND(R7=X7,OR(R8&lt;X8,AND(R8=X8,R4&lt;=X4)))),OR(R8&lt;X8,AND(R8=X8,OR(R7&gt;X7,AND(R7=X7,R4&lt;=X4)))))),1,0)+IF(AND(U8&gt;0,IF($E$4="Avalanche",OR(U7&gt;X7,AND(U7=X7,OR(U8&lt;X8,AND(U8=X8,U4&lt;=X4)))),OR(U8&lt;X8,AND(U8=X8,OR(U7&gt;X7,AND(U7=X7,U4&lt;=X4)))))),1,0)+IF(AND(AA8&gt;0,IF($E$4="Avalanche",OR(AA7&gt;X7,AND(AA7=X7,OR(AA8&lt;X8,AND(AA8=X8,AA4&lt;X4)))),OR(AA8&lt;X8,AND(AA8=X8,OR(AA7&gt;X7,AND(AA7=X7,AA4&lt;X4)))))),1,0)+IF(AND(AD8&gt;0,IF($E$4="Avalanche",OR(AD7&gt;X7,AND(AD7=X7,OR(AD8&lt;X8,AND(AD8=X8,AD4&lt;X4)))),OR(AD8&lt;X8,AND(AD8=X8,OR(AD7&gt;X7,AND(AD7=X7,AD4&lt;X4)))))),1,0)+IF(AND(AG8&gt;0,IF($E$4="Avalanche",OR(AG7&gt;X7,AND(AG7=X7,OR(AG8&lt;X8,AND(AG8=X8,AG4&lt;X4)))),OR(AG8&lt;X8,AND(AG8=X8,OR(AG7&gt;X7,AND(AG7=X7,AG4&lt;X4)))))),1,0)+IF(AND(AJ8&gt;0,IF($E$4="Avalanche",OR(AJ7&gt;X7,AND(AJ7=X7,OR(AJ8&lt;X8,AND(AJ8=X8,AJ4&lt;X4)))),OR(AJ8&lt;X8,AND(AJ8=X8,OR(AJ7&gt;X7,AND(AJ7=X7,AJ4&lt;X4)))))),1,0),0)</f>
        <v>0</v>
      </c>
      <c r="AA5" s="21">
        <f>IF(AA8&gt;0,1+IF(AND(I8&gt;0,IF($E$4="Avalanche",OR(I7&gt;AA7,AND(I7=AA7,OR(I8&lt;AA8,AND(I8=AA8,I4&lt;=AA4)))),OR(I8&lt;AA8,AND(I8=AA8,OR(I7&gt;AA7,AND(I7=AA7,I4&lt;=AA4)))))),1,0)+IF(AND(L8&gt;0,IF($E$4="Avalanche",OR(L7&gt;AA7,AND(L7=AA7,OR(L8&lt;AA8,AND(L8=AA8,L4&lt;=AA4)))),OR(L8&lt;AA8,AND(L8=AA8,OR(L7&gt;AA7,AND(L7=AA7,L4&lt;=AA4)))))),1,0)+IF(AND(O8&gt;0,IF($E$4="Avalanche",OR(O7&gt;AA7,AND(O7=AA7,OR(O8&lt;AA8,AND(O8=AA8,O4&lt;=AA4)))),OR(O8&lt;AA8,AND(O8=AA8,OR(O7&gt;AA7,AND(O7=AA7,O4&lt;=AA4)))))),1,0)+IF(AND(R8&gt;0,IF($E$4="Avalanche",OR(R7&gt;AA7,AND(R7=AA7,OR(R8&lt;AA8,AND(R8=AA8,R4&lt;=AA4)))),OR(R8&lt;AA8,AND(R8=AA8,OR(R7&gt;AA7,AND(R7=AA7,R4&lt;=AA4)))))),1,0)+IF(AND(U8&gt;0,IF($E$4="Avalanche",OR(U7&gt;AA7,AND(U7=AA7,OR(U8&lt;AA8,AND(U8=AA8,U4&lt;=AA4)))),OR(U8&lt;AA8,AND(U8=AA8,OR(U7&gt;AA7,AND(U7=AA7,U4&lt;=AA4)))))),1,0)+IF(AND(X8&gt;0,IF($E$4="Avalanche",OR(X7&gt;AA7,AND(X7=AA7,OR(X8&lt;AA8,AND(X8=AA8,X4&lt;=AA4)))),OR(X8&lt;AA8,AND(X8=AA8,OR(X7&gt;AA7,AND(X7=AA7,X4&lt;=AA4)))))),1,0)+IF(AND(AD8&gt;0,IF($E$4="Avalanche",OR(AD7&gt;AA7,AND(AD7=AA7,OR(AD8&lt;AA8,AND(AD8=AA8,AD4&lt;AA4)))),OR(AD8&lt;AA8,AND(AD8=AA8,OR(AD7&gt;AA7,AND(AD7=AA7,AD4&lt;AA4)))))),1,0)+IF(AND(AG8&gt;0,IF($E$4="Avalanche",OR(AG7&gt;AA7,AND(AG7=AA7,OR(AG8&lt;AA8,AND(AG8=AA8,AG4&lt;AA4)))),OR(AG8&lt;AA8,AND(AG8=AA8,OR(AG7&gt;AA7,AND(AG7=AA7,AG4&lt;AA4)))))),1,0)+IF(AND(AJ8&gt;0,IF($E$4="Avalanche",OR(AJ7&gt;AA7,AND(AJ7=AA7,OR(AJ8&lt;AA8,AND(AJ8=AA8,AJ4&lt;AA4)))),OR(AJ8&lt;AA8,AND(AJ8=AA8,OR(AJ7&gt;AA7,AND(AJ7=AA7,AJ4&lt;AA4)))))),1,0),0)</f>
        <v>0</v>
      </c>
      <c r="AD5" s="21">
        <f>IF(AD8&gt;0,1+IF(AND(I8&gt;0,IF($E$4="Avalanche",OR(I7&gt;AD7,AND(I7=AD7,OR(I8&lt;AD8,AND(I8=AD8,I4&lt;=AD4)))),OR(I8&lt;AD8,AND(I8=AD8,OR(I7&gt;AD7,AND(I7=AD7,I4&lt;=AD4)))))),1,0)+IF(AND(L8&gt;0,IF($E$4="Avalanche",OR(L7&gt;AD7,AND(L7=AD7,OR(L8&lt;AD8,AND(L8=AD8,L4&lt;=AD4)))),OR(L8&lt;AD8,AND(L8=AD8,OR(L7&gt;AD7,AND(L7=AD7,L4&lt;=AD4)))))),1,0)+IF(AND(O8&gt;0,IF($E$4="Avalanche",OR(O7&gt;AD7,AND(O7=AD7,OR(O8&lt;AD8,AND(O8=AD8,O4&lt;=AD4)))),OR(O8&lt;AD8,AND(O8=AD8,OR(O7&gt;AD7,AND(O7=AD7,O4&lt;=AD4)))))),1,0)+IF(AND(R8&gt;0,IF($E$4="Avalanche",OR(R7&gt;AD7,AND(R7=AD7,OR(R8&lt;AD8,AND(R8=AD8,R4&lt;=AD4)))),OR(R8&lt;AD8,AND(R8=AD8,OR(R7&gt;AD7,AND(R7=AD7,R4&lt;=AD4)))))),1,0)+IF(AND(U8&gt;0,IF($E$4="Avalanche",OR(U7&gt;AD7,AND(U7=AD7,OR(U8&lt;AD8,AND(U8=AD8,U4&lt;=AD4)))),OR(U8&lt;AD8,AND(U8=AD8,OR(U7&gt;AD7,AND(U7=AD7,U4&lt;=AD4)))))),1,0)+IF(AND(X8&gt;0,IF($E$4="Avalanche",OR(X7&gt;AD7,AND(X7=AD7,OR(X8&lt;AD8,AND(X8=AD8,X4&lt;=AD4)))),OR(X8&lt;AD8,AND(X8=AD8,OR(X7&gt;AD7,AND(X7=AD7,X4&lt;=AD4)))))),1,0)+IF(AND(AA8&gt;0,IF($E$4="Avalanche",OR(AA7&gt;AD7,AND(AA7=AD7,OR(AA8&lt;AD8,AND(AA8=AD8,AA4&lt;=AD4)))),OR(AA8&lt;AD8,AND(AA8=AD8,OR(AA7&gt;AD7,AND(AA7=AD7,AA4&lt;=AD4)))))),1,0)+IF(AND(AG8&gt;0,IF($E$4="Avalanche",OR(AG7&gt;AD7,AND(AG7=AD7,OR(AG8&lt;AD8,AND(AG8=AD8,AG4&lt;AD4)))),OR(AG8&lt;AD8,AND(AG8=AD8,OR(AG7&gt;AD7,AND(AG7=AD7,AG4&lt;AD4)))))),1,0)+IF(AND(AJ8&gt;0,IF($E$4="Avalanche",OR(AJ7&gt;AD7,AND(AJ7=AD7,OR(AJ8&lt;AD8,AND(AJ8=AD8,AJ4&lt;AD4)))),OR(AJ8&lt;AD8,AND(AJ8=AD8,OR(AJ7&gt;AD7,AND(AJ7=AD7,AJ4&lt;AD4)))))),1,0),0)</f>
        <v>0</v>
      </c>
      <c r="AG5" s="21">
        <f>IF(AG8&gt;0,1+IF(AND(I8&gt;0,IF($E$4="Avalanche",OR(I7&gt;AG7,AND(I7=AG7,OR(I8&lt;AG8,AND(I8=AG8,I4&lt;=AG4)))),OR(I8&lt;AG8,AND(I8=AG8,OR(I7&gt;AG7,AND(I7=AG7,I4&lt;=AG4)))))),1,0)+IF(AND(L8&gt;0,IF($E$4="Avalanche",OR(L7&gt;AG7,AND(L7=AG7,OR(L8&lt;AG8,AND(L8=AG8,L4&lt;=AG4)))),OR(L8&lt;AG8,AND(L8=AG8,OR(L7&gt;AG7,AND(L7=AG7,L4&lt;=AG4)))))),1,0)+IF(AND(O8&gt;0,IF($E$4="Avalanche",OR(O7&gt;AG7,AND(O7=AG7,OR(O8&lt;AG8,AND(O8=AG8,O4&lt;=AG4)))),OR(O8&lt;AG8,AND(O8=AG8,OR(O7&gt;AG7,AND(O7=AG7,O4&lt;=AG4)))))),1,0)+IF(AND(R8&gt;0,IF($E$4="Avalanche",OR(R7&gt;AG7,AND(R7=AG7,OR(R8&lt;AG8,AND(R8=AG8,R4&lt;=AG4)))),OR(R8&lt;AG8,AND(R8=AG8,OR(R7&gt;AG7,AND(R7=AG7,R4&lt;=AG4)))))),1,0)+IF(AND(U8&gt;0,IF($E$4="Avalanche",OR(U7&gt;AG7,AND(U7=AG7,OR(U8&lt;AG8,AND(U8=AG8,U4&lt;=AG4)))),OR(U8&lt;AG8,AND(U8=AG8,OR(U7&gt;AG7,AND(U7=AG7,U4&lt;=AG4)))))),1,0)+IF(AND(X8&gt;0,IF($E$4="Avalanche",OR(X7&gt;AG7,AND(X7=AG7,OR(X8&lt;AG8,AND(X8=AG8,X4&lt;=AG4)))),OR(X8&lt;AG8,AND(X8=AG8,OR(X7&gt;AG7,AND(X7=AG7,X4&lt;=AG4)))))),1,0)+IF(AND(AA8&gt;0,IF($E$4="Avalanche",OR(AA7&gt;AG7,AND(AA7=AG7,OR(AA8&lt;AG8,AND(AA8=AG8,AA4&lt;=AG4)))),OR(AA8&lt;AG8,AND(AA8=AG8,OR(AA7&gt;AG7,AND(AA7=AG7,AA4&lt;=AG4)))))),1,0)+IF(AND(AD8&gt;0,IF($E$4="Avalanche",OR(AD7&gt;AG7,AND(AD7=AG7,OR(AD8&lt;AG8,AND(AD8=AG8,AD4&lt;=AG4)))),OR(AD8&lt;AG8,AND(AD8=AG8,OR(AD7&gt;AG7,AND(AD7=AG7,AD4&lt;=AG4)))))),1,0)+IF(AND(AJ8&gt;0,IF($E$4="Avalanche",OR(AJ7&gt;AG7,AND(AJ7=AG7,OR(AJ8&lt;AG8,AND(AJ8=AG8,AJ4&lt;AG4)))),OR(AJ8&lt;AG8,AND(AJ8=AG8,OR(AJ7&gt;AG7,AND(AJ7=AG7,AJ4&lt;AG4)))))),1,0),0)</f>
        <v>0</v>
      </c>
      <c r="AJ5" s="21">
        <f>IF(AJ8&gt;0,1+IF(AND(I8&gt;0,IF($E$4="Avalanche",OR(I7&gt;AJ7,AND(I7=AJ7,OR(I8&lt;AJ8,AND(I8=AJ8,I4&lt;=AJ4)))),OR(I8&lt;AJ8,AND(I8=AJ8,OR(I7&gt;AJ7,AND(I7=AJ7,I4&lt;=AJ4)))))),1,0)+IF(AND(L8&gt;0,IF($E$4="Avalanche",OR(L7&gt;AJ7,AND(L7=AJ7,OR(L8&lt;AJ8,AND(L8=AJ8,L4&lt;=AJ4)))),OR(L8&lt;AJ8,AND(L8=AJ8,OR(L7&gt;AJ7,AND(L7=AJ7,L4&lt;=AJ4)))))),1,0)+IF(AND(O8&gt;0,IF($E$4="Avalanche",OR(O7&gt;AJ7,AND(O7=AJ7,OR(O8&lt;AJ8,AND(O8=AJ8,O4&lt;=AJ4)))),OR(O8&lt;AJ8,AND(O8=AJ8,OR(O7&gt;AJ7,AND(O7=AJ7,O4&lt;=AJ4)))))),1,0)+IF(AND(R8&gt;0,IF($E$4="Avalanche",OR(R7&gt;AJ7,AND(R7=AJ7,OR(R8&lt;AJ8,AND(R8=AJ8,R4&lt;=AJ4)))),OR(R8&lt;AJ8,AND(R8=AJ8,OR(R7&gt;AJ7,AND(R7=AJ7,R4&lt;=AJ4)))))),1,0)+IF(AND(U8&gt;0,IF($E$4="Avalanche",OR(U7&gt;AJ7,AND(U7=AJ7,OR(U8&lt;AJ8,AND(U8=AJ8,U4&lt;=AJ4)))),OR(U8&lt;AJ8,AND(U8=AJ8,OR(U7&gt;AJ7,AND(U7=AJ7,U4&lt;=AJ4)))))),1,0)+IF(AND(X8&gt;0,IF($E$4="Avalanche",OR(X7&gt;AJ7,AND(X7=AJ7,OR(X8&lt;AJ8,AND(X8=AJ8,X4&lt;=AJ4)))),OR(X8&lt;AJ8,AND(X8=AJ8,OR(X7&gt;AJ7,AND(X7=AJ7,X4&lt;=AJ4)))))),1,0)+IF(AND(AA8&gt;0,IF($E$4="Avalanche",OR(AA7&gt;AJ7,AND(AA7=AJ7,OR(AA8&lt;AJ8,AND(AA8=AJ8,AA4&lt;=AJ4)))),OR(AA8&lt;AJ8,AND(AA8=AJ8,OR(AA7&gt;AJ7,AND(AA7=AJ7,AA4&lt;=AJ4)))))),1,0)+IF(AND(AD8&gt;0,IF($E$4="Avalanche",OR(AD7&gt;AJ7,AND(AD7=AJ7,OR(AD8&lt;AJ8,AND(AD8=AJ8,AD4&lt;=AJ4)))),OR(AD8&lt;AJ8,AND(AD8=AJ8,OR(AD7&gt;AJ7,AND(AD7=AJ7,AD4&lt;=AJ4)))))),1,0)+IF(AND(AG8&gt;0,IF($E$4="Avalanche",OR(AG7&gt;AJ7,AND(AG7=AJ7,OR(AG8&lt;AJ8,AND(AG8=AJ8,AG4&lt;=AJ4)))),OR(AG8&lt;AJ8,AND(AG8=AJ8,OR(AG7&gt;AJ7,AND(AG7=AJ7,AG4&lt;=AJ4)))))),1,0),0)</f>
        <v>0</v>
      </c>
    </row>
    <row r="6" spans="4:36" x14ac:dyDescent="0.25">
      <c r="D6" t="s">
        <v>9</v>
      </c>
      <c r="E6" s="22">
        <f>Plan!C7</f>
        <v>46300</v>
      </c>
      <c r="H6" t="s">
        <v>36</v>
      </c>
      <c r="I6" s="9">
        <f>IF(I8&gt;0,MAX(0,IFERROR(ROUND(Plan!E19,2),0)),0)</f>
        <v>95</v>
      </c>
      <c r="L6" s="9">
        <f>IF(L8&gt;0,MAX(0,IFERROR(ROUND(Plan!E20,2),0)),0)</f>
        <v>210</v>
      </c>
      <c r="O6" s="9">
        <f>IF(O8&gt;0,MAX(0,IFERROR(ROUND(Plan!E21,2),0)),0)</f>
        <v>25</v>
      </c>
      <c r="R6" s="9">
        <f>IF(R8&gt;0,MAX(0,IFERROR(ROUND(Plan!E22,2),0)),0)</f>
        <v>0</v>
      </c>
      <c r="U6" s="9">
        <f>IF(U8&gt;0,MAX(0,IFERROR(ROUND(Plan!E23,2),0)),0)</f>
        <v>0</v>
      </c>
      <c r="X6" s="9">
        <f>IF(X8&gt;0,MAX(0,IFERROR(ROUND(Plan!E24,2),0)),0)</f>
        <v>0</v>
      </c>
      <c r="AA6" s="9">
        <f>IF(AA8&gt;0,MAX(0,IFERROR(ROUND(Plan!E25,2),0)),0)</f>
        <v>0</v>
      </c>
      <c r="AD6" s="9">
        <f>IF(AD8&gt;0,MAX(0,IFERROR(ROUND(Plan!E26,2),0)),0)</f>
        <v>0</v>
      </c>
      <c r="AG6" s="9">
        <f>IF(AG8&gt;0,MAX(0,IFERROR(ROUND(Plan!E27,2),0)),0)</f>
        <v>0</v>
      </c>
      <c r="AJ6" s="9">
        <f>IF(AJ8&gt;0,MAX(0,IFERROR(ROUND(Plan!E28,2),0)),0)</f>
        <v>0</v>
      </c>
    </row>
    <row r="7" spans="8:36" x14ac:dyDescent="0.25">
      <c r="H7" t="s">
        <v>24</v>
      </c>
      <c r="I7" s="23">
        <f>IF(I8&gt;0,MAX(0,IFERROR(ROUND(Plan!D19,4),0)),0)</f>
        <v>24.99</v>
      </c>
      <c r="L7" s="23">
        <f>IF(L8&gt;0,MAX(0,IFERROR(ROUND(Plan!D20,4),0)),0)</f>
        <v>6.5</v>
      </c>
      <c r="O7" s="23">
        <f>IF(O8&gt;0,MAX(0,IFERROR(ROUND(Plan!D21,4),0)),0)</f>
        <v>0</v>
      </c>
      <c r="R7" s="23">
        <f>IF(R8&gt;0,MAX(0,IFERROR(ROUND(Plan!D22,4),0)),0)</f>
        <v>0</v>
      </c>
      <c r="U7" s="23">
        <f>IF(U8&gt;0,MAX(0,IFERROR(ROUND(Plan!D23,4),0)),0)</f>
        <v>0</v>
      </c>
      <c r="X7" s="23">
        <f>IF(X8&gt;0,MAX(0,IFERROR(ROUND(Plan!D24,4),0)),0)</f>
        <v>0</v>
      </c>
      <c r="AA7" s="23">
        <f>IF(AA8&gt;0,MAX(0,IFERROR(ROUND(Plan!D25,4),0)),0)</f>
        <v>0</v>
      </c>
      <c r="AD7" s="23">
        <f>IF(AD8&gt;0,MAX(0,IFERROR(ROUND(Plan!D26,4),0)),0)</f>
        <v>0</v>
      </c>
      <c r="AG7" s="23">
        <f>IF(AG8&gt;0,MAX(0,IFERROR(ROUND(Plan!D27,4),0)),0)</f>
        <v>0</v>
      </c>
      <c r="AJ7" s="23">
        <f>IF(AJ8&gt;0,MAX(0,IFERROR(ROUND(Plan!D28,4),0)),0)</f>
        <v>0</v>
      </c>
    </row>
    <row r="8" spans="8:36" x14ac:dyDescent="0.25">
      <c r="H8" t="s">
        <v>37</v>
      </c>
      <c r="I8" s="9">
        <f>MAX(0,IFERROR(ROUND(Plan!C19,2),0))</f>
        <v>3250</v>
      </c>
      <c r="L8" s="9">
        <f>MAX(0,IFERROR(ROUND(Plan!C20,2),0))</f>
        <v>8400</v>
      </c>
      <c r="O8" s="9">
        <f>MAX(0,IFERROR(ROUND(Plan!C21,2),0))</f>
        <v>640</v>
      </c>
      <c r="R8" s="9">
        <f>MAX(0,IFERROR(ROUND(Plan!C22,2),0))</f>
        <v>0</v>
      </c>
      <c r="U8" s="9">
        <f>MAX(0,IFERROR(ROUND(Plan!C23,2),0))</f>
        <v>0</v>
      </c>
      <c r="X8" s="9">
        <f>MAX(0,IFERROR(ROUND(Plan!C24,2),0))</f>
        <v>0</v>
      </c>
      <c r="AA8" s="9">
        <f>MAX(0,IFERROR(ROUND(Plan!C25,2),0))</f>
        <v>0</v>
      </c>
      <c r="AD8" s="9">
        <f>MAX(0,IFERROR(ROUND(Plan!C26,2),0))</f>
        <v>0</v>
      </c>
      <c r="AG8" s="9">
        <f>MAX(0,IFERROR(ROUND(Plan!C27,2),0))</f>
        <v>0</v>
      </c>
      <c r="AJ8" s="9">
        <f>MAX(0,IFERROR(ROUND(Plan!C28,2),0))</f>
        <v>0</v>
      </c>
    </row>
    <row r="9" spans="8:36" x14ac:dyDescent="0.25">
      <c r="H9" t="s">
        <v>19</v>
      </c>
      <c r="I9" t="str">
        <f>IF(I8&gt;0,IF(I6&lt;=0,"No minimum",IF(I11&lt;=J11,"Too low","OK")),"")</f>
        <v>OK</v>
      </c>
      <c r="L9" t="str">
        <f>IF(L8&gt;0,IF(L6&lt;=0,"No minimum",IF(L11&lt;=M11,"Too low","OK")),"")</f>
        <v>OK</v>
      </c>
      <c r="O9" t="str">
        <f>IF(O8&gt;0,IF(O6&lt;=0,"No minimum",IF(O11&lt;=P11,"Too low","OK")),"")</f>
        <v>OK</v>
      </c>
      <c r="R9" t="str">
        <f>IF(R8&gt;0,IF(R6&lt;=0,"No minimum",IF(R11&lt;=S11,"Too low","OK")),"")</f>
        <v/>
      </c>
      <c r="U9" t="str">
        <f>IF(U8&gt;0,IF(U6&lt;=0,"No minimum",IF(U11&lt;=V11,"Too low","OK")),"")</f>
        <v/>
      </c>
      <c r="X9" t="str">
        <f>IF(X8&gt;0,IF(X6&lt;=0,"No minimum",IF(X11&lt;=Y11,"Too low","OK")),"")</f>
        <v/>
      </c>
      <c r="AA9" t="str">
        <f>IF(AA8&gt;0,IF(AA6&lt;=0,"No minimum",IF(AA11&lt;=AB11,"Too low","OK")),"")</f>
        <v/>
      </c>
      <c r="AD9" t="str">
        <f>IF(AD8&gt;0,IF(AD6&lt;=0,"No minimum",IF(AD11&lt;=AE11,"Too low","OK")),"")</f>
        <v/>
      </c>
      <c r="AG9" t="str">
        <f>IF(AG8&gt;0,IF(AG6&lt;=0,"No minimum",IF(AG11&lt;=AH11,"Too low","OK")),"")</f>
        <v/>
      </c>
      <c r="AJ9" t="str">
        <f>IF(AJ8&gt;0,IF(AJ6&lt;=0,"No minimum",IF(AJ11&lt;=AK11,"Too low","OK")),"")</f>
        <v/>
      </c>
    </row>
    <row r="10" ht="30" customHeight="1" spans="1:38" x14ac:dyDescent="0.25">
      <c r="A10" s="14" t="s">
        <v>38</v>
      </c>
      <c r="B10" s="14" t="s">
        <v>39</v>
      </c>
      <c r="C10" s="14" t="s">
        <v>40</v>
      </c>
      <c r="D10" s="14" t="s">
        <v>41</v>
      </c>
      <c r="E10" s="14" t="s">
        <v>42</v>
      </c>
      <c r="F10" s="14" t="s">
        <v>43</v>
      </c>
      <c r="G10" s="14" t="s">
        <v>44</v>
      </c>
      <c r="H10" s="14" t="s">
        <v>45</v>
      </c>
      <c r="I10" s="14" t="s">
        <v>46</v>
      </c>
      <c r="J10" s="14" t="s">
        <v>44</v>
      </c>
      <c r="K10" s="14" t="s">
        <v>23</v>
      </c>
      <c r="L10" s="14" t="s">
        <v>46</v>
      </c>
      <c r="M10" s="14" t="s">
        <v>44</v>
      </c>
      <c r="N10" s="14" t="s">
        <v>23</v>
      </c>
      <c r="O10" s="14" t="s">
        <v>46</v>
      </c>
      <c r="P10" s="14" t="s">
        <v>44</v>
      </c>
      <c r="Q10" s="14" t="s">
        <v>23</v>
      </c>
      <c r="R10" s="14" t="s">
        <v>46</v>
      </c>
      <c r="S10" s="14" t="s">
        <v>44</v>
      </c>
      <c r="T10" s="14" t="s">
        <v>23</v>
      </c>
      <c r="U10" s="14" t="s">
        <v>46</v>
      </c>
      <c r="V10" s="14" t="s">
        <v>44</v>
      </c>
      <c r="W10" s="14" t="s">
        <v>23</v>
      </c>
      <c r="X10" s="14" t="s">
        <v>46</v>
      </c>
      <c r="Y10" s="14" t="s">
        <v>44</v>
      </c>
      <c r="Z10" s="14" t="s">
        <v>23</v>
      </c>
      <c r="AA10" s="14" t="s">
        <v>46</v>
      </c>
      <c r="AB10" s="14" t="s">
        <v>44</v>
      </c>
      <c r="AC10" s="14" t="s">
        <v>23</v>
      </c>
      <c r="AD10" s="14" t="s">
        <v>46</v>
      </c>
      <c r="AE10" s="14" t="s">
        <v>44</v>
      </c>
      <c r="AF10" s="14" t="s">
        <v>23</v>
      </c>
      <c r="AG10" s="14" t="s">
        <v>46</v>
      </c>
      <c r="AH10" s="14" t="s">
        <v>44</v>
      </c>
      <c r="AI10" s="14" t="s">
        <v>23</v>
      </c>
      <c r="AJ10" s="14" t="s">
        <v>46</v>
      </c>
      <c r="AK10" s="14" t="s">
        <v>44</v>
      </c>
      <c r="AL10" s="14" t="s">
        <v>23</v>
      </c>
    </row>
    <row r="11" spans="1:38" x14ac:dyDescent="0.25">
      <c r="A11" s="17">
        <f>IF(F11&gt;0,1,"")</f>
        <v>1</v>
      </c>
      <c r="B11" s="18">
        <f>IF(F11&gt;0,EDATE($E$6,1),"")</f>
        <v>46331</v>
      </c>
      <c r="C11" s="21">
        <f>IF(SUM($I$8:$AL$8)&gt;0,MIN(IF(I$8&gt;0,I$5,99),IF(L$8&gt;0,L$5,99),IF(O$8&gt;0,O$5,99),IF(R$8&gt;0,R$5,99),IF(U$8&gt;0,U$5,99),IF(X$8&gt;0,X$5,99),IF(AA$8&gt;0,AA$5,99),IF(AD$8&gt;0,AD$5,99),IF(AG$8&gt;0,AG$5,99),IF(AJ$8&gt;0,AJ$5,99)),0)</f>
        <v>1</v>
      </c>
      <c r="D11" t="str">
        <f>IF(C11&gt;0,INDEX($I$4:$AL$4,1,MATCH(C11,$I$5:$AL$5,0)),"")</f>
        <v>Medical bill</v>
      </c>
      <c r="E11" s="24">
        <f>ROUND(IF(AND(I$8&gt;0,I$8=0),I$6,0)+IF(AND(L$8&gt;0,L$8=0),L$6,0)+IF(AND(O$8&gt;0,O$8=0),O$6,0)+IF(AND(R$8&gt;0,R$8=0),R$6,0)+IF(AND(U$8&gt;0,U$8=0),U$6,0)+IF(AND(X$8&gt;0,X$8=0),X$6,0)+IF(AND(AA$8&gt;0,AA$8=0),AA$6,0)+IF(AND(AD$8&gt;0,AD$8=0),AD$6,0)+IF(AND(AG$8&gt;0,AG$8=0),AG$6,0)+IF(AND(AJ$8&gt;0,AJ$8=0),AJ$6,0),2)</f>
        <v>0</v>
      </c>
      <c r="F11" s="24">
        <f>ROUND(I11+L11+O11+R11+U11+X11+AA11+AD11+AG11+AJ11,2)</f>
        <v>480</v>
      </c>
      <c r="G11" s="24">
        <f>ROUND(J11+M11+P11+S11+V11+Y11+AB11+AE11+AH11+AK11,2)</f>
        <v>113.18</v>
      </c>
      <c r="H11" s="24">
        <f>ROUND(K11+N11+Q11+T11+W11+Z11+AC11+AF11+AI11+AL11,2)</f>
        <v>11923.18</v>
      </c>
      <c r="I11" s="24">
        <f>IF(I$8&gt;0,MIN(ROUND(I$6+IF(I$5=$C11,$E$5+$E11,0),2),ROUND(I$8+J11,2)),0)</f>
        <v>95</v>
      </c>
      <c r="J11" s="24">
        <f>IF(I$8&gt;0,ROUND(ROUND(I$8*100,0)*ROUND(I$7*10000,0)/12000000,0)/100,0)</f>
        <v>67.68</v>
      </c>
      <c r="K11" s="24">
        <f>IF(I$8&gt;0,ROUND(I$8+J11-I11,2),0)</f>
        <v>3222.68</v>
      </c>
      <c r="L11" s="24">
        <f>IF(L$8&gt;0,MIN(ROUND(L$6+IF(L$5=$C11,$E$5+$E11,0),2),ROUND(L$8+M11,2)),0)</f>
        <v>210</v>
      </c>
      <c r="M11" s="24">
        <f>IF(L$8&gt;0,ROUND(ROUND(L$8*100,0)*ROUND(L$7*10000,0)/12000000,0)/100,0)</f>
        <v>45.5</v>
      </c>
      <c r="N11" s="24">
        <f>IF(L$8&gt;0,ROUND(L$8+M11-L11,2),0)</f>
        <v>8235.5</v>
      </c>
      <c r="O11" s="24">
        <f>IF(O$8&gt;0,MIN(ROUND(O$6+IF(O$5=$C11,$E$5+$E11,0),2),ROUND(O$8+P11,2)),0)</f>
        <v>175</v>
      </c>
      <c r="P11" s="24">
        <f>IF(O$8&gt;0,ROUND(ROUND(O$8*100,0)*ROUND(O$7*10000,0)/12000000,0)/100,0)</f>
        <v>0</v>
      </c>
      <c r="Q11" s="24">
        <f>IF(O$8&gt;0,ROUND(O$8+P11-O11,2),0)</f>
        <v>465</v>
      </c>
      <c r="R11" s="24">
        <f>IF(R$8&gt;0,MIN(ROUND(R$6+IF(R$5=$C11,$E$5+$E11,0),2),ROUND(R$8+S11,2)),0)</f>
        <v>0</v>
      </c>
      <c r="S11" s="24">
        <f>IF(R$8&gt;0,ROUND(ROUND(R$8*100,0)*ROUND(R$7*10000,0)/12000000,0)/100,0)</f>
        <v>0</v>
      </c>
      <c r="T11" s="24">
        <f>IF(R$8&gt;0,ROUND(R$8+S11-R11,2),0)</f>
        <v>0</v>
      </c>
      <c r="U11" s="24">
        <f>IF(U$8&gt;0,MIN(ROUND(U$6+IF(U$5=$C11,$E$5+$E11,0),2),ROUND(U$8+V11,2)),0)</f>
        <v>0</v>
      </c>
      <c r="V11" s="24">
        <f>IF(U$8&gt;0,ROUND(ROUND(U$8*100,0)*ROUND(U$7*10000,0)/12000000,0)/100,0)</f>
        <v>0</v>
      </c>
      <c r="W11" s="24">
        <f>IF(U$8&gt;0,ROUND(U$8+V11-U11,2),0)</f>
        <v>0</v>
      </c>
      <c r="X11" s="24">
        <f>IF(X$8&gt;0,MIN(ROUND(X$6+IF(X$5=$C11,$E$5+$E11,0),2),ROUND(X$8+Y11,2)),0)</f>
        <v>0</v>
      </c>
      <c r="Y11" s="24">
        <f>IF(X$8&gt;0,ROUND(ROUND(X$8*100,0)*ROUND(X$7*10000,0)/12000000,0)/100,0)</f>
        <v>0</v>
      </c>
      <c r="Z11" s="24">
        <f>IF(X$8&gt;0,ROUND(X$8+Y11-X11,2),0)</f>
        <v>0</v>
      </c>
      <c r="AA11" s="24">
        <f>IF(AA$8&gt;0,MIN(ROUND(AA$6+IF(AA$5=$C11,$E$5+$E11,0),2),ROUND(AA$8+AB11,2)),0)</f>
        <v>0</v>
      </c>
      <c r="AB11" s="24">
        <f>IF(AA$8&gt;0,ROUND(ROUND(AA$8*100,0)*ROUND(AA$7*10000,0)/12000000,0)/100,0)</f>
        <v>0</v>
      </c>
      <c r="AC11" s="24">
        <f>IF(AA$8&gt;0,ROUND(AA$8+AB11-AA11,2),0)</f>
        <v>0</v>
      </c>
      <c r="AD11" s="24">
        <f>IF(AD$8&gt;0,MIN(ROUND(AD$6+IF(AD$5=$C11,$E$5+$E11,0),2),ROUND(AD$8+AE11,2)),0)</f>
        <v>0</v>
      </c>
      <c r="AE11" s="24">
        <f>IF(AD$8&gt;0,ROUND(ROUND(AD$8*100,0)*ROUND(AD$7*10000,0)/12000000,0)/100,0)</f>
        <v>0</v>
      </c>
      <c r="AF11" s="24">
        <f>IF(AD$8&gt;0,ROUND(AD$8+AE11-AD11,2),0)</f>
        <v>0</v>
      </c>
      <c r="AG11" s="24">
        <f>IF(AG$8&gt;0,MIN(ROUND(AG$6+IF(AG$5=$C11,$E$5+$E11,0),2),ROUND(AG$8+AH11,2)),0)</f>
        <v>0</v>
      </c>
      <c r="AH11" s="24">
        <f>IF(AG$8&gt;0,ROUND(ROUND(AG$8*100,0)*ROUND(AG$7*10000,0)/12000000,0)/100,0)</f>
        <v>0</v>
      </c>
      <c r="AI11" s="24">
        <f>IF(AG$8&gt;0,ROUND(AG$8+AH11-AG11,2),0)</f>
        <v>0</v>
      </c>
      <c r="AJ11" s="24">
        <f>IF(AJ$8&gt;0,MIN(ROUND(AJ$6+IF(AJ$5=$C11,$E$5+$E11,0),2),ROUND(AJ$8+AK11,2)),0)</f>
        <v>0</v>
      </c>
      <c r="AK11" s="24">
        <f>IF(AJ$8&gt;0,ROUND(ROUND(AJ$8*100,0)*ROUND(AJ$7*10000,0)/12000000,0)/100,0)</f>
        <v>0</v>
      </c>
      <c r="AL11" s="24">
        <f>IF(AJ$8&gt;0,ROUND(AJ$8+AK11-AJ11,2),0)</f>
        <v>0</v>
      </c>
    </row>
    <row r="12" spans="1:38" x14ac:dyDescent="0.25">
      <c r="A12" s="17">
        <f>IF(F12&gt;0,2,"")</f>
        <v>2</v>
      </c>
      <c r="B12" s="18">
        <f>IF(F12&gt;0,EDATE($E$6,2),"")</f>
        <v>46361</v>
      </c>
      <c r="C12" s="21">
        <f>IF(H11&gt;0,MIN(IF(K11&gt;0,I$5,99),IF(N11&gt;0,L$5,99),IF(Q11&gt;0,O$5,99),IF(T11&gt;0,R$5,99),IF(W11&gt;0,U$5,99),IF(Z11&gt;0,X$5,99),IF(AC11&gt;0,AA$5,99),IF(AF11&gt;0,AD$5,99),IF(AI11&gt;0,AG$5,99),IF(AL11&gt;0,AJ$5,99)),0)</f>
        <v>1</v>
      </c>
      <c r="D12" t="str">
        <f>IF(C12&gt;0,INDEX($I$4:$AL$4,1,MATCH(C12,$I$5:$AL$5,0)),"")</f>
        <v>Medical bill</v>
      </c>
      <c r="E12" s="24">
        <f>ROUND(IF(AND(I$8&gt;0,K11=0),I$6,0)+IF(AND(L$8&gt;0,N11=0),L$6,0)+IF(AND(O$8&gt;0,Q11=0),O$6,0)+IF(AND(R$8&gt;0,T11=0),R$6,0)+IF(AND(U$8&gt;0,W11=0),U$6,0)+IF(AND(X$8&gt;0,Z11=0),X$6,0)+IF(AND(AA$8&gt;0,AC11=0),AA$6,0)+IF(AND(AD$8&gt;0,AF11=0),AD$6,0)+IF(AND(AG$8&gt;0,AI11=0),AG$6,0)+IF(AND(AJ$8&gt;0,AL11=0),AJ$6,0),2)</f>
        <v>0</v>
      </c>
      <c r="F12" s="24">
        <f>ROUND(I12+L12+O12+R12+U12+X12+AA12+AD12+AG12+AJ12,2)</f>
        <v>480</v>
      </c>
      <c r="G12" s="24">
        <f>ROUND(J12+M12+P12+S12+V12+Y12+AB12+AE12+AH12+AK12,2)</f>
        <v>111.72</v>
      </c>
      <c r="H12" s="24">
        <f>ROUND(K12+N12+Q12+T12+W12+Z12+AC12+AF12+AI12+AL12,2)</f>
        <v>11554.9</v>
      </c>
      <c r="I12" s="24">
        <f>IF(K11&gt;0,MIN(ROUND(I$6+IF(I$5=$C12,$E$5+$E12,0),2),ROUND(K11+J12,2)),0)</f>
        <v>95</v>
      </c>
      <c r="J12" s="24">
        <f>IF(K11&gt;0,ROUND(ROUND(K11*100,0)*ROUND(I$7*10000,0)/12000000,0)/100,0)</f>
        <v>67.11</v>
      </c>
      <c r="K12" s="24">
        <f>IF(K11&gt;0,ROUND(K11+J12-I12,2),0)</f>
        <v>3194.79</v>
      </c>
      <c r="L12" s="24">
        <f>IF(N11&gt;0,MIN(ROUND(L$6+IF(L$5=$C12,$E$5+$E12,0),2),ROUND(N11+M12,2)),0)</f>
        <v>210</v>
      </c>
      <c r="M12" s="24">
        <f>IF(N11&gt;0,ROUND(ROUND(N11*100,0)*ROUND(L$7*10000,0)/12000000,0)/100,0)</f>
        <v>44.61</v>
      </c>
      <c r="N12" s="24">
        <f>IF(N11&gt;0,ROUND(N11+M12-L12,2),0)</f>
        <v>8070.11</v>
      </c>
      <c r="O12" s="24">
        <f>IF(Q11&gt;0,MIN(ROUND(O$6+IF(O$5=$C12,$E$5+$E12,0),2),ROUND(Q11+P12,2)),0)</f>
        <v>175</v>
      </c>
      <c r="P12" s="24">
        <f>IF(Q11&gt;0,ROUND(ROUND(Q11*100,0)*ROUND(O$7*10000,0)/12000000,0)/100,0)</f>
        <v>0</v>
      </c>
      <c r="Q12" s="24">
        <f>IF(Q11&gt;0,ROUND(Q11+P12-O12,2),0)</f>
        <v>290</v>
      </c>
      <c r="R12" s="24">
        <f>IF(T11&gt;0,MIN(ROUND(R$6+IF(R$5=$C12,$E$5+$E12,0),2),ROUND(T11+S12,2)),0)</f>
        <v>0</v>
      </c>
      <c r="S12" s="24">
        <f>IF(T11&gt;0,ROUND(ROUND(T11*100,0)*ROUND(R$7*10000,0)/12000000,0)/100,0)</f>
        <v>0</v>
      </c>
      <c r="T12" s="24">
        <f>IF(T11&gt;0,ROUND(T11+S12-R12,2),0)</f>
        <v>0</v>
      </c>
      <c r="U12" s="24">
        <f>IF(W11&gt;0,MIN(ROUND(U$6+IF(U$5=$C12,$E$5+$E12,0),2),ROUND(W11+V12,2)),0)</f>
        <v>0</v>
      </c>
      <c r="V12" s="24">
        <f>IF(W11&gt;0,ROUND(ROUND(W11*100,0)*ROUND(U$7*10000,0)/12000000,0)/100,0)</f>
        <v>0</v>
      </c>
      <c r="W12" s="24">
        <f>IF(W11&gt;0,ROUND(W11+V12-U12,2),0)</f>
        <v>0</v>
      </c>
      <c r="X12" s="24">
        <f>IF(Z11&gt;0,MIN(ROUND(X$6+IF(X$5=$C12,$E$5+$E12,0),2),ROUND(Z11+Y12,2)),0)</f>
        <v>0</v>
      </c>
      <c r="Y12" s="24">
        <f>IF(Z11&gt;0,ROUND(ROUND(Z11*100,0)*ROUND(X$7*10000,0)/12000000,0)/100,0)</f>
        <v>0</v>
      </c>
      <c r="Z12" s="24">
        <f>IF(Z11&gt;0,ROUND(Z11+Y12-X12,2),0)</f>
        <v>0</v>
      </c>
      <c r="AA12" s="24">
        <f>IF(AC11&gt;0,MIN(ROUND(AA$6+IF(AA$5=$C12,$E$5+$E12,0),2),ROUND(AC11+AB12,2)),0)</f>
        <v>0</v>
      </c>
      <c r="AB12" s="24">
        <f>IF(AC11&gt;0,ROUND(ROUND(AC11*100,0)*ROUND(AA$7*10000,0)/12000000,0)/100,0)</f>
        <v>0</v>
      </c>
      <c r="AC12" s="24">
        <f>IF(AC11&gt;0,ROUND(AC11+AB12-AA12,2),0)</f>
        <v>0</v>
      </c>
      <c r="AD12" s="24">
        <f>IF(AF11&gt;0,MIN(ROUND(AD$6+IF(AD$5=$C12,$E$5+$E12,0),2),ROUND(AF11+AE12,2)),0)</f>
        <v>0</v>
      </c>
      <c r="AE12" s="24">
        <f>IF(AF11&gt;0,ROUND(ROUND(AF11*100,0)*ROUND(AD$7*10000,0)/12000000,0)/100,0)</f>
        <v>0</v>
      </c>
      <c r="AF12" s="24">
        <f>IF(AF11&gt;0,ROUND(AF11+AE12-AD12,2),0)</f>
        <v>0</v>
      </c>
      <c r="AG12" s="24">
        <f>IF(AI11&gt;0,MIN(ROUND(AG$6+IF(AG$5=$C12,$E$5+$E12,0),2),ROUND(AI11+AH12,2)),0)</f>
        <v>0</v>
      </c>
      <c r="AH12" s="24">
        <f>IF(AI11&gt;0,ROUND(ROUND(AI11*100,0)*ROUND(AG$7*10000,0)/12000000,0)/100,0)</f>
        <v>0</v>
      </c>
      <c r="AI12" s="24">
        <f>IF(AI11&gt;0,ROUND(AI11+AH12-AG12,2),0)</f>
        <v>0</v>
      </c>
      <c r="AJ12" s="24">
        <f>IF(AL11&gt;0,MIN(ROUND(AJ$6+IF(AJ$5=$C12,$E$5+$E12,0),2),ROUND(AL11+AK12,2)),0)</f>
        <v>0</v>
      </c>
      <c r="AK12" s="24">
        <f>IF(AL11&gt;0,ROUND(ROUND(AL11*100,0)*ROUND(AJ$7*10000,0)/12000000,0)/100,0)</f>
        <v>0</v>
      </c>
      <c r="AL12" s="24">
        <f>IF(AL11&gt;0,ROUND(AL11+AK12-AJ12,2),0)</f>
        <v>0</v>
      </c>
    </row>
    <row r="13" spans="1:38" x14ac:dyDescent="0.25">
      <c r="A13" s="17">
        <f>IF(F13&gt;0,3,"")</f>
        <v>3</v>
      </c>
      <c r="B13" s="18">
        <f>IF(F13&gt;0,EDATE($E$6,3),"")</f>
        <v>46392</v>
      </c>
      <c r="C13" s="21">
        <f>IF(H12&gt;0,MIN(IF(K12&gt;0,I$5,99),IF(N12&gt;0,L$5,99),IF(Q12&gt;0,O$5,99),IF(T12&gt;0,R$5,99),IF(W12&gt;0,U$5,99),IF(Z12&gt;0,X$5,99),IF(AC12&gt;0,AA$5,99),IF(AF12&gt;0,AD$5,99),IF(AI12&gt;0,AG$5,99),IF(AL12&gt;0,AJ$5,99)),0)</f>
        <v>1</v>
      </c>
      <c r="D13" t="str">
        <f>IF(C13&gt;0,INDEX($I$4:$AL$4,1,MATCH(C13,$I$5:$AL$5,0)),"")</f>
        <v>Medical bill</v>
      </c>
      <c r="E13" s="24">
        <f>ROUND(IF(AND(I$8&gt;0,K12=0),I$6,0)+IF(AND(L$8&gt;0,N12=0),L$6,0)+IF(AND(O$8&gt;0,Q12=0),O$6,0)+IF(AND(R$8&gt;0,T12=0),R$6,0)+IF(AND(U$8&gt;0,W12=0),U$6,0)+IF(AND(X$8&gt;0,Z12=0),X$6,0)+IF(AND(AA$8&gt;0,AC12=0),AA$6,0)+IF(AND(AD$8&gt;0,AF12=0),AD$6,0)+IF(AND(AG$8&gt;0,AI12=0),AG$6,0)+IF(AND(AJ$8&gt;0,AL12=0),AJ$6,0),2)</f>
        <v>0</v>
      </c>
      <c r="F13" s="24">
        <f>ROUND(I13+L13+O13+R13+U13+X13+AA13+AD13+AG13+AJ13,2)</f>
        <v>480</v>
      </c>
      <c r="G13" s="24">
        <f>ROUND(J13+M13+P13+S13+V13+Y13+AB13+AE13+AH13+AK13,2)</f>
        <v>110.24</v>
      </c>
      <c r="H13" s="24">
        <f>ROUND(K13+N13+Q13+T13+W13+Z13+AC13+AF13+AI13+AL13,2)</f>
        <v>11185.14</v>
      </c>
      <c r="I13" s="24">
        <f>IF(K12&gt;0,MIN(ROUND(I$6+IF(I$5=$C13,$E$5+$E13,0),2),ROUND(K12+J13,2)),0)</f>
        <v>95</v>
      </c>
      <c r="J13" s="24">
        <f>IF(K12&gt;0,ROUND(ROUND(K12*100,0)*ROUND(I$7*10000,0)/12000000,0)/100,0)</f>
        <v>66.53</v>
      </c>
      <c r="K13" s="24">
        <f>IF(K12&gt;0,ROUND(K12+J13-I13,2),0)</f>
        <v>3166.32</v>
      </c>
      <c r="L13" s="24">
        <f>IF(N12&gt;0,MIN(ROUND(L$6+IF(L$5=$C13,$E$5+$E13,0),2),ROUND(N12+M13,2)),0)</f>
        <v>210</v>
      </c>
      <c r="M13" s="24">
        <f>IF(N12&gt;0,ROUND(ROUND(N12*100,0)*ROUND(L$7*10000,0)/12000000,0)/100,0)</f>
        <v>43.71</v>
      </c>
      <c r="N13" s="24">
        <f>IF(N12&gt;0,ROUND(N12+M13-L13,2),0)</f>
        <v>7903.82</v>
      </c>
      <c r="O13" s="24">
        <f>IF(Q12&gt;0,MIN(ROUND(O$6+IF(O$5=$C13,$E$5+$E13,0),2),ROUND(Q12+P13,2)),0)</f>
        <v>175</v>
      </c>
      <c r="P13" s="24">
        <f>IF(Q12&gt;0,ROUND(ROUND(Q12*100,0)*ROUND(O$7*10000,0)/12000000,0)/100,0)</f>
        <v>0</v>
      </c>
      <c r="Q13" s="24">
        <f>IF(Q12&gt;0,ROUND(Q12+P13-O13,2),0)</f>
        <v>115</v>
      </c>
      <c r="R13" s="24">
        <f>IF(T12&gt;0,MIN(ROUND(R$6+IF(R$5=$C13,$E$5+$E13,0),2),ROUND(T12+S13,2)),0)</f>
        <v>0</v>
      </c>
      <c r="S13" s="24">
        <f>IF(T12&gt;0,ROUND(ROUND(T12*100,0)*ROUND(R$7*10000,0)/12000000,0)/100,0)</f>
        <v>0</v>
      </c>
      <c r="T13" s="24">
        <f>IF(T12&gt;0,ROUND(T12+S13-R13,2),0)</f>
        <v>0</v>
      </c>
      <c r="U13" s="24">
        <f>IF(W12&gt;0,MIN(ROUND(U$6+IF(U$5=$C13,$E$5+$E13,0),2),ROUND(W12+V13,2)),0)</f>
        <v>0</v>
      </c>
      <c r="V13" s="24">
        <f>IF(W12&gt;0,ROUND(ROUND(W12*100,0)*ROUND(U$7*10000,0)/12000000,0)/100,0)</f>
        <v>0</v>
      </c>
      <c r="W13" s="24">
        <f>IF(W12&gt;0,ROUND(W12+V13-U13,2),0)</f>
        <v>0</v>
      </c>
      <c r="X13" s="24">
        <f>IF(Z12&gt;0,MIN(ROUND(X$6+IF(X$5=$C13,$E$5+$E13,0),2),ROUND(Z12+Y13,2)),0)</f>
        <v>0</v>
      </c>
      <c r="Y13" s="24">
        <f>IF(Z12&gt;0,ROUND(ROUND(Z12*100,0)*ROUND(X$7*10000,0)/12000000,0)/100,0)</f>
        <v>0</v>
      </c>
      <c r="Z13" s="24">
        <f>IF(Z12&gt;0,ROUND(Z12+Y13-X13,2),0)</f>
        <v>0</v>
      </c>
      <c r="AA13" s="24">
        <f>IF(AC12&gt;0,MIN(ROUND(AA$6+IF(AA$5=$C13,$E$5+$E13,0),2),ROUND(AC12+AB13,2)),0)</f>
        <v>0</v>
      </c>
      <c r="AB13" s="24">
        <f>IF(AC12&gt;0,ROUND(ROUND(AC12*100,0)*ROUND(AA$7*10000,0)/12000000,0)/100,0)</f>
        <v>0</v>
      </c>
      <c r="AC13" s="24">
        <f>IF(AC12&gt;0,ROUND(AC12+AB13-AA13,2),0)</f>
        <v>0</v>
      </c>
      <c r="AD13" s="24">
        <f>IF(AF12&gt;0,MIN(ROUND(AD$6+IF(AD$5=$C13,$E$5+$E13,0),2),ROUND(AF12+AE13,2)),0)</f>
        <v>0</v>
      </c>
      <c r="AE13" s="24">
        <f>IF(AF12&gt;0,ROUND(ROUND(AF12*100,0)*ROUND(AD$7*10000,0)/12000000,0)/100,0)</f>
        <v>0</v>
      </c>
      <c r="AF13" s="24">
        <f>IF(AF12&gt;0,ROUND(AF12+AE13-AD13,2),0)</f>
        <v>0</v>
      </c>
      <c r="AG13" s="24">
        <f>IF(AI12&gt;0,MIN(ROUND(AG$6+IF(AG$5=$C13,$E$5+$E13,0),2),ROUND(AI12+AH13,2)),0)</f>
        <v>0</v>
      </c>
      <c r="AH13" s="24">
        <f>IF(AI12&gt;0,ROUND(ROUND(AI12*100,0)*ROUND(AG$7*10000,0)/12000000,0)/100,0)</f>
        <v>0</v>
      </c>
      <c r="AI13" s="24">
        <f>IF(AI12&gt;0,ROUND(AI12+AH13-AG13,2),0)</f>
        <v>0</v>
      </c>
      <c r="AJ13" s="24">
        <f>IF(AL12&gt;0,MIN(ROUND(AJ$6+IF(AJ$5=$C13,$E$5+$E13,0),2),ROUND(AL12+AK13,2)),0)</f>
        <v>0</v>
      </c>
      <c r="AK13" s="24">
        <f>IF(AL12&gt;0,ROUND(ROUND(AL12*100,0)*ROUND(AJ$7*10000,0)/12000000,0)/100,0)</f>
        <v>0</v>
      </c>
      <c r="AL13" s="24">
        <f>IF(AL12&gt;0,ROUND(AL12+AK13-AJ13,2),0)</f>
        <v>0</v>
      </c>
    </row>
    <row r="14" spans="1:38" x14ac:dyDescent="0.25">
      <c r="A14" s="17">
        <f>IF(F14&gt;0,4,"")</f>
        <v>4</v>
      </c>
      <c r="B14" s="18">
        <f>IF(F14&gt;0,EDATE($E$6,4),"")</f>
        <v>46423</v>
      </c>
      <c r="C14" s="21">
        <f>IF(H13&gt;0,MIN(IF(K13&gt;0,I$5,99),IF(N13&gt;0,L$5,99),IF(Q13&gt;0,O$5,99),IF(T13&gt;0,R$5,99),IF(W13&gt;0,U$5,99),IF(Z13&gt;0,X$5,99),IF(AC13&gt;0,AA$5,99),IF(AF13&gt;0,AD$5,99),IF(AI13&gt;0,AG$5,99),IF(AL13&gt;0,AJ$5,99)),0)</f>
        <v>1</v>
      </c>
      <c r="D14" t="str">
        <f>IF(C14&gt;0,INDEX($I$4:$AL$4,1,MATCH(C14,$I$5:$AL$5,0)),"")</f>
        <v>Medical bill</v>
      </c>
      <c r="E14" s="24">
        <f>ROUND(IF(AND(I$8&gt;0,K13=0),I$6,0)+IF(AND(L$8&gt;0,N13=0),L$6,0)+IF(AND(O$8&gt;0,Q13=0),O$6,0)+IF(AND(R$8&gt;0,T13=0),R$6,0)+IF(AND(U$8&gt;0,W13=0),U$6,0)+IF(AND(X$8&gt;0,Z13=0),X$6,0)+IF(AND(AA$8&gt;0,AC13=0),AA$6,0)+IF(AND(AD$8&gt;0,AF13=0),AD$6,0)+IF(AND(AG$8&gt;0,AI13=0),AG$6,0)+IF(AND(AJ$8&gt;0,AL13=0),AJ$6,0),2)</f>
        <v>0</v>
      </c>
      <c r="F14" s="24">
        <f>ROUND(I14+L14+O14+R14+U14+X14+AA14+AD14+AG14+AJ14,2)</f>
        <v>420</v>
      </c>
      <c r="G14" s="24">
        <f>ROUND(J14+M14+P14+S14+V14+Y14+AB14+AE14+AH14+AK14,2)</f>
        <v>108.75</v>
      </c>
      <c r="H14" s="24">
        <f>ROUND(K14+N14+Q14+T14+W14+Z14+AC14+AF14+AI14+AL14,2)</f>
        <v>10873.89</v>
      </c>
      <c r="I14" s="24">
        <f>IF(K13&gt;0,MIN(ROUND(I$6+IF(I$5=$C14,$E$5+$E14,0),2),ROUND(K13+J14,2)),0)</f>
        <v>95</v>
      </c>
      <c r="J14" s="24">
        <f>IF(K13&gt;0,ROUND(ROUND(K13*100,0)*ROUND(I$7*10000,0)/12000000,0)/100,0)</f>
        <v>65.94</v>
      </c>
      <c r="K14" s="24">
        <f>IF(K13&gt;0,ROUND(K13+J14-I14,2),0)</f>
        <v>3137.26</v>
      </c>
      <c r="L14" s="24">
        <f>IF(N13&gt;0,MIN(ROUND(L$6+IF(L$5=$C14,$E$5+$E14,0),2),ROUND(N13+M14,2)),0)</f>
        <v>210</v>
      </c>
      <c r="M14" s="24">
        <f>IF(N13&gt;0,ROUND(ROUND(N13*100,0)*ROUND(L$7*10000,0)/12000000,0)/100,0)</f>
        <v>42.81</v>
      </c>
      <c r="N14" s="24">
        <f>IF(N13&gt;0,ROUND(N13+M14-L14,2),0)</f>
        <v>7736.63</v>
      </c>
      <c r="O14" s="24">
        <f>IF(Q13&gt;0,MIN(ROUND(O$6+IF(O$5=$C14,$E$5+$E14,0),2),ROUND(Q13+P14,2)),0)</f>
        <v>115</v>
      </c>
      <c r="P14" s="24">
        <f>IF(Q13&gt;0,ROUND(ROUND(Q13*100,0)*ROUND(O$7*10000,0)/12000000,0)/100,0)</f>
        <v>0</v>
      </c>
      <c r="Q14" s="24">
        <f>IF(Q13&gt;0,ROUND(Q13+P14-O14,2),0)</f>
        <v>0</v>
      </c>
      <c r="R14" s="24">
        <f>IF(T13&gt;0,MIN(ROUND(R$6+IF(R$5=$C14,$E$5+$E14,0),2),ROUND(T13+S14,2)),0)</f>
        <v>0</v>
      </c>
      <c r="S14" s="24">
        <f>IF(T13&gt;0,ROUND(ROUND(T13*100,0)*ROUND(R$7*10000,0)/12000000,0)/100,0)</f>
        <v>0</v>
      </c>
      <c r="T14" s="24">
        <f>IF(T13&gt;0,ROUND(T13+S14-R14,2),0)</f>
        <v>0</v>
      </c>
      <c r="U14" s="24">
        <f>IF(W13&gt;0,MIN(ROUND(U$6+IF(U$5=$C14,$E$5+$E14,0),2),ROUND(W13+V14,2)),0)</f>
        <v>0</v>
      </c>
      <c r="V14" s="24">
        <f>IF(W13&gt;0,ROUND(ROUND(W13*100,0)*ROUND(U$7*10000,0)/12000000,0)/100,0)</f>
        <v>0</v>
      </c>
      <c r="W14" s="24">
        <f>IF(W13&gt;0,ROUND(W13+V14-U14,2),0)</f>
        <v>0</v>
      </c>
      <c r="X14" s="24">
        <f>IF(Z13&gt;0,MIN(ROUND(X$6+IF(X$5=$C14,$E$5+$E14,0),2),ROUND(Z13+Y14,2)),0)</f>
        <v>0</v>
      </c>
      <c r="Y14" s="24">
        <f>IF(Z13&gt;0,ROUND(ROUND(Z13*100,0)*ROUND(X$7*10000,0)/12000000,0)/100,0)</f>
        <v>0</v>
      </c>
      <c r="Z14" s="24">
        <f>IF(Z13&gt;0,ROUND(Z13+Y14-X14,2),0)</f>
        <v>0</v>
      </c>
      <c r="AA14" s="24">
        <f>IF(AC13&gt;0,MIN(ROUND(AA$6+IF(AA$5=$C14,$E$5+$E14,0),2),ROUND(AC13+AB14,2)),0)</f>
        <v>0</v>
      </c>
      <c r="AB14" s="24">
        <f>IF(AC13&gt;0,ROUND(ROUND(AC13*100,0)*ROUND(AA$7*10000,0)/12000000,0)/100,0)</f>
        <v>0</v>
      </c>
      <c r="AC14" s="24">
        <f>IF(AC13&gt;0,ROUND(AC13+AB14-AA14,2),0)</f>
        <v>0</v>
      </c>
      <c r="AD14" s="24">
        <f>IF(AF13&gt;0,MIN(ROUND(AD$6+IF(AD$5=$C14,$E$5+$E14,0),2),ROUND(AF13+AE14,2)),0)</f>
        <v>0</v>
      </c>
      <c r="AE14" s="24">
        <f>IF(AF13&gt;0,ROUND(ROUND(AF13*100,0)*ROUND(AD$7*10000,0)/12000000,0)/100,0)</f>
        <v>0</v>
      </c>
      <c r="AF14" s="24">
        <f>IF(AF13&gt;0,ROUND(AF13+AE14-AD14,2),0)</f>
        <v>0</v>
      </c>
      <c r="AG14" s="24">
        <f>IF(AI13&gt;0,MIN(ROUND(AG$6+IF(AG$5=$C14,$E$5+$E14,0),2),ROUND(AI13+AH14,2)),0)</f>
        <v>0</v>
      </c>
      <c r="AH14" s="24">
        <f>IF(AI13&gt;0,ROUND(ROUND(AI13*100,0)*ROUND(AG$7*10000,0)/12000000,0)/100,0)</f>
        <v>0</v>
      </c>
      <c r="AI14" s="24">
        <f>IF(AI13&gt;0,ROUND(AI13+AH14-AG14,2),0)</f>
        <v>0</v>
      </c>
      <c r="AJ14" s="24">
        <f>IF(AL13&gt;0,MIN(ROUND(AJ$6+IF(AJ$5=$C14,$E$5+$E14,0),2),ROUND(AL13+AK14,2)),0)</f>
        <v>0</v>
      </c>
      <c r="AK14" s="24">
        <f>IF(AL13&gt;0,ROUND(ROUND(AL13*100,0)*ROUND(AJ$7*10000,0)/12000000,0)/100,0)</f>
        <v>0</v>
      </c>
      <c r="AL14" s="24">
        <f>IF(AL13&gt;0,ROUND(AL13+AK14-AJ14,2),0)</f>
        <v>0</v>
      </c>
    </row>
    <row r="15" spans="1:38" x14ac:dyDescent="0.25">
      <c r="A15" s="17">
        <f>IF(F15&gt;0,5,"")</f>
        <v>5</v>
      </c>
      <c r="B15" s="18">
        <f>IF(F15&gt;0,EDATE($E$6,5),"")</f>
        <v>46451</v>
      </c>
      <c r="C15" s="21">
        <f>IF(H14&gt;0,MIN(IF(K14&gt;0,I$5,99),IF(N14&gt;0,L$5,99),IF(Q14&gt;0,O$5,99),IF(T14&gt;0,R$5,99),IF(W14&gt;0,U$5,99),IF(Z14&gt;0,X$5,99),IF(AC14&gt;0,AA$5,99),IF(AF14&gt;0,AD$5,99),IF(AI14&gt;0,AG$5,99),IF(AL14&gt;0,AJ$5,99)),0)</f>
        <v>2</v>
      </c>
      <c r="D15" t="str">
        <f>IF(C15&gt;0,INDEX($I$4:$AL$4,1,MATCH(C15,$I$5:$AL$5,0)),"")</f>
        <v>Credit card</v>
      </c>
      <c r="E15" s="24">
        <f>ROUND(IF(AND(I$8&gt;0,K14=0),I$6,0)+IF(AND(L$8&gt;0,N14=0),L$6,0)+IF(AND(O$8&gt;0,Q14=0),O$6,0)+IF(AND(R$8&gt;0,T14=0),R$6,0)+IF(AND(U$8&gt;0,W14=0),U$6,0)+IF(AND(X$8&gt;0,Z14=0),X$6,0)+IF(AND(AA$8&gt;0,AC14=0),AA$6,0)+IF(AND(AD$8&gt;0,AF14=0),AD$6,0)+IF(AND(AG$8&gt;0,AI14=0),AG$6,0)+IF(AND(AJ$8&gt;0,AL14=0),AJ$6,0),2)</f>
        <v>25</v>
      </c>
      <c r="F15" s="24">
        <f>ROUND(I15+L15+O15+R15+U15+X15+AA15+AD15+AG15+AJ15,2)</f>
        <v>480</v>
      </c>
      <c r="G15" s="24">
        <f>ROUND(J15+M15+P15+S15+V15+Y15+AB15+AE15+AH15+AK15,2)</f>
        <v>107.24</v>
      </c>
      <c r="H15" s="24">
        <f>ROUND(K15+N15+Q15+T15+W15+Z15+AC15+AF15+AI15+AL15,2)</f>
        <v>10501.13</v>
      </c>
      <c r="I15" s="24">
        <f>IF(K14&gt;0,MIN(ROUND(I$6+IF(I$5=$C15,$E$5+$E15,0),2),ROUND(K14+J15,2)),0)</f>
        <v>270</v>
      </c>
      <c r="J15" s="24">
        <f>IF(K14&gt;0,ROUND(ROUND(K14*100,0)*ROUND(I$7*10000,0)/12000000,0)/100,0)</f>
        <v>65.33</v>
      </c>
      <c r="K15" s="24">
        <f>IF(K14&gt;0,ROUND(K14+J15-I15,2),0)</f>
        <v>2932.59</v>
      </c>
      <c r="L15" s="24">
        <f>IF(N14&gt;0,MIN(ROUND(L$6+IF(L$5=$C15,$E$5+$E15,0),2),ROUND(N14+M15,2)),0)</f>
        <v>210</v>
      </c>
      <c r="M15" s="24">
        <f>IF(N14&gt;0,ROUND(ROUND(N14*100,0)*ROUND(L$7*10000,0)/12000000,0)/100,0)</f>
        <v>41.91</v>
      </c>
      <c r="N15" s="24">
        <f>IF(N14&gt;0,ROUND(N14+M15-L15,2),0)</f>
        <v>7568.54</v>
      </c>
      <c r="O15" s="24">
        <f>IF(Q14&gt;0,MIN(ROUND(O$6+IF(O$5=$C15,$E$5+$E15,0),2),ROUND(Q14+P15,2)),0)</f>
        <v>0</v>
      </c>
      <c r="P15" s="24">
        <f>IF(Q14&gt;0,ROUND(ROUND(Q14*100,0)*ROUND(O$7*10000,0)/12000000,0)/100,0)</f>
        <v>0</v>
      </c>
      <c r="Q15" s="24">
        <f>IF(Q14&gt;0,ROUND(Q14+P15-O15,2),0)</f>
        <v>0</v>
      </c>
      <c r="R15" s="24">
        <f>IF(T14&gt;0,MIN(ROUND(R$6+IF(R$5=$C15,$E$5+$E15,0),2),ROUND(T14+S15,2)),0)</f>
        <v>0</v>
      </c>
      <c r="S15" s="24">
        <f>IF(T14&gt;0,ROUND(ROUND(T14*100,0)*ROUND(R$7*10000,0)/12000000,0)/100,0)</f>
        <v>0</v>
      </c>
      <c r="T15" s="24">
        <f>IF(T14&gt;0,ROUND(T14+S15-R15,2),0)</f>
        <v>0</v>
      </c>
      <c r="U15" s="24">
        <f>IF(W14&gt;0,MIN(ROUND(U$6+IF(U$5=$C15,$E$5+$E15,0),2),ROUND(W14+V15,2)),0)</f>
        <v>0</v>
      </c>
      <c r="V15" s="24">
        <f>IF(W14&gt;0,ROUND(ROUND(W14*100,0)*ROUND(U$7*10000,0)/12000000,0)/100,0)</f>
        <v>0</v>
      </c>
      <c r="W15" s="24">
        <f>IF(W14&gt;0,ROUND(W14+V15-U15,2),0)</f>
        <v>0</v>
      </c>
      <c r="X15" s="24">
        <f>IF(Z14&gt;0,MIN(ROUND(X$6+IF(X$5=$C15,$E$5+$E15,0),2),ROUND(Z14+Y15,2)),0)</f>
        <v>0</v>
      </c>
      <c r="Y15" s="24">
        <f>IF(Z14&gt;0,ROUND(ROUND(Z14*100,0)*ROUND(X$7*10000,0)/12000000,0)/100,0)</f>
        <v>0</v>
      </c>
      <c r="Z15" s="24">
        <f>IF(Z14&gt;0,ROUND(Z14+Y15-X15,2),0)</f>
        <v>0</v>
      </c>
      <c r="AA15" s="24">
        <f>IF(AC14&gt;0,MIN(ROUND(AA$6+IF(AA$5=$C15,$E$5+$E15,0),2),ROUND(AC14+AB15,2)),0)</f>
        <v>0</v>
      </c>
      <c r="AB15" s="24">
        <f>IF(AC14&gt;0,ROUND(ROUND(AC14*100,0)*ROUND(AA$7*10000,0)/12000000,0)/100,0)</f>
        <v>0</v>
      </c>
      <c r="AC15" s="24">
        <f>IF(AC14&gt;0,ROUND(AC14+AB15-AA15,2),0)</f>
        <v>0</v>
      </c>
      <c r="AD15" s="24">
        <f>IF(AF14&gt;0,MIN(ROUND(AD$6+IF(AD$5=$C15,$E$5+$E15,0),2),ROUND(AF14+AE15,2)),0)</f>
        <v>0</v>
      </c>
      <c r="AE15" s="24">
        <f>IF(AF14&gt;0,ROUND(ROUND(AF14*100,0)*ROUND(AD$7*10000,0)/12000000,0)/100,0)</f>
        <v>0</v>
      </c>
      <c r="AF15" s="24">
        <f>IF(AF14&gt;0,ROUND(AF14+AE15-AD15,2),0)</f>
        <v>0</v>
      </c>
      <c r="AG15" s="24">
        <f>IF(AI14&gt;0,MIN(ROUND(AG$6+IF(AG$5=$C15,$E$5+$E15,0),2),ROUND(AI14+AH15,2)),0)</f>
        <v>0</v>
      </c>
      <c r="AH15" s="24">
        <f>IF(AI14&gt;0,ROUND(ROUND(AI14*100,0)*ROUND(AG$7*10000,0)/12000000,0)/100,0)</f>
        <v>0</v>
      </c>
      <c r="AI15" s="24">
        <f>IF(AI14&gt;0,ROUND(AI14+AH15-AG15,2),0)</f>
        <v>0</v>
      </c>
      <c r="AJ15" s="24">
        <f>IF(AL14&gt;0,MIN(ROUND(AJ$6+IF(AJ$5=$C15,$E$5+$E15,0),2),ROUND(AL14+AK15,2)),0)</f>
        <v>0</v>
      </c>
      <c r="AK15" s="24">
        <f>IF(AL14&gt;0,ROUND(ROUND(AL14*100,0)*ROUND(AJ$7*10000,0)/12000000,0)/100,0)</f>
        <v>0</v>
      </c>
      <c r="AL15" s="24">
        <f>IF(AL14&gt;0,ROUND(AL14+AK15-AJ15,2),0)</f>
        <v>0</v>
      </c>
    </row>
    <row r="16" spans="1:38" x14ac:dyDescent="0.25">
      <c r="A16" s="17">
        <f>IF(F16&gt;0,6,"")</f>
        <v>6</v>
      </c>
      <c r="B16" s="18">
        <f>IF(F16&gt;0,EDATE($E$6,6),"")</f>
        <v>46482</v>
      </c>
      <c r="C16" s="21">
        <f>IF(H15&gt;0,MIN(IF(K15&gt;0,I$5,99),IF(N15&gt;0,L$5,99),IF(Q15&gt;0,O$5,99),IF(T15&gt;0,R$5,99),IF(W15&gt;0,U$5,99),IF(Z15&gt;0,X$5,99),IF(AC15&gt;0,AA$5,99),IF(AF15&gt;0,AD$5,99),IF(AI15&gt;0,AG$5,99),IF(AL15&gt;0,AJ$5,99)),0)</f>
        <v>2</v>
      </c>
      <c r="D16" t="str">
        <f>IF(C16&gt;0,INDEX($I$4:$AL$4,1,MATCH(C16,$I$5:$AL$5,0)),"")</f>
        <v>Credit card</v>
      </c>
      <c r="E16" s="24">
        <f>ROUND(IF(AND(I$8&gt;0,K15=0),I$6,0)+IF(AND(L$8&gt;0,N15=0),L$6,0)+IF(AND(O$8&gt;0,Q15=0),O$6,0)+IF(AND(R$8&gt;0,T15=0),R$6,0)+IF(AND(U$8&gt;0,W15=0),U$6,0)+IF(AND(X$8&gt;0,Z15=0),X$6,0)+IF(AND(AA$8&gt;0,AC15=0),AA$6,0)+IF(AND(AD$8&gt;0,AF15=0),AD$6,0)+IF(AND(AG$8&gt;0,AI15=0),AG$6,0)+IF(AND(AJ$8&gt;0,AL15=0),AJ$6,0),2)</f>
        <v>25</v>
      </c>
      <c r="F16" s="24">
        <f>ROUND(I16+L16+O16+R16+U16+X16+AA16+AD16+AG16+AJ16,2)</f>
        <v>480</v>
      </c>
      <c r="G16" s="24">
        <f>ROUND(J16+M16+P16+S16+V16+Y16+AB16+AE16+AH16+AK16,2)</f>
        <v>102.07</v>
      </c>
      <c r="H16" s="24">
        <f>ROUND(K16+N16+Q16+T16+W16+Z16+AC16+AF16+AI16+AL16,2)</f>
        <v>10123.2</v>
      </c>
      <c r="I16" s="24">
        <f>IF(K15&gt;0,MIN(ROUND(I$6+IF(I$5=$C16,$E$5+$E16,0),2),ROUND(K15+J16,2)),0)</f>
        <v>270</v>
      </c>
      <c r="J16" s="24">
        <f>IF(K15&gt;0,ROUND(ROUND(K15*100,0)*ROUND(I$7*10000,0)/12000000,0)/100,0)</f>
        <v>61.07</v>
      </c>
      <c r="K16" s="24">
        <f>IF(K15&gt;0,ROUND(K15+J16-I16,2),0)</f>
        <v>2723.66</v>
      </c>
      <c r="L16" s="24">
        <f>IF(N15&gt;0,MIN(ROUND(L$6+IF(L$5=$C16,$E$5+$E16,0),2),ROUND(N15+M16,2)),0)</f>
        <v>210</v>
      </c>
      <c r="M16" s="24">
        <f>IF(N15&gt;0,ROUND(ROUND(N15*100,0)*ROUND(L$7*10000,0)/12000000,0)/100,0)</f>
        <v>41</v>
      </c>
      <c r="N16" s="24">
        <f>IF(N15&gt;0,ROUND(N15+M16-L16,2),0)</f>
        <v>7399.54</v>
      </c>
      <c r="O16" s="24">
        <f>IF(Q15&gt;0,MIN(ROUND(O$6+IF(O$5=$C16,$E$5+$E16,0),2),ROUND(Q15+P16,2)),0)</f>
        <v>0</v>
      </c>
      <c r="P16" s="24">
        <f>IF(Q15&gt;0,ROUND(ROUND(Q15*100,0)*ROUND(O$7*10000,0)/12000000,0)/100,0)</f>
        <v>0</v>
      </c>
      <c r="Q16" s="24">
        <f>IF(Q15&gt;0,ROUND(Q15+P16-O16,2),0)</f>
        <v>0</v>
      </c>
      <c r="R16" s="24">
        <f>IF(T15&gt;0,MIN(ROUND(R$6+IF(R$5=$C16,$E$5+$E16,0),2),ROUND(T15+S16,2)),0)</f>
        <v>0</v>
      </c>
      <c r="S16" s="24">
        <f>IF(T15&gt;0,ROUND(ROUND(T15*100,0)*ROUND(R$7*10000,0)/12000000,0)/100,0)</f>
        <v>0</v>
      </c>
      <c r="T16" s="24">
        <f>IF(T15&gt;0,ROUND(T15+S16-R16,2),0)</f>
        <v>0</v>
      </c>
      <c r="U16" s="24">
        <f>IF(W15&gt;0,MIN(ROUND(U$6+IF(U$5=$C16,$E$5+$E16,0),2),ROUND(W15+V16,2)),0)</f>
        <v>0</v>
      </c>
      <c r="V16" s="24">
        <f>IF(W15&gt;0,ROUND(ROUND(W15*100,0)*ROUND(U$7*10000,0)/12000000,0)/100,0)</f>
        <v>0</v>
      </c>
      <c r="W16" s="24">
        <f>IF(W15&gt;0,ROUND(W15+V16-U16,2),0)</f>
        <v>0</v>
      </c>
      <c r="X16" s="24">
        <f>IF(Z15&gt;0,MIN(ROUND(X$6+IF(X$5=$C16,$E$5+$E16,0),2),ROUND(Z15+Y16,2)),0)</f>
        <v>0</v>
      </c>
      <c r="Y16" s="24">
        <f>IF(Z15&gt;0,ROUND(ROUND(Z15*100,0)*ROUND(X$7*10000,0)/12000000,0)/100,0)</f>
        <v>0</v>
      </c>
      <c r="Z16" s="24">
        <f>IF(Z15&gt;0,ROUND(Z15+Y16-X16,2),0)</f>
        <v>0</v>
      </c>
      <c r="AA16" s="24">
        <f>IF(AC15&gt;0,MIN(ROUND(AA$6+IF(AA$5=$C16,$E$5+$E16,0),2),ROUND(AC15+AB16,2)),0)</f>
        <v>0</v>
      </c>
      <c r="AB16" s="24">
        <f>IF(AC15&gt;0,ROUND(ROUND(AC15*100,0)*ROUND(AA$7*10000,0)/12000000,0)/100,0)</f>
        <v>0</v>
      </c>
      <c r="AC16" s="24">
        <f>IF(AC15&gt;0,ROUND(AC15+AB16-AA16,2),0)</f>
        <v>0</v>
      </c>
      <c r="AD16" s="24">
        <f>IF(AF15&gt;0,MIN(ROUND(AD$6+IF(AD$5=$C16,$E$5+$E16,0),2),ROUND(AF15+AE16,2)),0)</f>
        <v>0</v>
      </c>
      <c r="AE16" s="24">
        <f>IF(AF15&gt;0,ROUND(ROUND(AF15*100,0)*ROUND(AD$7*10000,0)/12000000,0)/100,0)</f>
        <v>0</v>
      </c>
      <c r="AF16" s="24">
        <f>IF(AF15&gt;0,ROUND(AF15+AE16-AD16,2),0)</f>
        <v>0</v>
      </c>
      <c r="AG16" s="24">
        <f>IF(AI15&gt;0,MIN(ROUND(AG$6+IF(AG$5=$C16,$E$5+$E16,0),2),ROUND(AI15+AH16,2)),0)</f>
        <v>0</v>
      </c>
      <c r="AH16" s="24">
        <f>IF(AI15&gt;0,ROUND(ROUND(AI15*100,0)*ROUND(AG$7*10000,0)/12000000,0)/100,0)</f>
        <v>0</v>
      </c>
      <c r="AI16" s="24">
        <f>IF(AI15&gt;0,ROUND(AI15+AH16-AG16,2),0)</f>
        <v>0</v>
      </c>
      <c r="AJ16" s="24">
        <f>IF(AL15&gt;0,MIN(ROUND(AJ$6+IF(AJ$5=$C16,$E$5+$E16,0),2),ROUND(AL15+AK16,2)),0)</f>
        <v>0</v>
      </c>
      <c r="AK16" s="24">
        <f>IF(AL15&gt;0,ROUND(ROUND(AL15*100,0)*ROUND(AJ$7*10000,0)/12000000,0)/100,0)</f>
        <v>0</v>
      </c>
      <c r="AL16" s="24">
        <f>IF(AL15&gt;0,ROUND(AL15+AK16-AJ16,2),0)</f>
        <v>0</v>
      </c>
    </row>
    <row r="17" spans="1:38" x14ac:dyDescent="0.25">
      <c r="A17" s="17">
        <f>IF(F17&gt;0,7,"")</f>
        <v>7</v>
      </c>
      <c r="B17" s="18">
        <f>IF(F17&gt;0,EDATE($E$6,7),"")</f>
        <v>46512</v>
      </c>
      <c r="C17" s="21">
        <f>IF(H16&gt;0,MIN(IF(K16&gt;0,I$5,99),IF(N16&gt;0,L$5,99),IF(Q16&gt;0,O$5,99),IF(T16&gt;0,R$5,99),IF(W16&gt;0,U$5,99),IF(Z16&gt;0,X$5,99),IF(AC16&gt;0,AA$5,99),IF(AF16&gt;0,AD$5,99),IF(AI16&gt;0,AG$5,99),IF(AL16&gt;0,AJ$5,99)),0)</f>
        <v>2</v>
      </c>
      <c r="D17" t="str">
        <f>IF(C17&gt;0,INDEX($I$4:$AL$4,1,MATCH(C17,$I$5:$AL$5,0)),"")</f>
        <v>Credit card</v>
      </c>
      <c r="E17" s="24">
        <f>ROUND(IF(AND(I$8&gt;0,K16=0),I$6,0)+IF(AND(L$8&gt;0,N16=0),L$6,0)+IF(AND(O$8&gt;0,Q16=0),O$6,0)+IF(AND(R$8&gt;0,T16=0),R$6,0)+IF(AND(U$8&gt;0,W16=0),U$6,0)+IF(AND(X$8&gt;0,Z16=0),X$6,0)+IF(AND(AA$8&gt;0,AC16=0),AA$6,0)+IF(AND(AD$8&gt;0,AF16=0),AD$6,0)+IF(AND(AG$8&gt;0,AI16=0),AG$6,0)+IF(AND(AJ$8&gt;0,AL16=0),AJ$6,0),2)</f>
        <v>25</v>
      </c>
      <c r="F17" s="24">
        <f>ROUND(I17+L17+O17+R17+U17+X17+AA17+AD17+AG17+AJ17,2)</f>
        <v>480</v>
      </c>
      <c r="G17" s="24">
        <f>ROUND(J17+M17+P17+S17+V17+Y17+AB17+AE17+AH17+AK17,2)</f>
        <v>96.8</v>
      </c>
      <c r="H17" s="24">
        <f>ROUND(K17+N17+Q17+T17+W17+Z17+AC17+AF17+AI17+AL17,2)</f>
        <v>9740</v>
      </c>
      <c r="I17" s="24">
        <f>IF(K16&gt;0,MIN(ROUND(I$6+IF(I$5=$C17,$E$5+$E17,0),2),ROUND(K16+J17,2)),0)</f>
        <v>270</v>
      </c>
      <c r="J17" s="24">
        <f>IF(K16&gt;0,ROUND(ROUND(K16*100,0)*ROUND(I$7*10000,0)/12000000,0)/100,0)</f>
        <v>56.72</v>
      </c>
      <c r="K17" s="24">
        <f>IF(K16&gt;0,ROUND(K16+J17-I17,2),0)</f>
        <v>2510.38</v>
      </c>
      <c r="L17" s="24">
        <f>IF(N16&gt;0,MIN(ROUND(L$6+IF(L$5=$C17,$E$5+$E17,0),2),ROUND(N16+M17,2)),0)</f>
        <v>210</v>
      </c>
      <c r="M17" s="24">
        <f>IF(N16&gt;0,ROUND(ROUND(N16*100,0)*ROUND(L$7*10000,0)/12000000,0)/100,0)</f>
        <v>40.08</v>
      </c>
      <c r="N17" s="24">
        <f>IF(N16&gt;0,ROUND(N16+M17-L17,2),0)</f>
        <v>7229.62</v>
      </c>
      <c r="O17" s="24">
        <f>IF(Q16&gt;0,MIN(ROUND(O$6+IF(O$5=$C17,$E$5+$E17,0),2),ROUND(Q16+P17,2)),0)</f>
        <v>0</v>
      </c>
      <c r="P17" s="24">
        <f>IF(Q16&gt;0,ROUND(ROUND(Q16*100,0)*ROUND(O$7*10000,0)/12000000,0)/100,0)</f>
        <v>0</v>
      </c>
      <c r="Q17" s="24">
        <f>IF(Q16&gt;0,ROUND(Q16+P17-O17,2),0)</f>
        <v>0</v>
      </c>
      <c r="R17" s="24">
        <f>IF(T16&gt;0,MIN(ROUND(R$6+IF(R$5=$C17,$E$5+$E17,0),2),ROUND(T16+S17,2)),0)</f>
        <v>0</v>
      </c>
      <c r="S17" s="24">
        <f>IF(T16&gt;0,ROUND(ROUND(T16*100,0)*ROUND(R$7*10000,0)/12000000,0)/100,0)</f>
        <v>0</v>
      </c>
      <c r="T17" s="24">
        <f>IF(T16&gt;0,ROUND(T16+S17-R17,2),0)</f>
        <v>0</v>
      </c>
      <c r="U17" s="24">
        <f>IF(W16&gt;0,MIN(ROUND(U$6+IF(U$5=$C17,$E$5+$E17,0),2),ROUND(W16+V17,2)),0)</f>
        <v>0</v>
      </c>
      <c r="V17" s="24">
        <f>IF(W16&gt;0,ROUND(ROUND(W16*100,0)*ROUND(U$7*10000,0)/12000000,0)/100,0)</f>
        <v>0</v>
      </c>
      <c r="W17" s="24">
        <f>IF(W16&gt;0,ROUND(W16+V17-U17,2),0)</f>
        <v>0</v>
      </c>
      <c r="X17" s="24">
        <f>IF(Z16&gt;0,MIN(ROUND(X$6+IF(X$5=$C17,$E$5+$E17,0),2),ROUND(Z16+Y17,2)),0)</f>
        <v>0</v>
      </c>
      <c r="Y17" s="24">
        <f>IF(Z16&gt;0,ROUND(ROUND(Z16*100,0)*ROUND(X$7*10000,0)/12000000,0)/100,0)</f>
        <v>0</v>
      </c>
      <c r="Z17" s="24">
        <f>IF(Z16&gt;0,ROUND(Z16+Y17-X17,2),0)</f>
        <v>0</v>
      </c>
      <c r="AA17" s="24">
        <f>IF(AC16&gt;0,MIN(ROUND(AA$6+IF(AA$5=$C17,$E$5+$E17,0),2),ROUND(AC16+AB17,2)),0)</f>
        <v>0</v>
      </c>
      <c r="AB17" s="24">
        <f>IF(AC16&gt;0,ROUND(ROUND(AC16*100,0)*ROUND(AA$7*10000,0)/12000000,0)/100,0)</f>
        <v>0</v>
      </c>
      <c r="AC17" s="24">
        <f>IF(AC16&gt;0,ROUND(AC16+AB17-AA17,2),0)</f>
        <v>0</v>
      </c>
      <c r="AD17" s="24">
        <f>IF(AF16&gt;0,MIN(ROUND(AD$6+IF(AD$5=$C17,$E$5+$E17,0),2),ROUND(AF16+AE17,2)),0)</f>
        <v>0</v>
      </c>
      <c r="AE17" s="24">
        <f>IF(AF16&gt;0,ROUND(ROUND(AF16*100,0)*ROUND(AD$7*10000,0)/12000000,0)/100,0)</f>
        <v>0</v>
      </c>
      <c r="AF17" s="24">
        <f>IF(AF16&gt;0,ROUND(AF16+AE17-AD17,2),0)</f>
        <v>0</v>
      </c>
      <c r="AG17" s="24">
        <f>IF(AI16&gt;0,MIN(ROUND(AG$6+IF(AG$5=$C17,$E$5+$E17,0),2),ROUND(AI16+AH17,2)),0)</f>
        <v>0</v>
      </c>
      <c r="AH17" s="24">
        <f>IF(AI16&gt;0,ROUND(ROUND(AI16*100,0)*ROUND(AG$7*10000,0)/12000000,0)/100,0)</f>
        <v>0</v>
      </c>
      <c r="AI17" s="24">
        <f>IF(AI16&gt;0,ROUND(AI16+AH17-AG17,2),0)</f>
        <v>0</v>
      </c>
      <c r="AJ17" s="24">
        <f>IF(AL16&gt;0,MIN(ROUND(AJ$6+IF(AJ$5=$C17,$E$5+$E17,0),2),ROUND(AL16+AK17,2)),0)</f>
        <v>0</v>
      </c>
      <c r="AK17" s="24">
        <f>IF(AL16&gt;0,ROUND(ROUND(AL16*100,0)*ROUND(AJ$7*10000,0)/12000000,0)/100,0)</f>
        <v>0</v>
      </c>
      <c r="AL17" s="24">
        <f>IF(AL16&gt;0,ROUND(AL16+AK17-AJ17,2),0)</f>
        <v>0</v>
      </c>
    </row>
    <row r="18" spans="1:38" x14ac:dyDescent="0.25">
      <c r="A18" s="17">
        <f>IF(F18&gt;0,8,"")</f>
        <v>8</v>
      </c>
      <c r="B18" s="18">
        <f>IF(F18&gt;0,EDATE($E$6,8),"")</f>
        <v>46543</v>
      </c>
      <c r="C18" s="21">
        <f>IF(H17&gt;0,MIN(IF(K17&gt;0,I$5,99),IF(N17&gt;0,L$5,99),IF(Q17&gt;0,O$5,99),IF(T17&gt;0,R$5,99),IF(W17&gt;0,U$5,99),IF(Z17&gt;0,X$5,99),IF(AC17&gt;0,AA$5,99),IF(AF17&gt;0,AD$5,99),IF(AI17&gt;0,AG$5,99),IF(AL17&gt;0,AJ$5,99)),0)</f>
        <v>2</v>
      </c>
      <c r="D18" t="str">
        <f>IF(C18&gt;0,INDEX($I$4:$AL$4,1,MATCH(C18,$I$5:$AL$5,0)),"")</f>
        <v>Credit card</v>
      </c>
      <c r="E18" s="24">
        <f>ROUND(IF(AND(I$8&gt;0,K17=0),I$6,0)+IF(AND(L$8&gt;0,N17=0),L$6,0)+IF(AND(O$8&gt;0,Q17=0),O$6,0)+IF(AND(R$8&gt;0,T17=0),R$6,0)+IF(AND(U$8&gt;0,W17=0),U$6,0)+IF(AND(X$8&gt;0,Z17=0),X$6,0)+IF(AND(AA$8&gt;0,AC17=0),AA$6,0)+IF(AND(AD$8&gt;0,AF17=0),AD$6,0)+IF(AND(AG$8&gt;0,AI17=0),AG$6,0)+IF(AND(AJ$8&gt;0,AL17=0),AJ$6,0),2)</f>
        <v>25</v>
      </c>
      <c r="F18" s="24">
        <f>ROUND(I18+L18+O18+R18+U18+X18+AA18+AD18+AG18+AJ18,2)</f>
        <v>480</v>
      </c>
      <c r="G18" s="24">
        <f>ROUND(J18+M18+P18+S18+V18+Y18+AB18+AE18+AH18+AK18,2)</f>
        <v>91.44</v>
      </c>
      <c r="H18" s="24">
        <f>ROUND(K18+N18+Q18+T18+W18+Z18+AC18+AF18+AI18+AL18,2)</f>
        <v>9351.44</v>
      </c>
      <c r="I18" s="24">
        <f>IF(K17&gt;0,MIN(ROUND(I$6+IF(I$5=$C18,$E$5+$E18,0),2),ROUND(K17+J18,2)),0)</f>
        <v>270</v>
      </c>
      <c r="J18" s="24">
        <f>IF(K17&gt;0,ROUND(ROUND(K17*100,0)*ROUND(I$7*10000,0)/12000000,0)/100,0)</f>
        <v>52.28</v>
      </c>
      <c r="K18" s="24">
        <f>IF(K17&gt;0,ROUND(K17+J18-I18,2),0)</f>
        <v>2292.66</v>
      </c>
      <c r="L18" s="24">
        <f>IF(N17&gt;0,MIN(ROUND(L$6+IF(L$5=$C18,$E$5+$E18,0),2),ROUND(N17+M18,2)),0)</f>
        <v>210</v>
      </c>
      <c r="M18" s="24">
        <f>IF(N17&gt;0,ROUND(ROUND(N17*100,0)*ROUND(L$7*10000,0)/12000000,0)/100,0)</f>
        <v>39.16</v>
      </c>
      <c r="N18" s="24">
        <f>IF(N17&gt;0,ROUND(N17+M18-L18,2),0)</f>
        <v>7058.78</v>
      </c>
      <c r="O18" s="24">
        <f>IF(Q17&gt;0,MIN(ROUND(O$6+IF(O$5=$C18,$E$5+$E18,0),2),ROUND(Q17+P18,2)),0)</f>
        <v>0</v>
      </c>
      <c r="P18" s="24">
        <f>IF(Q17&gt;0,ROUND(ROUND(Q17*100,0)*ROUND(O$7*10000,0)/12000000,0)/100,0)</f>
        <v>0</v>
      </c>
      <c r="Q18" s="24">
        <f>IF(Q17&gt;0,ROUND(Q17+P18-O18,2),0)</f>
        <v>0</v>
      </c>
      <c r="R18" s="24">
        <f>IF(T17&gt;0,MIN(ROUND(R$6+IF(R$5=$C18,$E$5+$E18,0),2),ROUND(T17+S18,2)),0)</f>
        <v>0</v>
      </c>
      <c r="S18" s="24">
        <f>IF(T17&gt;0,ROUND(ROUND(T17*100,0)*ROUND(R$7*10000,0)/12000000,0)/100,0)</f>
        <v>0</v>
      </c>
      <c r="T18" s="24">
        <f>IF(T17&gt;0,ROUND(T17+S18-R18,2),0)</f>
        <v>0</v>
      </c>
      <c r="U18" s="24">
        <f>IF(W17&gt;0,MIN(ROUND(U$6+IF(U$5=$C18,$E$5+$E18,0),2),ROUND(W17+V18,2)),0)</f>
        <v>0</v>
      </c>
      <c r="V18" s="24">
        <f>IF(W17&gt;0,ROUND(ROUND(W17*100,0)*ROUND(U$7*10000,0)/12000000,0)/100,0)</f>
        <v>0</v>
      </c>
      <c r="W18" s="24">
        <f>IF(W17&gt;0,ROUND(W17+V18-U18,2),0)</f>
        <v>0</v>
      </c>
      <c r="X18" s="24">
        <f>IF(Z17&gt;0,MIN(ROUND(X$6+IF(X$5=$C18,$E$5+$E18,0),2),ROUND(Z17+Y18,2)),0)</f>
        <v>0</v>
      </c>
      <c r="Y18" s="24">
        <f>IF(Z17&gt;0,ROUND(ROUND(Z17*100,0)*ROUND(X$7*10000,0)/12000000,0)/100,0)</f>
        <v>0</v>
      </c>
      <c r="Z18" s="24">
        <f>IF(Z17&gt;0,ROUND(Z17+Y18-X18,2),0)</f>
        <v>0</v>
      </c>
      <c r="AA18" s="24">
        <f>IF(AC17&gt;0,MIN(ROUND(AA$6+IF(AA$5=$C18,$E$5+$E18,0),2),ROUND(AC17+AB18,2)),0)</f>
        <v>0</v>
      </c>
      <c r="AB18" s="24">
        <f>IF(AC17&gt;0,ROUND(ROUND(AC17*100,0)*ROUND(AA$7*10000,0)/12000000,0)/100,0)</f>
        <v>0</v>
      </c>
      <c r="AC18" s="24">
        <f>IF(AC17&gt;0,ROUND(AC17+AB18-AA18,2),0)</f>
        <v>0</v>
      </c>
      <c r="AD18" s="24">
        <f>IF(AF17&gt;0,MIN(ROUND(AD$6+IF(AD$5=$C18,$E$5+$E18,0),2),ROUND(AF17+AE18,2)),0)</f>
        <v>0</v>
      </c>
      <c r="AE18" s="24">
        <f>IF(AF17&gt;0,ROUND(ROUND(AF17*100,0)*ROUND(AD$7*10000,0)/12000000,0)/100,0)</f>
        <v>0</v>
      </c>
      <c r="AF18" s="24">
        <f>IF(AF17&gt;0,ROUND(AF17+AE18-AD18,2),0)</f>
        <v>0</v>
      </c>
      <c r="AG18" s="24">
        <f>IF(AI17&gt;0,MIN(ROUND(AG$6+IF(AG$5=$C18,$E$5+$E18,0),2),ROUND(AI17+AH18,2)),0)</f>
        <v>0</v>
      </c>
      <c r="AH18" s="24">
        <f>IF(AI17&gt;0,ROUND(ROUND(AI17*100,0)*ROUND(AG$7*10000,0)/12000000,0)/100,0)</f>
        <v>0</v>
      </c>
      <c r="AI18" s="24">
        <f>IF(AI17&gt;0,ROUND(AI17+AH18-AG18,2),0)</f>
        <v>0</v>
      </c>
      <c r="AJ18" s="24">
        <f>IF(AL17&gt;0,MIN(ROUND(AJ$6+IF(AJ$5=$C18,$E$5+$E18,0),2),ROUND(AL17+AK18,2)),0)</f>
        <v>0</v>
      </c>
      <c r="AK18" s="24">
        <f>IF(AL17&gt;0,ROUND(ROUND(AL17*100,0)*ROUND(AJ$7*10000,0)/12000000,0)/100,0)</f>
        <v>0</v>
      </c>
      <c r="AL18" s="24">
        <f>IF(AL17&gt;0,ROUND(AL17+AK18-AJ18,2),0)</f>
        <v>0</v>
      </c>
    </row>
    <row r="19" spans="1:38" x14ac:dyDescent="0.25">
      <c r="A19" s="17">
        <f>IF(F19&gt;0,9,"")</f>
        <v>9</v>
      </c>
      <c r="B19" s="18">
        <f>IF(F19&gt;0,EDATE($E$6,9),"")</f>
        <v>46573</v>
      </c>
      <c r="C19" s="21">
        <f>IF(H18&gt;0,MIN(IF(K18&gt;0,I$5,99),IF(N18&gt;0,L$5,99),IF(Q18&gt;0,O$5,99),IF(T18&gt;0,R$5,99),IF(W18&gt;0,U$5,99),IF(Z18&gt;0,X$5,99),IF(AC18&gt;0,AA$5,99),IF(AF18&gt;0,AD$5,99),IF(AI18&gt;0,AG$5,99),IF(AL18&gt;0,AJ$5,99)),0)</f>
        <v>2</v>
      </c>
      <c r="D19" t="str">
        <f>IF(C19&gt;0,INDEX($I$4:$AL$4,1,MATCH(C19,$I$5:$AL$5,0)),"")</f>
        <v>Credit card</v>
      </c>
      <c r="E19" s="24">
        <f>ROUND(IF(AND(I$8&gt;0,K18=0),I$6,0)+IF(AND(L$8&gt;0,N18=0),L$6,0)+IF(AND(O$8&gt;0,Q18=0),O$6,0)+IF(AND(R$8&gt;0,T18=0),R$6,0)+IF(AND(U$8&gt;0,W18=0),U$6,0)+IF(AND(X$8&gt;0,Z18=0),X$6,0)+IF(AND(AA$8&gt;0,AC18=0),AA$6,0)+IF(AND(AD$8&gt;0,AF18=0),AD$6,0)+IF(AND(AG$8&gt;0,AI18=0),AG$6,0)+IF(AND(AJ$8&gt;0,AL18=0),AJ$6,0),2)</f>
        <v>25</v>
      </c>
      <c r="F19" s="24">
        <f>ROUND(I19+L19+O19+R19+U19+X19+AA19+AD19+AG19+AJ19,2)</f>
        <v>480</v>
      </c>
      <c r="G19" s="24">
        <f>ROUND(J19+M19+P19+S19+V19+Y19+AB19+AE19+AH19+AK19,2)</f>
        <v>85.98</v>
      </c>
      <c r="H19" s="24">
        <f>ROUND(K19+N19+Q19+T19+W19+Z19+AC19+AF19+AI19+AL19,2)</f>
        <v>8957.42</v>
      </c>
      <c r="I19" s="24">
        <f>IF(K18&gt;0,MIN(ROUND(I$6+IF(I$5=$C19,$E$5+$E19,0),2),ROUND(K18+J19,2)),0)</f>
        <v>270</v>
      </c>
      <c r="J19" s="24">
        <f>IF(K18&gt;0,ROUND(ROUND(K18*100,0)*ROUND(I$7*10000,0)/12000000,0)/100,0)</f>
        <v>47.74</v>
      </c>
      <c r="K19" s="24">
        <f>IF(K18&gt;0,ROUND(K18+J19-I19,2),0)</f>
        <v>2070.4</v>
      </c>
      <c r="L19" s="24">
        <f>IF(N18&gt;0,MIN(ROUND(L$6+IF(L$5=$C19,$E$5+$E19,0),2),ROUND(N18+M19,2)),0)</f>
        <v>210</v>
      </c>
      <c r="M19" s="24">
        <f>IF(N18&gt;0,ROUND(ROUND(N18*100,0)*ROUND(L$7*10000,0)/12000000,0)/100,0)</f>
        <v>38.24</v>
      </c>
      <c r="N19" s="24">
        <f>IF(N18&gt;0,ROUND(N18+M19-L19,2),0)</f>
        <v>6887.02</v>
      </c>
      <c r="O19" s="24">
        <f>IF(Q18&gt;0,MIN(ROUND(O$6+IF(O$5=$C19,$E$5+$E19,0),2),ROUND(Q18+P19,2)),0)</f>
        <v>0</v>
      </c>
      <c r="P19" s="24">
        <f>IF(Q18&gt;0,ROUND(ROUND(Q18*100,0)*ROUND(O$7*10000,0)/12000000,0)/100,0)</f>
        <v>0</v>
      </c>
      <c r="Q19" s="24">
        <f>IF(Q18&gt;0,ROUND(Q18+P19-O19,2),0)</f>
        <v>0</v>
      </c>
      <c r="R19" s="24">
        <f>IF(T18&gt;0,MIN(ROUND(R$6+IF(R$5=$C19,$E$5+$E19,0),2),ROUND(T18+S19,2)),0)</f>
        <v>0</v>
      </c>
      <c r="S19" s="24">
        <f>IF(T18&gt;0,ROUND(ROUND(T18*100,0)*ROUND(R$7*10000,0)/12000000,0)/100,0)</f>
        <v>0</v>
      </c>
      <c r="T19" s="24">
        <f>IF(T18&gt;0,ROUND(T18+S19-R19,2),0)</f>
        <v>0</v>
      </c>
      <c r="U19" s="24">
        <f>IF(W18&gt;0,MIN(ROUND(U$6+IF(U$5=$C19,$E$5+$E19,0),2),ROUND(W18+V19,2)),0)</f>
        <v>0</v>
      </c>
      <c r="V19" s="24">
        <f>IF(W18&gt;0,ROUND(ROUND(W18*100,0)*ROUND(U$7*10000,0)/12000000,0)/100,0)</f>
        <v>0</v>
      </c>
      <c r="W19" s="24">
        <f>IF(W18&gt;0,ROUND(W18+V19-U19,2),0)</f>
        <v>0</v>
      </c>
      <c r="X19" s="24">
        <f>IF(Z18&gt;0,MIN(ROUND(X$6+IF(X$5=$C19,$E$5+$E19,0),2),ROUND(Z18+Y19,2)),0)</f>
        <v>0</v>
      </c>
      <c r="Y19" s="24">
        <f>IF(Z18&gt;0,ROUND(ROUND(Z18*100,0)*ROUND(X$7*10000,0)/12000000,0)/100,0)</f>
        <v>0</v>
      </c>
      <c r="Z19" s="24">
        <f>IF(Z18&gt;0,ROUND(Z18+Y19-X19,2),0)</f>
        <v>0</v>
      </c>
      <c r="AA19" s="24">
        <f>IF(AC18&gt;0,MIN(ROUND(AA$6+IF(AA$5=$C19,$E$5+$E19,0),2),ROUND(AC18+AB19,2)),0)</f>
        <v>0</v>
      </c>
      <c r="AB19" s="24">
        <f>IF(AC18&gt;0,ROUND(ROUND(AC18*100,0)*ROUND(AA$7*10000,0)/12000000,0)/100,0)</f>
        <v>0</v>
      </c>
      <c r="AC19" s="24">
        <f>IF(AC18&gt;0,ROUND(AC18+AB19-AA19,2),0)</f>
        <v>0</v>
      </c>
      <c r="AD19" s="24">
        <f>IF(AF18&gt;0,MIN(ROUND(AD$6+IF(AD$5=$C19,$E$5+$E19,0),2),ROUND(AF18+AE19,2)),0)</f>
        <v>0</v>
      </c>
      <c r="AE19" s="24">
        <f>IF(AF18&gt;0,ROUND(ROUND(AF18*100,0)*ROUND(AD$7*10000,0)/12000000,0)/100,0)</f>
        <v>0</v>
      </c>
      <c r="AF19" s="24">
        <f>IF(AF18&gt;0,ROUND(AF18+AE19-AD19,2),0)</f>
        <v>0</v>
      </c>
      <c r="AG19" s="24">
        <f>IF(AI18&gt;0,MIN(ROUND(AG$6+IF(AG$5=$C19,$E$5+$E19,0),2),ROUND(AI18+AH19,2)),0)</f>
        <v>0</v>
      </c>
      <c r="AH19" s="24">
        <f>IF(AI18&gt;0,ROUND(ROUND(AI18*100,0)*ROUND(AG$7*10000,0)/12000000,0)/100,0)</f>
        <v>0</v>
      </c>
      <c r="AI19" s="24">
        <f>IF(AI18&gt;0,ROUND(AI18+AH19-AG19,2),0)</f>
        <v>0</v>
      </c>
      <c r="AJ19" s="24">
        <f>IF(AL18&gt;0,MIN(ROUND(AJ$6+IF(AJ$5=$C19,$E$5+$E19,0),2),ROUND(AL18+AK19,2)),0)</f>
        <v>0</v>
      </c>
      <c r="AK19" s="24">
        <f>IF(AL18&gt;0,ROUND(ROUND(AL18*100,0)*ROUND(AJ$7*10000,0)/12000000,0)/100,0)</f>
        <v>0</v>
      </c>
      <c r="AL19" s="24">
        <f>IF(AL18&gt;0,ROUND(AL18+AK19-AJ19,2),0)</f>
        <v>0</v>
      </c>
    </row>
    <row r="20" spans="1:38" x14ac:dyDescent="0.25">
      <c r="A20" s="17">
        <f>IF(F20&gt;0,10,"")</f>
        <v>10</v>
      </c>
      <c r="B20" s="18">
        <f>IF(F20&gt;0,EDATE($E$6,10),"")</f>
        <v>46604</v>
      </c>
      <c r="C20" s="21">
        <f>IF(H19&gt;0,MIN(IF(K19&gt;0,I$5,99),IF(N19&gt;0,L$5,99),IF(Q19&gt;0,O$5,99),IF(T19&gt;0,R$5,99),IF(W19&gt;0,U$5,99),IF(Z19&gt;0,X$5,99),IF(AC19&gt;0,AA$5,99),IF(AF19&gt;0,AD$5,99),IF(AI19&gt;0,AG$5,99),IF(AL19&gt;0,AJ$5,99)),0)</f>
        <v>2</v>
      </c>
      <c r="D20" t="str">
        <f>IF(C20&gt;0,INDEX($I$4:$AL$4,1,MATCH(C20,$I$5:$AL$5,0)),"")</f>
        <v>Credit card</v>
      </c>
      <c r="E20" s="24">
        <f>ROUND(IF(AND(I$8&gt;0,K19=0),I$6,0)+IF(AND(L$8&gt;0,N19=0),L$6,0)+IF(AND(O$8&gt;0,Q19=0),O$6,0)+IF(AND(R$8&gt;0,T19=0),R$6,0)+IF(AND(U$8&gt;0,W19=0),U$6,0)+IF(AND(X$8&gt;0,Z19=0),X$6,0)+IF(AND(AA$8&gt;0,AC19=0),AA$6,0)+IF(AND(AD$8&gt;0,AF19=0),AD$6,0)+IF(AND(AG$8&gt;0,AI19=0),AG$6,0)+IF(AND(AJ$8&gt;0,AL19=0),AJ$6,0),2)</f>
        <v>25</v>
      </c>
      <c r="F20" s="24">
        <f>ROUND(I20+L20+O20+R20+U20+X20+AA20+AD20+AG20+AJ20,2)</f>
        <v>480</v>
      </c>
      <c r="G20" s="24">
        <f>ROUND(J20+M20+P20+S20+V20+Y20+AB20+AE20+AH20+AK20,2)</f>
        <v>80.42</v>
      </c>
      <c r="H20" s="24">
        <f>ROUND(K20+N20+Q20+T20+W20+Z20+AC20+AF20+AI20+AL20,2)</f>
        <v>8557.84</v>
      </c>
      <c r="I20" s="24">
        <f>IF(K19&gt;0,MIN(ROUND(I$6+IF(I$5=$C20,$E$5+$E20,0),2),ROUND(K19+J20,2)),0)</f>
        <v>270</v>
      </c>
      <c r="J20" s="24">
        <f>IF(K19&gt;0,ROUND(ROUND(K19*100,0)*ROUND(I$7*10000,0)/12000000,0)/100,0)</f>
        <v>43.12</v>
      </c>
      <c r="K20" s="24">
        <f>IF(K19&gt;0,ROUND(K19+J20-I20,2),0)</f>
        <v>1843.52</v>
      </c>
      <c r="L20" s="24">
        <f>IF(N19&gt;0,MIN(ROUND(L$6+IF(L$5=$C20,$E$5+$E20,0),2),ROUND(N19+M20,2)),0)</f>
        <v>210</v>
      </c>
      <c r="M20" s="24">
        <f>IF(N19&gt;0,ROUND(ROUND(N19*100,0)*ROUND(L$7*10000,0)/12000000,0)/100,0)</f>
        <v>37.3</v>
      </c>
      <c r="N20" s="24">
        <f>IF(N19&gt;0,ROUND(N19+M20-L20,2),0)</f>
        <v>6714.32</v>
      </c>
      <c r="O20" s="24">
        <f>IF(Q19&gt;0,MIN(ROUND(O$6+IF(O$5=$C20,$E$5+$E20,0),2),ROUND(Q19+P20,2)),0)</f>
        <v>0</v>
      </c>
      <c r="P20" s="24">
        <f>IF(Q19&gt;0,ROUND(ROUND(Q19*100,0)*ROUND(O$7*10000,0)/12000000,0)/100,0)</f>
        <v>0</v>
      </c>
      <c r="Q20" s="24">
        <f>IF(Q19&gt;0,ROUND(Q19+P20-O20,2),0)</f>
        <v>0</v>
      </c>
      <c r="R20" s="24">
        <f>IF(T19&gt;0,MIN(ROUND(R$6+IF(R$5=$C20,$E$5+$E20,0),2),ROUND(T19+S20,2)),0)</f>
        <v>0</v>
      </c>
      <c r="S20" s="24">
        <f>IF(T19&gt;0,ROUND(ROUND(T19*100,0)*ROUND(R$7*10000,0)/12000000,0)/100,0)</f>
        <v>0</v>
      </c>
      <c r="T20" s="24">
        <f>IF(T19&gt;0,ROUND(T19+S20-R20,2),0)</f>
        <v>0</v>
      </c>
      <c r="U20" s="24">
        <f>IF(W19&gt;0,MIN(ROUND(U$6+IF(U$5=$C20,$E$5+$E20,0),2),ROUND(W19+V20,2)),0)</f>
        <v>0</v>
      </c>
      <c r="V20" s="24">
        <f>IF(W19&gt;0,ROUND(ROUND(W19*100,0)*ROUND(U$7*10000,0)/12000000,0)/100,0)</f>
        <v>0</v>
      </c>
      <c r="W20" s="24">
        <f>IF(W19&gt;0,ROUND(W19+V20-U20,2),0)</f>
        <v>0</v>
      </c>
      <c r="X20" s="24">
        <f>IF(Z19&gt;0,MIN(ROUND(X$6+IF(X$5=$C20,$E$5+$E20,0),2),ROUND(Z19+Y20,2)),0)</f>
        <v>0</v>
      </c>
      <c r="Y20" s="24">
        <f>IF(Z19&gt;0,ROUND(ROUND(Z19*100,0)*ROUND(X$7*10000,0)/12000000,0)/100,0)</f>
        <v>0</v>
      </c>
      <c r="Z20" s="24">
        <f>IF(Z19&gt;0,ROUND(Z19+Y20-X20,2),0)</f>
        <v>0</v>
      </c>
      <c r="AA20" s="24">
        <f>IF(AC19&gt;0,MIN(ROUND(AA$6+IF(AA$5=$C20,$E$5+$E20,0),2),ROUND(AC19+AB20,2)),0)</f>
        <v>0</v>
      </c>
      <c r="AB20" s="24">
        <f>IF(AC19&gt;0,ROUND(ROUND(AC19*100,0)*ROUND(AA$7*10000,0)/12000000,0)/100,0)</f>
        <v>0</v>
      </c>
      <c r="AC20" s="24">
        <f>IF(AC19&gt;0,ROUND(AC19+AB20-AA20,2),0)</f>
        <v>0</v>
      </c>
      <c r="AD20" s="24">
        <f>IF(AF19&gt;0,MIN(ROUND(AD$6+IF(AD$5=$C20,$E$5+$E20,0),2),ROUND(AF19+AE20,2)),0)</f>
        <v>0</v>
      </c>
      <c r="AE20" s="24">
        <f>IF(AF19&gt;0,ROUND(ROUND(AF19*100,0)*ROUND(AD$7*10000,0)/12000000,0)/100,0)</f>
        <v>0</v>
      </c>
      <c r="AF20" s="24">
        <f>IF(AF19&gt;0,ROUND(AF19+AE20-AD20,2),0)</f>
        <v>0</v>
      </c>
      <c r="AG20" s="24">
        <f>IF(AI19&gt;0,MIN(ROUND(AG$6+IF(AG$5=$C20,$E$5+$E20,0),2),ROUND(AI19+AH20,2)),0)</f>
        <v>0</v>
      </c>
      <c r="AH20" s="24">
        <f>IF(AI19&gt;0,ROUND(ROUND(AI19*100,0)*ROUND(AG$7*10000,0)/12000000,0)/100,0)</f>
        <v>0</v>
      </c>
      <c r="AI20" s="24">
        <f>IF(AI19&gt;0,ROUND(AI19+AH20-AG20,2),0)</f>
        <v>0</v>
      </c>
      <c r="AJ20" s="24">
        <f>IF(AL19&gt;0,MIN(ROUND(AJ$6+IF(AJ$5=$C20,$E$5+$E20,0),2),ROUND(AL19+AK20,2)),0)</f>
        <v>0</v>
      </c>
      <c r="AK20" s="24">
        <f>IF(AL19&gt;0,ROUND(ROUND(AL19*100,0)*ROUND(AJ$7*10000,0)/12000000,0)/100,0)</f>
        <v>0</v>
      </c>
      <c r="AL20" s="24">
        <f>IF(AL19&gt;0,ROUND(AL19+AK20-AJ20,2),0)</f>
        <v>0</v>
      </c>
    </row>
    <row r="21" spans="1:38" x14ac:dyDescent="0.25">
      <c r="A21" s="17">
        <f>IF(F21&gt;0,11,"")</f>
        <v>11</v>
      </c>
      <c r="B21" s="18">
        <f>IF(F21&gt;0,EDATE($E$6,11),"")</f>
        <v>46635</v>
      </c>
      <c r="C21" s="21">
        <f>IF(H20&gt;0,MIN(IF(K20&gt;0,I$5,99),IF(N20&gt;0,L$5,99),IF(Q20&gt;0,O$5,99),IF(T20&gt;0,R$5,99),IF(W20&gt;0,U$5,99),IF(Z20&gt;0,X$5,99),IF(AC20&gt;0,AA$5,99),IF(AF20&gt;0,AD$5,99),IF(AI20&gt;0,AG$5,99),IF(AL20&gt;0,AJ$5,99)),0)</f>
        <v>2</v>
      </c>
      <c r="D21" t="str">
        <f>IF(C21&gt;0,INDEX($I$4:$AL$4,1,MATCH(C21,$I$5:$AL$5,0)),"")</f>
        <v>Credit card</v>
      </c>
      <c r="E21" s="24">
        <f>ROUND(IF(AND(I$8&gt;0,K20=0),I$6,0)+IF(AND(L$8&gt;0,N20=0),L$6,0)+IF(AND(O$8&gt;0,Q20=0),O$6,0)+IF(AND(R$8&gt;0,T20=0),R$6,0)+IF(AND(U$8&gt;0,W20=0),U$6,0)+IF(AND(X$8&gt;0,Z20=0),X$6,0)+IF(AND(AA$8&gt;0,AC20=0),AA$6,0)+IF(AND(AD$8&gt;0,AF20=0),AD$6,0)+IF(AND(AG$8&gt;0,AI20=0),AG$6,0)+IF(AND(AJ$8&gt;0,AL20=0),AJ$6,0),2)</f>
        <v>25</v>
      </c>
      <c r="F21" s="24">
        <f>ROUND(I21+L21+O21+R21+U21+X21+AA21+AD21+AG21+AJ21,2)</f>
        <v>480</v>
      </c>
      <c r="G21" s="24">
        <f>ROUND(J21+M21+P21+S21+V21+Y21+AB21+AE21+AH21+AK21,2)</f>
        <v>74.76</v>
      </c>
      <c r="H21" s="24">
        <f>ROUND(K21+N21+Q21+T21+W21+Z21+AC21+AF21+AI21+AL21,2)</f>
        <v>8152.6</v>
      </c>
      <c r="I21" s="24">
        <f>IF(K20&gt;0,MIN(ROUND(I$6+IF(I$5=$C21,$E$5+$E21,0),2),ROUND(K20+J21,2)),0)</f>
        <v>270</v>
      </c>
      <c r="J21" s="24">
        <f>IF(K20&gt;0,ROUND(ROUND(K20*100,0)*ROUND(I$7*10000,0)/12000000,0)/100,0)</f>
        <v>38.39</v>
      </c>
      <c r="K21" s="24">
        <f>IF(K20&gt;0,ROUND(K20+J21-I21,2),0)</f>
        <v>1611.91</v>
      </c>
      <c r="L21" s="24">
        <f>IF(N20&gt;0,MIN(ROUND(L$6+IF(L$5=$C21,$E$5+$E21,0),2),ROUND(N20+M21,2)),0)</f>
        <v>210</v>
      </c>
      <c r="M21" s="24">
        <f>IF(N20&gt;0,ROUND(ROUND(N20*100,0)*ROUND(L$7*10000,0)/12000000,0)/100,0)</f>
        <v>36.37</v>
      </c>
      <c r="N21" s="24">
        <f>IF(N20&gt;0,ROUND(N20+M21-L21,2),0)</f>
        <v>6540.69</v>
      </c>
      <c r="O21" s="24">
        <f>IF(Q20&gt;0,MIN(ROUND(O$6+IF(O$5=$C21,$E$5+$E21,0),2),ROUND(Q20+P21,2)),0)</f>
        <v>0</v>
      </c>
      <c r="P21" s="24">
        <f>IF(Q20&gt;0,ROUND(ROUND(Q20*100,0)*ROUND(O$7*10000,0)/12000000,0)/100,0)</f>
        <v>0</v>
      </c>
      <c r="Q21" s="24">
        <f>IF(Q20&gt;0,ROUND(Q20+P21-O21,2),0)</f>
        <v>0</v>
      </c>
      <c r="R21" s="24">
        <f>IF(T20&gt;0,MIN(ROUND(R$6+IF(R$5=$C21,$E$5+$E21,0),2),ROUND(T20+S21,2)),0)</f>
        <v>0</v>
      </c>
      <c r="S21" s="24">
        <f>IF(T20&gt;0,ROUND(ROUND(T20*100,0)*ROUND(R$7*10000,0)/12000000,0)/100,0)</f>
        <v>0</v>
      </c>
      <c r="T21" s="24">
        <f>IF(T20&gt;0,ROUND(T20+S21-R21,2),0)</f>
        <v>0</v>
      </c>
      <c r="U21" s="24">
        <f>IF(W20&gt;0,MIN(ROUND(U$6+IF(U$5=$C21,$E$5+$E21,0),2),ROUND(W20+V21,2)),0)</f>
        <v>0</v>
      </c>
      <c r="V21" s="24">
        <f>IF(W20&gt;0,ROUND(ROUND(W20*100,0)*ROUND(U$7*10000,0)/12000000,0)/100,0)</f>
        <v>0</v>
      </c>
      <c r="W21" s="24">
        <f>IF(W20&gt;0,ROUND(W20+V21-U21,2),0)</f>
        <v>0</v>
      </c>
      <c r="X21" s="24">
        <f>IF(Z20&gt;0,MIN(ROUND(X$6+IF(X$5=$C21,$E$5+$E21,0),2),ROUND(Z20+Y21,2)),0)</f>
        <v>0</v>
      </c>
      <c r="Y21" s="24">
        <f>IF(Z20&gt;0,ROUND(ROUND(Z20*100,0)*ROUND(X$7*10000,0)/12000000,0)/100,0)</f>
        <v>0</v>
      </c>
      <c r="Z21" s="24">
        <f>IF(Z20&gt;0,ROUND(Z20+Y21-X21,2),0)</f>
        <v>0</v>
      </c>
      <c r="AA21" s="24">
        <f>IF(AC20&gt;0,MIN(ROUND(AA$6+IF(AA$5=$C21,$E$5+$E21,0),2),ROUND(AC20+AB21,2)),0)</f>
        <v>0</v>
      </c>
      <c r="AB21" s="24">
        <f>IF(AC20&gt;0,ROUND(ROUND(AC20*100,0)*ROUND(AA$7*10000,0)/12000000,0)/100,0)</f>
        <v>0</v>
      </c>
      <c r="AC21" s="24">
        <f>IF(AC20&gt;0,ROUND(AC20+AB21-AA21,2),0)</f>
        <v>0</v>
      </c>
      <c r="AD21" s="24">
        <f>IF(AF20&gt;0,MIN(ROUND(AD$6+IF(AD$5=$C21,$E$5+$E21,0),2),ROUND(AF20+AE21,2)),0)</f>
        <v>0</v>
      </c>
      <c r="AE21" s="24">
        <f>IF(AF20&gt;0,ROUND(ROUND(AF20*100,0)*ROUND(AD$7*10000,0)/12000000,0)/100,0)</f>
        <v>0</v>
      </c>
      <c r="AF21" s="24">
        <f>IF(AF20&gt;0,ROUND(AF20+AE21-AD21,2),0)</f>
        <v>0</v>
      </c>
      <c r="AG21" s="24">
        <f>IF(AI20&gt;0,MIN(ROUND(AG$6+IF(AG$5=$C21,$E$5+$E21,0),2),ROUND(AI20+AH21,2)),0)</f>
        <v>0</v>
      </c>
      <c r="AH21" s="24">
        <f>IF(AI20&gt;0,ROUND(ROUND(AI20*100,0)*ROUND(AG$7*10000,0)/12000000,0)/100,0)</f>
        <v>0</v>
      </c>
      <c r="AI21" s="24">
        <f>IF(AI20&gt;0,ROUND(AI20+AH21-AG21,2),0)</f>
        <v>0</v>
      </c>
      <c r="AJ21" s="24">
        <f>IF(AL20&gt;0,MIN(ROUND(AJ$6+IF(AJ$5=$C21,$E$5+$E21,0),2),ROUND(AL20+AK21,2)),0)</f>
        <v>0</v>
      </c>
      <c r="AK21" s="24">
        <f>IF(AL20&gt;0,ROUND(ROUND(AL20*100,0)*ROUND(AJ$7*10000,0)/12000000,0)/100,0)</f>
        <v>0</v>
      </c>
      <c r="AL21" s="24">
        <f>IF(AL20&gt;0,ROUND(AL20+AK21-AJ21,2),0)</f>
        <v>0</v>
      </c>
    </row>
    <row r="22" spans="1:38" x14ac:dyDescent="0.25">
      <c r="A22" s="17">
        <f>IF(F22&gt;0,12,"")</f>
        <v>12</v>
      </c>
      <c r="B22" s="18">
        <f>IF(F22&gt;0,EDATE($E$6,12),"")</f>
        <v>46665</v>
      </c>
      <c r="C22" s="21">
        <f>IF(H21&gt;0,MIN(IF(K21&gt;0,I$5,99),IF(N21&gt;0,L$5,99),IF(Q21&gt;0,O$5,99),IF(T21&gt;0,R$5,99),IF(W21&gt;0,U$5,99),IF(Z21&gt;0,X$5,99),IF(AC21&gt;0,AA$5,99),IF(AF21&gt;0,AD$5,99),IF(AI21&gt;0,AG$5,99),IF(AL21&gt;0,AJ$5,99)),0)</f>
        <v>2</v>
      </c>
      <c r="D22" t="str">
        <f>IF(C22&gt;0,INDEX($I$4:$AL$4,1,MATCH(C22,$I$5:$AL$5,0)),"")</f>
        <v>Credit card</v>
      </c>
      <c r="E22" s="24">
        <f>ROUND(IF(AND(I$8&gt;0,K21=0),I$6,0)+IF(AND(L$8&gt;0,N21=0),L$6,0)+IF(AND(O$8&gt;0,Q21=0),O$6,0)+IF(AND(R$8&gt;0,T21=0),R$6,0)+IF(AND(U$8&gt;0,W21=0),U$6,0)+IF(AND(X$8&gt;0,Z21=0),X$6,0)+IF(AND(AA$8&gt;0,AC21=0),AA$6,0)+IF(AND(AD$8&gt;0,AF21=0),AD$6,0)+IF(AND(AG$8&gt;0,AI21=0),AG$6,0)+IF(AND(AJ$8&gt;0,AL21=0),AJ$6,0),2)</f>
        <v>25</v>
      </c>
      <c r="F22" s="24">
        <f>ROUND(I22+L22+O22+R22+U22+X22+AA22+AD22+AG22+AJ22,2)</f>
        <v>480</v>
      </c>
      <c r="G22" s="24">
        <f>ROUND(J22+M22+P22+S22+V22+Y22+AB22+AE22+AH22+AK22,2)</f>
        <v>69</v>
      </c>
      <c r="H22" s="24">
        <f>ROUND(K22+N22+Q22+T22+W22+Z22+AC22+AF22+AI22+AL22,2)</f>
        <v>7741.6</v>
      </c>
      <c r="I22" s="24">
        <f>IF(K21&gt;0,MIN(ROUND(I$6+IF(I$5=$C22,$E$5+$E22,0),2),ROUND(K21+J22,2)),0)</f>
        <v>270</v>
      </c>
      <c r="J22" s="24">
        <f>IF(K21&gt;0,ROUND(ROUND(K21*100,0)*ROUND(I$7*10000,0)/12000000,0)/100,0)</f>
        <v>33.57</v>
      </c>
      <c r="K22" s="24">
        <f>IF(K21&gt;0,ROUND(K21+J22-I22,2),0)</f>
        <v>1375.48</v>
      </c>
      <c r="L22" s="24">
        <f>IF(N21&gt;0,MIN(ROUND(L$6+IF(L$5=$C22,$E$5+$E22,0),2),ROUND(N21+M22,2)),0)</f>
        <v>210</v>
      </c>
      <c r="M22" s="24">
        <f>IF(N21&gt;0,ROUND(ROUND(N21*100,0)*ROUND(L$7*10000,0)/12000000,0)/100,0)</f>
        <v>35.43</v>
      </c>
      <c r="N22" s="24">
        <f>IF(N21&gt;0,ROUND(N21+M22-L22,2),0)</f>
        <v>6366.12</v>
      </c>
      <c r="O22" s="24">
        <f>IF(Q21&gt;0,MIN(ROUND(O$6+IF(O$5=$C22,$E$5+$E22,0),2),ROUND(Q21+P22,2)),0)</f>
        <v>0</v>
      </c>
      <c r="P22" s="24">
        <f>IF(Q21&gt;0,ROUND(ROUND(Q21*100,0)*ROUND(O$7*10000,0)/12000000,0)/100,0)</f>
        <v>0</v>
      </c>
      <c r="Q22" s="24">
        <f>IF(Q21&gt;0,ROUND(Q21+P22-O22,2),0)</f>
        <v>0</v>
      </c>
      <c r="R22" s="24">
        <f>IF(T21&gt;0,MIN(ROUND(R$6+IF(R$5=$C22,$E$5+$E22,0),2),ROUND(T21+S22,2)),0)</f>
        <v>0</v>
      </c>
      <c r="S22" s="24">
        <f>IF(T21&gt;0,ROUND(ROUND(T21*100,0)*ROUND(R$7*10000,0)/12000000,0)/100,0)</f>
        <v>0</v>
      </c>
      <c r="T22" s="24">
        <f>IF(T21&gt;0,ROUND(T21+S22-R22,2),0)</f>
        <v>0</v>
      </c>
      <c r="U22" s="24">
        <f>IF(W21&gt;0,MIN(ROUND(U$6+IF(U$5=$C22,$E$5+$E22,0),2),ROUND(W21+V22,2)),0)</f>
        <v>0</v>
      </c>
      <c r="V22" s="24">
        <f>IF(W21&gt;0,ROUND(ROUND(W21*100,0)*ROUND(U$7*10000,0)/12000000,0)/100,0)</f>
        <v>0</v>
      </c>
      <c r="W22" s="24">
        <f>IF(W21&gt;0,ROUND(W21+V22-U22,2),0)</f>
        <v>0</v>
      </c>
      <c r="X22" s="24">
        <f>IF(Z21&gt;0,MIN(ROUND(X$6+IF(X$5=$C22,$E$5+$E22,0),2),ROUND(Z21+Y22,2)),0)</f>
        <v>0</v>
      </c>
      <c r="Y22" s="24">
        <f>IF(Z21&gt;0,ROUND(ROUND(Z21*100,0)*ROUND(X$7*10000,0)/12000000,0)/100,0)</f>
        <v>0</v>
      </c>
      <c r="Z22" s="24">
        <f>IF(Z21&gt;0,ROUND(Z21+Y22-X22,2),0)</f>
        <v>0</v>
      </c>
      <c r="AA22" s="24">
        <f>IF(AC21&gt;0,MIN(ROUND(AA$6+IF(AA$5=$C22,$E$5+$E22,0),2),ROUND(AC21+AB22,2)),0)</f>
        <v>0</v>
      </c>
      <c r="AB22" s="24">
        <f>IF(AC21&gt;0,ROUND(ROUND(AC21*100,0)*ROUND(AA$7*10000,0)/12000000,0)/100,0)</f>
        <v>0</v>
      </c>
      <c r="AC22" s="24">
        <f>IF(AC21&gt;0,ROUND(AC21+AB22-AA22,2),0)</f>
        <v>0</v>
      </c>
      <c r="AD22" s="24">
        <f>IF(AF21&gt;0,MIN(ROUND(AD$6+IF(AD$5=$C22,$E$5+$E22,0),2),ROUND(AF21+AE22,2)),0)</f>
        <v>0</v>
      </c>
      <c r="AE22" s="24">
        <f>IF(AF21&gt;0,ROUND(ROUND(AF21*100,0)*ROUND(AD$7*10000,0)/12000000,0)/100,0)</f>
        <v>0</v>
      </c>
      <c r="AF22" s="24">
        <f>IF(AF21&gt;0,ROUND(AF21+AE22-AD22,2),0)</f>
        <v>0</v>
      </c>
      <c r="AG22" s="24">
        <f>IF(AI21&gt;0,MIN(ROUND(AG$6+IF(AG$5=$C22,$E$5+$E22,0),2),ROUND(AI21+AH22,2)),0)</f>
        <v>0</v>
      </c>
      <c r="AH22" s="24">
        <f>IF(AI21&gt;0,ROUND(ROUND(AI21*100,0)*ROUND(AG$7*10000,0)/12000000,0)/100,0)</f>
        <v>0</v>
      </c>
      <c r="AI22" s="24">
        <f>IF(AI21&gt;0,ROUND(AI21+AH22-AG22,2),0)</f>
        <v>0</v>
      </c>
      <c r="AJ22" s="24">
        <f>IF(AL21&gt;0,MIN(ROUND(AJ$6+IF(AJ$5=$C22,$E$5+$E22,0),2),ROUND(AL21+AK22,2)),0)</f>
        <v>0</v>
      </c>
      <c r="AK22" s="24">
        <f>IF(AL21&gt;0,ROUND(ROUND(AL21*100,0)*ROUND(AJ$7*10000,0)/12000000,0)/100,0)</f>
        <v>0</v>
      </c>
      <c r="AL22" s="24">
        <f>IF(AL21&gt;0,ROUND(AL21+AK22-AJ22,2),0)</f>
        <v>0</v>
      </c>
    </row>
    <row r="23" spans="1:38" x14ac:dyDescent="0.25">
      <c r="A23" s="17">
        <f>IF(F23&gt;0,13,"")</f>
        <v>13</v>
      </c>
      <c r="B23" s="18">
        <f>IF(F23&gt;0,EDATE($E$6,13),"")</f>
        <v>46696</v>
      </c>
      <c r="C23" s="21">
        <f>IF(H22&gt;0,MIN(IF(K22&gt;0,I$5,99),IF(N22&gt;0,L$5,99),IF(Q22&gt;0,O$5,99),IF(T22&gt;0,R$5,99),IF(W22&gt;0,U$5,99),IF(Z22&gt;0,X$5,99),IF(AC22&gt;0,AA$5,99),IF(AF22&gt;0,AD$5,99),IF(AI22&gt;0,AG$5,99),IF(AL22&gt;0,AJ$5,99)),0)</f>
        <v>2</v>
      </c>
      <c r="D23" t="str">
        <f>IF(C23&gt;0,INDEX($I$4:$AL$4,1,MATCH(C23,$I$5:$AL$5,0)),"")</f>
        <v>Credit card</v>
      </c>
      <c r="E23" s="24">
        <f>ROUND(IF(AND(I$8&gt;0,K22=0),I$6,0)+IF(AND(L$8&gt;0,N22=0),L$6,0)+IF(AND(O$8&gt;0,Q22=0),O$6,0)+IF(AND(R$8&gt;0,T22=0),R$6,0)+IF(AND(U$8&gt;0,W22=0),U$6,0)+IF(AND(X$8&gt;0,Z22=0),X$6,0)+IF(AND(AA$8&gt;0,AC22=0),AA$6,0)+IF(AND(AD$8&gt;0,AF22=0),AD$6,0)+IF(AND(AG$8&gt;0,AI22=0),AG$6,0)+IF(AND(AJ$8&gt;0,AL22=0),AJ$6,0),2)</f>
        <v>25</v>
      </c>
      <c r="F23" s="24">
        <f>ROUND(I23+L23+O23+R23+U23+X23+AA23+AD23+AG23+AJ23,2)</f>
        <v>480</v>
      </c>
      <c r="G23" s="24">
        <f>ROUND(J23+M23+P23+S23+V23+Y23+AB23+AE23+AH23+AK23,2)</f>
        <v>63.12</v>
      </c>
      <c r="H23" s="24">
        <f>ROUND(K23+N23+Q23+T23+W23+Z23+AC23+AF23+AI23+AL23,2)</f>
        <v>7324.72</v>
      </c>
      <c r="I23" s="24">
        <f>IF(K22&gt;0,MIN(ROUND(I$6+IF(I$5=$C23,$E$5+$E23,0),2),ROUND(K22+J23,2)),0)</f>
        <v>270</v>
      </c>
      <c r="J23" s="24">
        <f>IF(K22&gt;0,ROUND(ROUND(K22*100,0)*ROUND(I$7*10000,0)/12000000,0)/100,0)</f>
        <v>28.64</v>
      </c>
      <c r="K23" s="24">
        <f>IF(K22&gt;0,ROUND(K22+J23-I23,2),0)</f>
        <v>1134.12</v>
      </c>
      <c r="L23" s="24">
        <f>IF(N22&gt;0,MIN(ROUND(L$6+IF(L$5=$C23,$E$5+$E23,0),2),ROUND(N22+M23,2)),0)</f>
        <v>210</v>
      </c>
      <c r="M23" s="24">
        <f>IF(N22&gt;0,ROUND(ROUND(N22*100,0)*ROUND(L$7*10000,0)/12000000,0)/100,0)</f>
        <v>34.48</v>
      </c>
      <c r="N23" s="24">
        <f>IF(N22&gt;0,ROUND(N22+M23-L23,2),0)</f>
        <v>6190.6</v>
      </c>
      <c r="O23" s="24">
        <f>IF(Q22&gt;0,MIN(ROUND(O$6+IF(O$5=$C23,$E$5+$E23,0),2),ROUND(Q22+P23,2)),0)</f>
        <v>0</v>
      </c>
      <c r="P23" s="24">
        <f>IF(Q22&gt;0,ROUND(ROUND(Q22*100,0)*ROUND(O$7*10000,0)/12000000,0)/100,0)</f>
        <v>0</v>
      </c>
      <c r="Q23" s="24">
        <f>IF(Q22&gt;0,ROUND(Q22+P23-O23,2),0)</f>
        <v>0</v>
      </c>
      <c r="R23" s="24">
        <f>IF(T22&gt;0,MIN(ROUND(R$6+IF(R$5=$C23,$E$5+$E23,0),2),ROUND(T22+S23,2)),0)</f>
        <v>0</v>
      </c>
      <c r="S23" s="24">
        <f>IF(T22&gt;0,ROUND(ROUND(T22*100,0)*ROUND(R$7*10000,0)/12000000,0)/100,0)</f>
        <v>0</v>
      </c>
      <c r="T23" s="24">
        <f>IF(T22&gt;0,ROUND(T22+S23-R23,2),0)</f>
        <v>0</v>
      </c>
      <c r="U23" s="24">
        <f>IF(W22&gt;0,MIN(ROUND(U$6+IF(U$5=$C23,$E$5+$E23,0),2),ROUND(W22+V23,2)),0)</f>
        <v>0</v>
      </c>
      <c r="V23" s="24">
        <f>IF(W22&gt;0,ROUND(ROUND(W22*100,0)*ROUND(U$7*10000,0)/12000000,0)/100,0)</f>
        <v>0</v>
      </c>
      <c r="W23" s="24">
        <f>IF(W22&gt;0,ROUND(W22+V23-U23,2),0)</f>
        <v>0</v>
      </c>
      <c r="X23" s="24">
        <f>IF(Z22&gt;0,MIN(ROUND(X$6+IF(X$5=$C23,$E$5+$E23,0),2),ROUND(Z22+Y23,2)),0)</f>
        <v>0</v>
      </c>
      <c r="Y23" s="24">
        <f>IF(Z22&gt;0,ROUND(ROUND(Z22*100,0)*ROUND(X$7*10000,0)/12000000,0)/100,0)</f>
        <v>0</v>
      </c>
      <c r="Z23" s="24">
        <f>IF(Z22&gt;0,ROUND(Z22+Y23-X23,2),0)</f>
        <v>0</v>
      </c>
      <c r="AA23" s="24">
        <f>IF(AC22&gt;0,MIN(ROUND(AA$6+IF(AA$5=$C23,$E$5+$E23,0),2),ROUND(AC22+AB23,2)),0)</f>
        <v>0</v>
      </c>
      <c r="AB23" s="24">
        <f>IF(AC22&gt;0,ROUND(ROUND(AC22*100,0)*ROUND(AA$7*10000,0)/12000000,0)/100,0)</f>
        <v>0</v>
      </c>
      <c r="AC23" s="24">
        <f>IF(AC22&gt;0,ROUND(AC22+AB23-AA23,2),0)</f>
        <v>0</v>
      </c>
      <c r="AD23" s="24">
        <f>IF(AF22&gt;0,MIN(ROUND(AD$6+IF(AD$5=$C23,$E$5+$E23,0),2),ROUND(AF22+AE23,2)),0)</f>
        <v>0</v>
      </c>
      <c r="AE23" s="24">
        <f>IF(AF22&gt;0,ROUND(ROUND(AF22*100,0)*ROUND(AD$7*10000,0)/12000000,0)/100,0)</f>
        <v>0</v>
      </c>
      <c r="AF23" s="24">
        <f>IF(AF22&gt;0,ROUND(AF22+AE23-AD23,2),0)</f>
        <v>0</v>
      </c>
      <c r="AG23" s="24">
        <f>IF(AI22&gt;0,MIN(ROUND(AG$6+IF(AG$5=$C23,$E$5+$E23,0),2),ROUND(AI22+AH23,2)),0)</f>
        <v>0</v>
      </c>
      <c r="AH23" s="24">
        <f>IF(AI22&gt;0,ROUND(ROUND(AI22*100,0)*ROUND(AG$7*10000,0)/12000000,0)/100,0)</f>
        <v>0</v>
      </c>
      <c r="AI23" s="24">
        <f>IF(AI22&gt;0,ROUND(AI22+AH23-AG23,2),0)</f>
        <v>0</v>
      </c>
      <c r="AJ23" s="24">
        <f>IF(AL22&gt;0,MIN(ROUND(AJ$6+IF(AJ$5=$C23,$E$5+$E23,0),2),ROUND(AL22+AK23,2)),0)</f>
        <v>0</v>
      </c>
      <c r="AK23" s="24">
        <f>IF(AL22&gt;0,ROUND(ROUND(AL22*100,0)*ROUND(AJ$7*10000,0)/12000000,0)/100,0)</f>
        <v>0</v>
      </c>
      <c r="AL23" s="24">
        <f>IF(AL22&gt;0,ROUND(AL22+AK23-AJ23,2),0)</f>
        <v>0</v>
      </c>
    </row>
    <row r="24" spans="1:38" x14ac:dyDescent="0.25">
      <c r="A24" s="17">
        <f>IF(F24&gt;0,14,"")</f>
        <v>14</v>
      </c>
      <c r="B24" s="18">
        <f>IF(F24&gt;0,EDATE($E$6,14),"")</f>
        <v>46726</v>
      </c>
      <c r="C24" s="21">
        <f>IF(H23&gt;0,MIN(IF(K23&gt;0,I$5,99),IF(N23&gt;0,L$5,99),IF(Q23&gt;0,O$5,99),IF(T23&gt;0,R$5,99),IF(W23&gt;0,U$5,99),IF(Z23&gt;0,X$5,99),IF(AC23&gt;0,AA$5,99),IF(AF23&gt;0,AD$5,99),IF(AI23&gt;0,AG$5,99),IF(AL23&gt;0,AJ$5,99)),0)</f>
        <v>2</v>
      </c>
      <c r="D24" t="str">
        <f>IF(C24&gt;0,INDEX($I$4:$AL$4,1,MATCH(C24,$I$5:$AL$5,0)),"")</f>
        <v>Credit card</v>
      </c>
      <c r="E24" s="24">
        <f>ROUND(IF(AND(I$8&gt;0,K23=0),I$6,0)+IF(AND(L$8&gt;0,N23=0),L$6,0)+IF(AND(O$8&gt;0,Q23=0),O$6,0)+IF(AND(R$8&gt;0,T23=0),R$6,0)+IF(AND(U$8&gt;0,W23=0),U$6,0)+IF(AND(X$8&gt;0,Z23=0),X$6,0)+IF(AND(AA$8&gt;0,AC23=0),AA$6,0)+IF(AND(AD$8&gt;0,AF23=0),AD$6,0)+IF(AND(AG$8&gt;0,AI23=0),AG$6,0)+IF(AND(AJ$8&gt;0,AL23=0),AJ$6,0),2)</f>
        <v>25</v>
      </c>
      <c r="F24" s="24">
        <f>ROUND(I24+L24+O24+R24+U24+X24+AA24+AD24+AG24+AJ24,2)</f>
        <v>480</v>
      </c>
      <c r="G24" s="24">
        <f>ROUND(J24+M24+P24+S24+V24+Y24+AB24+AE24+AH24+AK24,2)</f>
        <v>57.15</v>
      </c>
      <c r="H24" s="24">
        <f>ROUND(K24+N24+Q24+T24+W24+Z24+AC24+AF24+AI24+AL24,2)</f>
        <v>6901.87</v>
      </c>
      <c r="I24" s="24">
        <f>IF(K23&gt;0,MIN(ROUND(I$6+IF(I$5=$C24,$E$5+$E24,0),2),ROUND(K23+J24,2)),0)</f>
        <v>270</v>
      </c>
      <c r="J24" s="24">
        <f>IF(K23&gt;0,ROUND(ROUND(K23*100,0)*ROUND(I$7*10000,0)/12000000,0)/100,0)</f>
        <v>23.62</v>
      </c>
      <c r="K24" s="24">
        <f>IF(K23&gt;0,ROUND(K23+J24-I24,2),0)</f>
        <v>887.74</v>
      </c>
      <c r="L24" s="24">
        <f>IF(N23&gt;0,MIN(ROUND(L$6+IF(L$5=$C24,$E$5+$E24,0),2),ROUND(N23+M24,2)),0)</f>
        <v>210</v>
      </c>
      <c r="M24" s="24">
        <f>IF(N23&gt;0,ROUND(ROUND(N23*100,0)*ROUND(L$7*10000,0)/12000000,0)/100,0)</f>
        <v>33.53</v>
      </c>
      <c r="N24" s="24">
        <f>IF(N23&gt;0,ROUND(N23+M24-L24,2),0)</f>
        <v>6014.13</v>
      </c>
      <c r="O24" s="24">
        <f>IF(Q23&gt;0,MIN(ROUND(O$6+IF(O$5=$C24,$E$5+$E24,0),2),ROUND(Q23+P24,2)),0)</f>
        <v>0</v>
      </c>
      <c r="P24" s="24">
        <f>IF(Q23&gt;0,ROUND(ROUND(Q23*100,0)*ROUND(O$7*10000,0)/12000000,0)/100,0)</f>
        <v>0</v>
      </c>
      <c r="Q24" s="24">
        <f>IF(Q23&gt;0,ROUND(Q23+P24-O24,2),0)</f>
        <v>0</v>
      </c>
      <c r="R24" s="24">
        <f>IF(T23&gt;0,MIN(ROUND(R$6+IF(R$5=$C24,$E$5+$E24,0),2),ROUND(T23+S24,2)),0)</f>
        <v>0</v>
      </c>
      <c r="S24" s="24">
        <f>IF(T23&gt;0,ROUND(ROUND(T23*100,0)*ROUND(R$7*10000,0)/12000000,0)/100,0)</f>
        <v>0</v>
      </c>
      <c r="T24" s="24">
        <f>IF(T23&gt;0,ROUND(T23+S24-R24,2),0)</f>
        <v>0</v>
      </c>
      <c r="U24" s="24">
        <f>IF(W23&gt;0,MIN(ROUND(U$6+IF(U$5=$C24,$E$5+$E24,0),2),ROUND(W23+V24,2)),0)</f>
        <v>0</v>
      </c>
      <c r="V24" s="24">
        <f>IF(W23&gt;0,ROUND(ROUND(W23*100,0)*ROUND(U$7*10000,0)/12000000,0)/100,0)</f>
        <v>0</v>
      </c>
      <c r="W24" s="24">
        <f>IF(W23&gt;0,ROUND(W23+V24-U24,2),0)</f>
        <v>0</v>
      </c>
      <c r="X24" s="24">
        <f>IF(Z23&gt;0,MIN(ROUND(X$6+IF(X$5=$C24,$E$5+$E24,0),2),ROUND(Z23+Y24,2)),0)</f>
        <v>0</v>
      </c>
      <c r="Y24" s="24">
        <f>IF(Z23&gt;0,ROUND(ROUND(Z23*100,0)*ROUND(X$7*10000,0)/12000000,0)/100,0)</f>
        <v>0</v>
      </c>
      <c r="Z24" s="24">
        <f>IF(Z23&gt;0,ROUND(Z23+Y24-X24,2),0)</f>
        <v>0</v>
      </c>
      <c r="AA24" s="24">
        <f>IF(AC23&gt;0,MIN(ROUND(AA$6+IF(AA$5=$C24,$E$5+$E24,0),2),ROUND(AC23+AB24,2)),0)</f>
        <v>0</v>
      </c>
      <c r="AB24" s="24">
        <f>IF(AC23&gt;0,ROUND(ROUND(AC23*100,0)*ROUND(AA$7*10000,0)/12000000,0)/100,0)</f>
        <v>0</v>
      </c>
      <c r="AC24" s="24">
        <f>IF(AC23&gt;0,ROUND(AC23+AB24-AA24,2),0)</f>
        <v>0</v>
      </c>
      <c r="AD24" s="24">
        <f>IF(AF23&gt;0,MIN(ROUND(AD$6+IF(AD$5=$C24,$E$5+$E24,0),2),ROUND(AF23+AE24,2)),0)</f>
        <v>0</v>
      </c>
      <c r="AE24" s="24">
        <f>IF(AF23&gt;0,ROUND(ROUND(AF23*100,0)*ROUND(AD$7*10000,0)/12000000,0)/100,0)</f>
        <v>0</v>
      </c>
      <c r="AF24" s="24">
        <f>IF(AF23&gt;0,ROUND(AF23+AE24-AD24,2),0)</f>
        <v>0</v>
      </c>
      <c r="AG24" s="24">
        <f>IF(AI23&gt;0,MIN(ROUND(AG$6+IF(AG$5=$C24,$E$5+$E24,0),2),ROUND(AI23+AH24,2)),0)</f>
        <v>0</v>
      </c>
      <c r="AH24" s="24">
        <f>IF(AI23&gt;0,ROUND(ROUND(AI23*100,0)*ROUND(AG$7*10000,0)/12000000,0)/100,0)</f>
        <v>0</v>
      </c>
      <c r="AI24" s="24">
        <f>IF(AI23&gt;0,ROUND(AI23+AH24-AG24,2),0)</f>
        <v>0</v>
      </c>
      <c r="AJ24" s="24">
        <f>IF(AL23&gt;0,MIN(ROUND(AJ$6+IF(AJ$5=$C24,$E$5+$E24,0),2),ROUND(AL23+AK24,2)),0)</f>
        <v>0</v>
      </c>
      <c r="AK24" s="24">
        <f>IF(AL23&gt;0,ROUND(ROUND(AL23*100,0)*ROUND(AJ$7*10000,0)/12000000,0)/100,0)</f>
        <v>0</v>
      </c>
      <c r="AL24" s="24">
        <f>IF(AL23&gt;0,ROUND(AL23+AK24-AJ24,2),0)</f>
        <v>0</v>
      </c>
    </row>
    <row r="25" spans="1:38" x14ac:dyDescent="0.25">
      <c r="A25" s="17">
        <f>IF(F25&gt;0,15,"")</f>
        <v>15</v>
      </c>
      <c r="B25" s="18">
        <f>IF(F25&gt;0,EDATE($E$6,15),"")</f>
        <v>46757</v>
      </c>
      <c r="C25" s="21">
        <f>IF(H24&gt;0,MIN(IF(K24&gt;0,I$5,99),IF(N24&gt;0,L$5,99),IF(Q24&gt;0,O$5,99),IF(T24&gt;0,R$5,99),IF(W24&gt;0,U$5,99),IF(Z24&gt;0,X$5,99),IF(AC24&gt;0,AA$5,99),IF(AF24&gt;0,AD$5,99),IF(AI24&gt;0,AG$5,99),IF(AL24&gt;0,AJ$5,99)),0)</f>
        <v>2</v>
      </c>
      <c r="D25" t="str">
        <f>IF(C25&gt;0,INDEX($I$4:$AL$4,1,MATCH(C25,$I$5:$AL$5,0)),"")</f>
        <v>Credit card</v>
      </c>
      <c r="E25" s="24">
        <f>ROUND(IF(AND(I$8&gt;0,K24=0),I$6,0)+IF(AND(L$8&gt;0,N24=0),L$6,0)+IF(AND(O$8&gt;0,Q24=0),O$6,0)+IF(AND(R$8&gt;0,T24=0),R$6,0)+IF(AND(U$8&gt;0,W24=0),U$6,0)+IF(AND(X$8&gt;0,Z24=0),X$6,0)+IF(AND(AA$8&gt;0,AC24=0),AA$6,0)+IF(AND(AD$8&gt;0,AF24=0),AD$6,0)+IF(AND(AG$8&gt;0,AI24=0),AG$6,0)+IF(AND(AJ$8&gt;0,AL24=0),AJ$6,0),2)</f>
        <v>25</v>
      </c>
      <c r="F25" s="24">
        <f>ROUND(I25+L25+O25+R25+U25+X25+AA25+AD25+AG25+AJ25,2)</f>
        <v>480</v>
      </c>
      <c r="G25" s="24">
        <f>ROUND(J25+M25+P25+S25+V25+Y25+AB25+AE25+AH25+AK25,2)</f>
        <v>51.07</v>
      </c>
      <c r="H25" s="24">
        <f>ROUND(K25+N25+Q25+T25+W25+Z25+AC25+AF25+AI25+AL25,2)</f>
        <v>6472.94</v>
      </c>
      <c r="I25" s="24">
        <f>IF(K24&gt;0,MIN(ROUND(I$6+IF(I$5=$C25,$E$5+$E25,0),2),ROUND(K24+J25,2)),0)</f>
        <v>270</v>
      </c>
      <c r="J25" s="24">
        <f>IF(K24&gt;0,ROUND(ROUND(K24*100,0)*ROUND(I$7*10000,0)/12000000,0)/100,0)</f>
        <v>18.49</v>
      </c>
      <c r="K25" s="24">
        <f>IF(K24&gt;0,ROUND(K24+J25-I25,2),0)</f>
        <v>636.23</v>
      </c>
      <c r="L25" s="24">
        <f>IF(N24&gt;0,MIN(ROUND(L$6+IF(L$5=$C25,$E$5+$E25,0),2),ROUND(N24+M25,2)),0)</f>
        <v>210</v>
      </c>
      <c r="M25" s="24">
        <f>IF(N24&gt;0,ROUND(ROUND(N24*100,0)*ROUND(L$7*10000,0)/12000000,0)/100,0)</f>
        <v>32.58</v>
      </c>
      <c r="N25" s="24">
        <f>IF(N24&gt;0,ROUND(N24+M25-L25,2),0)</f>
        <v>5836.71</v>
      </c>
      <c r="O25" s="24">
        <f>IF(Q24&gt;0,MIN(ROUND(O$6+IF(O$5=$C25,$E$5+$E25,0),2),ROUND(Q24+P25,2)),0)</f>
        <v>0</v>
      </c>
      <c r="P25" s="24">
        <f>IF(Q24&gt;0,ROUND(ROUND(Q24*100,0)*ROUND(O$7*10000,0)/12000000,0)/100,0)</f>
        <v>0</v>
      </c>
      <c r="Q25" s="24">
        <f>IF(Q24&gt;0,ROUND(Q24+P25-O25,2),0)</f>
        <v>0</v>
      </c>
      <c r="R25" s="24">
        <f>IF(T24&gt;0,MIN(ROUND(R$6+IF(R$5=$C25,$E$5+$E25,0),2),ROUND(T24+S25,2)),0)</f>
        <v>0</v>
      </c>
      <c r="S25" s="24">
        <f>IF(T24&gt;0,ROUND(ROUND(T24*100,0)*ROUND(R$7*10000,0)/12000000,0)/100,0)</f>
        <v>0</v>
      </c>
      <c r="T25" s="24">
        <f>IF(T24&gt;0,ROUND(T24+S25-R25,2),0)</f>
        <v>0</v>
      </c>
      <c r="U25" s="24">
        <f>IF(W24&gt;0,MIN(ROUND(U$6+IF(U$5=$C25,$E$5+$E25,0),2),ROUND(W24+V25,2)),0)</f>
        <v>0</v>
      </c>
      <c r="V25" s="24">
        <f>IF(W24&gt;0,ROUND(ROUND(W24*100,0)*ROUND(U$7*10000,0)/12000000,0)/100,0)</f>
        <v>0</v>
      </c>
      <c r="W25" s="24">
        <f>IF(W24&gt;0,ROUND(W24+V25-U25,2),0)</f>
        <v>0</v>
      </c>
      <c r="X25" s="24">
        <f>IF(Z24&gt;0,MIN(ROUND(X$6+IF(X$5=$C25,$E$5+$E25,0),2),ROUND(Z24+Y25,2)),0)</f>
        <v>0</v>
      </c>
      <c r="Y25" s="24">
        <f>IF(Z24&gt;0,ROUND(ROUND(Z24*100,0)*ROUND(X$7*10000,0)/12000000,0)/100,0)</f>
        <v>0</v>
      </c>
      <c r="Z25" s="24">
        <f>IF(Z24&gt;0,ROUND(Z24+Y25-X25,2),0)</f>
        <v>0</v>
      </c>
      <c r="AA25" s="24">
        <f>IF(AC24&gt;0,MIN(ROUND(AA$6+IF(AA$5=$C25,$E$5+$E25,0),2),ROUND(AC24+AB25,2)),0)</f>
        <v>0</v>
      </c>
      <c r="AB25" s="24">
        <f>IF(AC24&gt;0,ROUND(ROUND(AC24*100,0)*ROUND(AA$7*10000,0)/12000000,0)/100,0)</f>
        <v>0</v>
      </c>
      <c r="AC25" s="24">
        <f>IF(AC24&gt;0,ROUND(AC24+AB25-AA25,2),0)</f>
        <v>0</v>
      </c>
      <c r="AD25" s="24">
        <f>IF(AF24&gt;0,MIN(ROUND(AD$6+IF(AD$5=$C25,$E$5+$E25,0),2),ROUND(AF24+AE25,2)),0)</f>
        <v>0</v>
      </c>
      <c r="AE25" s="24">
        <f>IF(AF24&gt;0,ROUND(ROUND(AF24*100,0)*ROUND(AD$7*10000,0)/12000000,0)/100,0)</f>
        <v>0</v>
      </c>
      <c r="AF25" s="24">
        <f>IF(AF24&gt;0,ROUND(AF24+AE25-AD25,2),0)</f>
        <v>0</v>
      </c>
      <c r="AG25" s="24">
        <f>IF(AI24&gt;0,MIN(ROUND(AG$6+IF(AG$5=$C25,$E$5+$E25,0),2),ROUND(AI24+AH25,2)),0)</f>
        <v>0</v>
      </c>
      <c r="AH25" s="24">
        <f>IF(AI24&gt;0,ROUND(ROUND(AI24*100,0)*ROUND(AG$7*10000,0)/12000000,0)/100,0)</f>
        <v>0</v>
      </c>
      <c r="AI25" s="24">
        <f>IF(AI24&gt;0,ROUND(AI24+AH25-AG25,2),0)</f>
        <v>0</v>
      </c>
      <c r="AJ25" s="24">
        <f>IF(AL24&gt;0,MIN(ROUND(AJ$6+IF(AJ$5=$C25,$E$5+$E25,0),2),ROUND(AL24+AK25,2)),0)</f>
        <v>0</v>
      </c>
      <c r="AK25" s="24">
        <f>IF(AL24&gt;0,ROUND(ROUND(AL24*100,0)*ROUND(AJ$7*10000,0)/12000000,0)/100,0)</f>
        <v>0</v>
      </c>
      <c r="AL25" s="24">
        <f>IF(AL24&gt;0,ROUND(AL24+AK25-AJ25,2),0)</f>
        <v>0</v>
      </c>
    </row>
    <row r="26" spans="1:38" x14ac:dyDescent="0.25">
      <c r="A26" s="17">
        <f>IF(F26&gt;0,16,"")</f>
        <v>16</v>
      </c>
      <c r="B26" s="18">
        <f>IF(F26&gt;0,EDATE($E$6,16),"")</f>
        <v>46788</v>
      </c>
      <c r="C26" s="21">
        <f>IF(H25&gt;0,MIN(IF(K25&gt;0,I$5,99),IF(N25&gt;0,L$5,99),IF(Q25&gt;0,O$5,99),IF(T25&gt;0,R$5,99),IF(W25&gt;0,U$5,99),IF(Z25&gt;0,X$5,99),IF(AC25&gt;0,AA$5,99),IF(AF25&gt;0,AD$5,99),IF(AI25&gt;0,AG$5,99),IF(AL25&gt;0,AJ$5,99)),0)</f>
        <v>2</v>
      </c>
      <c r="D26" t="str">
        <f>IF(C26&gt;0,INDEX($I$4:$AL$4,1,MATCH(C26,$I$5:$AL$5,0)),"")</f>
        <v>Credit card</v>
      </c>
      <c r="E26" s="24">
        <f>ROUND(IF(AND(I$8&gt;0,K25=0),I$6,0)+IF(AND(L$8&gt;0,N25=0),L$6,0)+IF(AND(O$8&gt;0,Q25=0),O$6,0)+IF(AND(R$8&gt;0,T25=0),R$6,0)+IF(AND(U$8&gt;0,W25=0),U$6,0)+IF(AND(X$8&gt;0,Z25=0),X$6,0)+IF(AND(AA$8&gt;0,AC25=0),AA$6,0)+IF(AND(AD$8&gt;0,AF25=0),AD$6,0)+IF(AND(AG$8&gt;0,AI25=0),AG$6,0)+IF(AND(AJ$8&gt;0,AL25=0),AJ$6,0),2)</f>
        <v>25</v>
      </c>
      <c r="F26" s="24">
        <f>ROUND(I26+L26+O26+R26+U26+X26+AA26+AD26+AG26+AJ26,2)</f>
        <v>480</v>
      </c>
      <c r="G26" s="24">
        <f>ROUND(J26+M26+P26+S26+V26+Y26+AB26+AE26+AH26+AK26,2)</f>
        <v>44.87</v>
      </c>
      <c r="H26" s="24">
        <f>ROUND(K26+N26+Q26+T26+W26+Z26+AC26+AF26+AI26+AL26,2)</f>
        <v>6037.81</v>
      </c>
      <c r="I26" s="24">
        <f>IF(K25&gt;0,MIN(ROUND(I$6+IF(I$5=$C26,$E$5+$E26,0),2),ROUND(K25+J26,2)),0)</f>
        <v>270</v>
      </c>
      <c r="J26" s="24">
        <f>IF(K25&gt;0,ROUND(ROUND(K25*100,0)*ROUND(I$7*10000,0)/12000000,0)/100,0)</f>
        <v>13.25</v>
      </c>
      <c r="K26" s="24">
        <f>IF(K25&gt;0,ROUND(K25+J26-I26,2),0)</f>
        <v>379.48</v>
      </c>
      <c r="L26" s="24">
        <f>IF(N25&gt;0,MIN(ROUND(L$6+IF(L$5=$C26,$E$5+$E26,0),2),ROUND(N25+M26,2)),0)</f>
        <v>210</v>
      </c>
      <c r="M26" s="24">
        <f>IF(N25&gt;0,ROUND(ROUND(N25*100,0)*ROUND(L$7*10000,0)/12000000,0)/100,0)</f>
        <v>31.62</v>
      </c>
      <c r="N26" s="24">
        <f>IF(N25&gt;0,ROUND(N25+M26-L26,2),0)</f>
        <v>5658.33</v>
      </c>
      <c r="O26" s="24">
        <f>IF(Q25&gt;0,MIN(ROUND(O$6+IF(O$5=$C26,$E$5+$E26,0),2),ROUND(Q25+P26,2)),0)</f>
        <v>0</v>
      </c>
      <c r="P26" s="24">
        <f>IF(Q25&gt;0,ROUND(ROUND(Q25*100,0)*ROUND(O$7*10000,0)/12000000,0)/100,0)</f>
        <v>0</v>
      </c>
      <c r="Q26" s="24">
        <f>IF(Q25&gt;0,ROUND(Q25+P26-O26,2),0)</f>
        <v>0</v>
      </c>
      <c r="R26" s="24">
        <f>IF(T25&gt;0,MIN(ROUND(R$6+IF(R$5=$C26,$E$5+$E26,0),2),ROUND(T25+S26,2)),0)</f>
        <v>0</v>
      </c>
      <c r="S26" s="24">
        <f>IF(T25&gt;0,ROUND(ROUND(T25*100,0)*ROUND(R$7*10000,0)/12000000,0)/100,0)</f>
        <v>0</v>
      </c>
      <c r="T26" s="24">
        <f>IF(T25&gt;0,ROUND(T25+S26-R26,2),0)</f>
        <v>0</v>
      </c>
      <c r="U26" s="24">
        <f>IF(W25&gt;0,MIN(ROUND(U$6+IF(U$5=$C26,$E$5+$E26,0),2),ROUND(W25+V26,2)),0)</f>
        <v>0</v>
      </c>
      <c r="V26" s="24">
        <f>IF(W25&gt;0,ROUND(ROUND(W25*100,0)*ROUND(U$7*10000,0)/12000000,0)/100,0)</f>
        <v>0</v>
      </c>
      <c r="W26" s="24">
        <f>IF(W25&gt;0,ROUND(W25+V26-U26,2),0)</f>
        <v>0</v>
      </c>
      <c r="X26" s="24">
        <f>IF(Z25&gt;0,MIN(ROUND(X$6+IF(X$5=$C26,$E$5+$E26,0),2),ROUND(Z25+Y26,2)),0)</f>
        <v>0</v>
      </c>
      <c r="Y26" s="24">
        <f>IF(Z25&gt;0,ROUND(ROUND(Z25*100,0)*ROUND(X$7*10000,0)/12000000,0)/100,0)</f>
        <v>0</v>
      </c>
      <c r="Z26" s="24">
        <f>IF(Z25&gt;0,ROUND(Z25+Y26-X26,2),0)</f>
        <v>0</v>
      </c>
      <c r="AA26" s="24">
        <f>IF(AC25&gt;0,MIN(ROUND(AA$6+IF(AA$5=$C26,$E$5+$E26,0),2),ROUND(AC25+AB26,2)),0)</f>
        <v>0</v>
      </c>
      <c r="AB26" s="24">
        <f>IF(AC25&gt;0,ROUND(ROUND(AC25*100,0)*ROUND(AA$7*10000,0)/12000000,0)/100,0)</f>
        <v>0</v>
      </c>
      <c r="AC26" s="24">
        <f>IF(AC25&gt;0,ROUND(AC25+AB26-AA26,2),0)</f>
        <v>0</v>
      </c>
      <c r="AD26" s="24">
        <f>IF(AF25&gt;0,MIN(ROUND(AD$6+IF(AD$5=$C26,$E$5+$E26,0),2),ROUND(AF25+AE26,2)),0)</f>
        <v>0</v>
      </c>
      <c r="AE26" s="24">
        <f>IF(AF25&gt;0,ROUND(ROUND(AF25*100,0)*ROUND(AD$7*10000,0)/12000000,0)/100,0)</f>
        <v>0</v>
      </c>
      <c r="AF26" s="24">
        <f>IF(AF25&gt;0,ROUND(AF25+AE26-AD26,2),0)</f>
        <v>0</v>
      </c>
      <c r="AG26" s="24">
        <f>IF(AI25&gt;0,MIN(ROUND(AG$6+IF(AG$5=$C26,$E$5+$E26,0),2),ROUND(AI25+AH26,2)),0)</f>
        <v>0</v>
      </c>
      <c r="AH26" s="24">
        <f>IF(AI25&gt;0,ROUND(ROUND(AI25*100,0)*ROUND(AG$7*10000,0)/12000000,0)/100,0)</f>
        <v>0</v>
      </c>
      <c r="AI26" s="24">
        <f>IF(AI25&gt;0,ROUND(AI25+AH26-AG26,2),0)</f>
        <v>0</v>
      </c>
      <c r="AJ26" s="24">
        <f>IF(AL25&gt;0,MIN(ROUND(AJ$6+IF(AJ$5=$C26,$E$5+$E26,0),2),ROUND(AL25+AK26,2)),0)</f>
        <v>0</v>
      </c>
      <c r="AK26" s="24">
        <f>IF(AL25&gt;0,ROUND(ROUND(AL25*100,0)*ROUND(AJ$7*10000,0)/12000000,0)/100,0)</f>
        <v>0</v>
      </c>
      <c r="AL26" s="24">
        <f>IF(AL25&gt;0,ROUND(AL25+AK26-AJ26,2),0)</f>
        <v>0</v>
      </c>
    </row>
    <row r="27" spans="1:38" x14ac:dyDescent="0.25">
      <c r="A27" s="17">
        <f>IF(F27&gt;0,17,"")</f>
        <v>17</v>
      </c>
      <c r="B27" s="18">
        <f>IF(F27&gt;0,EDATE($E$6,17),"")</f>
        <v>46817</v>
      </c>
      <c r="C27" s="21">
        <f>IF(H26&gt;0,MIN(IF(K26&gt;0,I$5,99),IF(N26&gt;0,L$5,99),IF(Q26&gt;0,O$5,99),IF(T26&gt;0,R$5,99),IF(W26&gt;0,U$5,99),IF(Z26&gt;0,X$5,99),IF(AC26&gt;0,AA$5,99),IF(AF26&gt;0,AD$5,99),IF(AI26&gt;0,AG$5,99),IF(AL26&gt;0,AJ$5,99)),0)</f>
        <v>2</v>
      </c>
      <c r="D27" t="str">
        <f>IF(C27&gt;0,INDEX($I$4:$AL$4,1,MATCH(C27,$I$5:$AL$5,0)),"")</f>
        <v>Credit card</v>
      </c>
      <c r="E27" s="24">
        <f>ROUND(IF(AND(I$8&gt;0,K26=0),I$6,0)+IF(AND(L$8&gt;0,N26=0),L$6,0)+IF(AND(O$8&gt;0,Q26=0),O$6,0)+IF(AND(R$8&gt;0,T26=0),R$6,0)+IF(AND(U$8&gt;0,W26=0),U$6,0)+IF(AND(X$8&gt;0,Z26=0),X$6,0)+IF(AND(AA$8&gt;0,AC26=0),AA$6,0)+IF(AND(AD$8&gt;0,AF26=0),AD$6,0)+IF(AND(AG$8&gt;0,AI26=0),AG$6,0)+IF(AND(AJ$8&gt;0,AL26=0),AJ$6,0),2)</f>
        <v>25</v>
      </c>
      <c r="F27" s="24">
        <f>ROUND(I27+L27+O27+R27+U27+X27+AA27+AD27+AG27+AJ27,2)</f>
        <v>480</v>
      </c>
      <c r="G27" s="24">
        <f>ROUND(J27+M27+P27+S27+V27+Y27+AB27+AE27+AH27+AK27,2)</f>
        <v>38.55</v>
      </c>
      <c r="H27" s="24">
        <f>ROUND(K27+N27+Q27+T27+W27+Z27+AC27+AF27+AI27+AL27,2)</f>
        <v>5596.36</v>
      </c>
      <c r="I27" s="24">
        <f>IF(K26&gt;0,MIN(ROUND(I$6+IF(I$5=$C27,$E$5+$E27,0),2),ROUND(K26+J27,2)),0)</f>
        <v>270</v>
      </c>
      <c r="J27" s="24">
        <f>IF(K26&gt;0,ROUND(ROUND(K26*100,0)*ROUND(I$7*10000,0)/12000000,0)/100,0)</f>
        <v>7.9</v>
      </c>
      <c r="K27" s="24">
        <f>IF(K26&gt;0,ROUND(K26+J27-I27,2),0)</f>
        <v>117.38</v>
      </c>
      <c r="L27" s="24">
        <f>IF(N26&gt;0,MIN(ROUND(L$6+IF(L$5=$C27,$E$5+$E27,0),2),ROUND(N26+M27,2)),0)</f>
        <v>210</v>
      </c>
      <c r="M27" s="24">
        <f>IF(N26&gt;0,ROUND(ROUND(N26*100,0)*ROUND(L$7*10000,0)/12000000,0)/100,0)</f>
        <v>30.65</v>
      </c>
      <c r="N27" s="24">
        <f>IF(N26&gt;0,ROUND(N26+M27-L27,2),0)</f>
        <v>5478.98</v>
      </c>
      <c r="O27" s="24">
        <f>IF(Q26&gt;0,MIN(ROUND(O$6+IF(O$5=$C27,$E$5+$E27,0),2),ROUND(Q26+P27,2)),0)</f>
        <v>0</v>
      </c>
      <c r="P27" s="24">
        <f>IF(Q26&gt;0,ROUND(ROUND(Q26*100,0)*ROUND(O$7*10000,0)/12000000,0)/100,0)</f>
        <v>0</v>
      </c>
      <c r="Q27" s="24">
        <f>IF(Q26&gt;0,ROUND(Q26+P27-O27,2),0)</f>
        <v>0</v>
      </c>
      <c r="R27" s="24">
        <f>IF(T26&gt;0,MIN(ROUND(R$6+IF(R$5=$C27,$E$5+$E27,0),2),ROUND(T26+S27,2)),0)</f>
        <v>0</v>
      </c>
      <c r="S27" s="24">
        <f>IF(T26&gt;0,ROUND(ROUND(T26*100,0)*ROUND(R$7*10000,0)/12000000,0)/100,0)</f>
        <v>0</v>
      </c>
      <c r="T27" s="24">
        <f>IF(T26&gt;0,ROUND(T26+S27-R27,2),0)</f>
        <v>0</v>
      </c>
      <c r="U27" s="24">
        <f>IF(W26&gt;0,MIN(ROUND(U$6+IF(U$5=$C27,$E$5+$E27,0),2),ROUND(W26+V27,2)),0)</f>
        <v>0</v>
      </c>
      <c r="V27" s="24">
        <f>IF(W26&gt;0,ROUND(ROUND(W26*100,0)*ROUND(U$7*10000,0)/12000000,0)/100,0)</f>
        <v>0</v>
      </c>
      <c r="W27" s="24">
        <f>IF(W26&gt;0,ROUND(W26+V27-U27,2),0)</f>
        <v>0</v>
      </c>
      <c r="X27" s="24">
        <f>IF(Z26&gt;0,MIN(ROUND(X$6+IF(X$5=$C27,$E$5+$E27,0),2),ROUND(Z26+Y27,2)),0)</f>
        <v>0</v>
      </c>
      <c r="Y27" s="24">
        <f>IF(Z26&gt;0,ROUND(ROUND(Z26*100,0)*ROUND(X$7*10000,0)/12000000,0)/100,0)</f>
        <v>0</v>
      </c>
      <c r="Z27" s="24">
        <f>IF(Z26&gt;0,ROUND(Z26+Y27-X27,2),0)</f>
        <v>0</v>
      </c>
      <c r="AA27" s="24">
        <f>IF(AC26&gt;0,MIN(ROUND(AA$6+IF(AA$5=$C27,$E$5+$E27,0),2),ROUND(AC26+AB27,2)),0)</f>
        <v>0</v>
      </c>
      <c r="AB27" s="24">
        <f>IF(AC26&gt;0,ROUND(ROUND(AC26*100,0)*ROUND(AA$7*10000,0)/12000000,0)/100,0)</f>
        <v>0</v>
      </c>
      <c r="AC27" s="24">
        <f>IF(AC26&gt;0,ROUND(AC26+AB27-AA27,2),0)</f>
        <v>0</v>
      </c>
      <c r="AD27" s="24">
        <f>IF(AF26&gt;0,MIN(ROUND(AD$6+IF(AD$5=$C27,$E$5+$E27,0),2),ROUND(AF26+AE27,2)),0)</f>
        <v>0</v>
      </c>
      <c r="AE27" s="24">
        <f>IF(AF26&gt;0,ROUND(ROUND(AF26*100,0)*ROUND(AD$7*10000,0)/12000000,0)/100,0)</f>
        <v>0</v>
      </c>
      <c r="AF27" s="24">
        <f>IF(AF26&gt;0,ROUND(AF26+AE27-AD27,2),0)</f>
        <v>0</v>
      </c>
      <c r="AG27" s="24">
        <f>IF(AI26&gt;0,MIN(ROUND(AG$6+IF(AG$5=$C27,$E$5+$E27,0),2),ROUND(AI26+AH27,2)),0)</f>
        <v>0</v>
      </c>
      <c r="AH27" s="24">
        <f>IF(AI26&gt;0,ROUND(ROUND(AI26*100,0)*ROUND(AG$7*10000,0)/12000000,0)/100,0)</f>
        <v>0</v>
      </c>
      <c r="AI27" s="24">
        <f>IF(AI26&gt;0,ROUND(AI26+AH27-AG27,2),0)</f>
        <v>0</v>
      </c>
      <c r="AJ27" s="24">
        <f>IF(AL26&gt;0,MIN(ROUND(AJ$6+IF(AJ$5=$C27,$E$5+$E27,0),2),ROUND(AL26+AK27,2)),0)</f>
        <v>0</v>
      </c>
      <c r="AK27" s="24">
        <f>IF(AL26&gt;0,ROUND(ROUND(AL26*100,0)*ROUND(AJ$7*10000,0)/12000000,0)/100,0)</f>
        <v>0</v>
      </c>
      <c r="AL27" s="24">
        <f>IF(AL26&gt;0,ROUND(AL26+AK27-AJ27,2),0)</f>
        <v>0</v>
      </c>
    </row>
    <row r="28" spans="1:38" x14ac:dyDescent="0.25">
      <c r="A28" s="17">
        <f>IF(F28&gt;0,18,"")</f>
        <v>18</v>
      </c>
      <c r="B28" s="18">
        <f>IF(F28&gt;0,EDATE($E$6,18),"")</f>
        <v>46848</v>
      </c>
      <c r="C28" s="21">
        <f>IF(H27&gt;0,MIN(IF(K27&gt;0,I$5,99),IF(N27&gt;0,L$5,99),IF(Q27&gt;0,O$5,99),IF(T27&gt;0,R$5,99),IF(W27&gt;0,U$5,99),IF(Z27&gt;0,X$5,99),IF(AC27&gt;0,AA$5,99),IF(AF27&gt;0,AD$5,99),IF(AI27&gt;0,AG$5,99),IF(AL27&gt;0,AJ$5,99)),0)</f>
        <v>2</v>
      </c>
      <c r="D28" t="str">
        <f>IF(C28&gt;0,INDEX($I$4:$AL$4,1,MATCH(C28,$I$5:$AL$5,0)),"")</f>
        <v>Credit card</v>
      </c>
      <c r="E28" s="24">
        <f>ROUND(IF(AND(I$8&gt;0,K27=0),I$6,0)+IF(AND(L$8&gt;0,N27=0),L$6,0)+IF(AND(O$8&gt;0,Q27=0),O$6,0)+IF(AND(R$8&gt;0,T27=0),R$6,0)+IF(AND(U$8&gt;0,W27=0),U$6,0)+IF(AND(X$8&gt;0,Z27=0),X$6,0)+IF(AND(AA$8&gt;0,AC27=0),AA$6,0)+IF(AND(AD$8&gt;0,AF27=0),AD$6,0)+IF(AND(AG$8&gt;0,AI27=0),AG$6,0)+IF(AND(AJ$8&gt;0,AL27=0),AJ$6,0),2)</f>
        <v>25</v>
      </c>
      <c r="F28" s="24">
        <f>ROUND(I28+L28+O28+R28+U28+X28+AA28+AD28+AG28+AJ28,2)</f>
        <v>329.82</v>
      </c>
      <c r="G28" s="24">
        <f>ROUND(J28+M28+P28+S28+V28+Y28+AB28+AE28+AH28+AK28,2)</f>
        <v>32.12</v>
      </c>
      <c r="H28" s="24">
        <f>ROUND(K28+N28+Q28+T28+W28+Z28+AC28+AF28+AI28+AL28,2)</f>
        <v>5298.66</v>
      </c>
      <c r="I28" s="24">
        <f>IF(K27&gt;0,MIN(ROUND(I$6+IF(I$5=$C28,$E$5+$E28,0),2),ROUND(K27+J28,2)),0)</f>
        <v>119.82</v>
      </c>
      <c r="J28" s="24">
        <f>IF(K27&gt;0,ROUND(ROUND(K27*100,0)*ROUND(I$7*10000,0)/12000000,0)/100,0)</f>
        <v>2.44</v>
      </c>
      <c r="K28" s="24">
        <f>IF(K27&gt;0,ROUND(K27+J28-I28,2),0)</f>
        <v>0</v>
      </c>
      <c r="L28" s="24">
        <f>IF(N27&gt;0,MIN(ROUND(L$6+IF(L$5=$C28,$E$5+$E28,0),2),ROUND(N27+M28,2)),0)</f>
        <v>210</v>
      </c>
      <c r="M28" s="24">
        <f>IF(N27&gt;0,ROUND(ROUND(N27*100,0)*ROUND(L$7*10000,0)/12000000,0)/100,0)</f>
        <v>29.68</v>
      </c>
      <c r="N28" s="24">
        <f>IF(N27&gt;0,ROUND(N27+M28-L28,2),0)</f>
        <v>5298.66</v>
      </c>
      <c r="O28" s="24">
        <f>IF(Q27&gt;0,MIN(ROUND(O$6+IF(O$5=$C28,$E$5+$E28,0),2),ROUND(Q27+P28,2)),0)</f>
        <v>0</v>
      </c>
      <c r="P28" s="24">
        <f>IF(Q27&gt;0,ROUND(ROUND(Q27*100,0)*ROUND(O$7*10000,0)/12000000,0)/100,0)</f>
        <v>0</v>
      </c>
      <c r="Q28" s="24">
        <f>IF(Q27&gt;0,ROUND(Q27+P28-O28,2),0)</f>
        <v>0</v>
      </c>
      <c r="R28" s="24">
        <f>IF(T27&gt;0,MIN(ROUND(R$6+IF(R$5=$C28,$E$5+$E28,0),2),ROUND(T27+S28,2)),0)</f>
        <v>0</v>
      </c>
      <c r="S28" s="24">
        <f>IF(T27&gt;0,ROUND(ROUND(T27*100,0)*ROUND(R$7*10000,0)/12000000,0)/100,0)</f>
        <v>0</v>
      </c>
      <c r="T28" s="24">
        <f>IF(T27&gt;0,ROUND(T27+S28-R28,2),0)</f>
        <v>0</v>
      </c>
      <c r="U28" s="24">
        <f>IF(W27&gt;0,MIN(ROUND(U$6+IF(U$5=$C28,$E$5+$E28,0),2),ROUND(W27+V28,2)),0)</f>
        <v>0</v>
      </c>
      <c r="V28" s="24">
        <f>IF(W27&gt;0,ROUND(ROUND(W27*100,0)*ROUND(U$7*10000,0)/12000000,0)/100,0)</f>
        <v>0</v>
      </c>
      <c r="W28" s="24">
        <f>IF(W27&gt;0,ROUND(W27+V28-U28,2),0)</f>
        <v>0</v>
      </c>
      <c r="X28" s="24">
        <f>IF(Z27&gt;0,MIN(ROUND(X$6+IF(X$5=$C28,$E$5+$E28,0),2),ROUND(Z27+Y28,2)),0)</f>
        <v>0</v>
      </c>
      <c r="Y28" s="24">
        <f>IF(Z27&gt;0,ROUND(ROUND(Z27*100,0)*ROUND(X$7*10000,0)/12000000,0)/100,0)</f>
        <v>0</v>
      </c>
      <c r="Z28" s="24">
        <f>IF(Z27&gt;0,ROUND(Z27+Y28-X28,2),0)</f>
        <v>0</v>
      </c>
      <c r="AA28" s="24">
        <f>IF(AC27&gt;0,MIN(ROUND(AA$6+IF(AA$5=$C28,$E$5+$E28,0),2),ROUND(AC27+AB28,2)),0)</f>
        <v>0</v>
      </c>
      <c r="AB28" s="24">
        <f>IF(AC27&gt;0,ROUND(ROUND(AC27*100,0)*ROUND(AA$7*10000,0)/12000000,0)/100,0)</f>
        <v>0</v>
      </c>
      <c r="AC28" s="24">
        <f>IF(AC27&gt;0,ROUND(AC27+AB28-AA28,2),0)</f>
        <v>0</v>
      </c>
      <c r="AD28" s="24">
        <f>IF(AF27&gt;0,MIN(ROUND(AD$6+IF(AD$5=$C28,$E$5+$E28,0),2),ROUND(AF27+AE28,2)),0)</f>
        <v>0</v>
      </c>
      <c r="AE28" s="24">
        <f>IF(AF27&gt;0,ROUND(ROUND(AF27*100,0)*ROUND(AD$7*10000,0)/12000000,0)/100,0)</f>
        <v>0</v>
      </c>
      <c r="AF28" s="24">
        <f>IF(AF27&gt;0,ROUND(AF27+AE28-AD28,2),0)</f>
        <v>0</v>
      </c>
      <c r="AG28" s="24">
        <f>IF(AI27&gt;0,MIN(ROUND(AG$6+IF(AG$5=$C28,$E$5+$E28,0),2),ROUND(AI27+AH28,2)),0)</f>
        <v>0</v>
      </c>
      <c r="AH28" s="24">
        <f>IF(AI27&gt;0,ROUND(ROUND(AI27*100,0)*ROUND(AG$7*10000,0)/12000000,0)/100,0)</f>
        <v>0</v>
      </c>
      <c r="AI28" s="24">
        <f>IF(AI27&gt;0,ROUND(AI27+AH28-AG28,2),0)</f>
        <v>0</v>
      </c>
      <c r="AJ28" s="24">
        <f>IF(AL27&gt;0,MIN(ROUND(AJ$6+IF(AJ$5=$C28,$E$5+$E28,0),2),ROUND(AL27+AK28,2)),0)</f>
        <v>0</v>
      </c>
      <c r="AK28" s="24">
        <f>IF(AL27&gt;0,ROUND(ROUND(AL27*100,0)*ROUND(AJ$7*10000,0)/12000000,0)/100,0)</f>
        <v>0</v>
      </c>
      <c r="AL28" s="24">
        <f>IF(AL27&gt;0,ROUND(AL27+AK28-AJ28,2),0)</f>
        <v>0</v>
      </c>
    </row>
    <row r="29" spans="1:38" x14ac:dyDescent="0.25">
      <c r="A29" s="17">
        <f>IF(F29&gt;0,19,"")</f>
        <v>19</v>
      </c>
      <c r="B29" s="18">
        <f>IF(F29&gt;0,EDATE($E$6,19),"")</f>
        <v>46878</v>
      </c>
      <c r="C29" s="21">
        <f>IF(H28&gt;0,MIN(IF(K28&gt;0,I$5,99),IF(N28&gt;0,L$5,99),IF(Q28&gt;0,O$5,99),IF(T28&gt;0,R$5,99),IF(W28&gt;0,U$5,99),IF(Z28&gt;0,X$5,99),IF(AC28&gt;0,AA$5,99),IF(AF28&gt;0,AD$5,99),IF(AI28&gt;0,AG$5,99),IF(AL28&gt;0,AJ$5,99)),0)</f>
        <v>3</v>
      </c>
      <c r="D29" t="str">
        <f>IF(C29&gt;0,INDEX($I$4:$AL$4,1,MATCH(C29,$I$5:$AL$5,0)),"")</f>
        <v>Car loan</v>
      </c>
      <c r="E29" s="24">
        <f>ROUND(IF(AND(I$8&gt;0,K28=0),I$6,0)+IF(AND(L$8&gt;0,N28=0),L$6,0)+IF(AND(O$8&gt;0,Q28=0),O$6,0)+IF(AND(R$8&gt;0,T28=0),R$6,0)+IF(AND(U$8&gt;0,W28=0),U$6,0)+IF(AND(X$8&gt;0,Z28=0),X$6,0)+IF(AND(AA$8&gt;0,AC28=0),AA$6,0)+IF(AND(AD$8&gt;0,AF28=0),AD$6,0)+IF(AND(AG$8&gt;0,AI28=0),AG$6,0)+IF(AND(AJ$8&gt;0,AL28=0),AJ$6,0),2)</f>
        <v>120</v>
      </c>
      <c r="F29" s="24">
        <f>ROUND(I29+L29+O29+R29+U29+X29+AA29+AD29+AG29+AJ29,2)</f>
        <v>480</v>
      </c>
      <c r="G29" s="24">
        <f>ROUND(J29+M29+P29+S29+V29+Y29+AB29+AE29+AH29+AK29,2)</f>
        <v>28.7</v>
      </c>
      <c r="H29" s="24">
        <f>ROUND(K29+N29+Q29+T29+W29+Z29+AC29+AF29+AI29+AL29,2)</f>
        <v>4847.36</v>
      </c>
      <c r="I29" s="24">
        <f>IF(K28&gt;0,MIN(ROUND(I$6+IF(I$5=$C29,$E$5+$E29,0),2),ROUND(K28+J29,2)),0)</f>
        <v>0</v>
      </c>
      <c r="J29" s="24">
        <f>IF(K28&gt;0,ROUND(ROUND(K28*100,0)*ROUND(I$7*10000,0)/12000000,0)/100,0)</f>
        <v>0</v>
      </c>
      <c r="K29" s="24">
        <f>IF(K28&gt;0,ROUND(K28+J29-I29,2),0)</f>
        <v>0</v>
      </c>
      <c r="L29" s="24">
        <f>IF(N28&gt;0,MIN(ROUND(L$6+IF(L$5=$C29,$E$5+$E29,0),2),ROUND(N28+M29,2)),0)</f>
        <v>480</v>
      </c>
      <c r="M29" s="24">
        <f>IF(N28&gt;0,ROUND(ROUND(N28*100,0)*ROUND(L$7*10000,0)/12000000,0)/100,0)</f>
        <v>28.7</v>
      </c>
      <c r="N29" s="24">
        <f>IF(N28&gt;0,ROUND(N28+M29-L29,2),0)</f>
        <v>4847.36</v>
      </c>
      <c r="O29" s="24">
        <f>IF(Q28&gt;0,MIN(ROUND(O$6+IF(O$5=$C29,$E$5+$E29,0),2),ROUND(Q28+P29,2)),0)</f>
        <v>0</v>
      </c>
      <c r="P29" s="24">
        <f>IF(Q28&gt;0,ROUND(ROUND(Q28*100,0)*ROUND(O$7*10000,0)/12000000,0)/100,0)</f>
        <v>0</v>
      </c>
      <c r="Q29" s="24">
        <f>IF(Q28&gt;0,ROUND(Q28+P29-O29,2),0)</f>
        <v>0</v>
      </c>
      <c r="R29" s="24">
        <f>IF(T28&gt;0,MIN(ROUND(R$6+IF(R$5=$C29,$E$5+$E29,0),2),ROUND(T28+S29,2)),0)</f>
        <v>0</v>
      </c>
      <c r="S29" s="24">
        <f>IF(T28&gt;0,ROUND(ROUND(T28*100,0)*ROUND(R$7*10000,0)/12000000,0)/100,0)</f>
        <v>0</v>
      </c>
      <c r="T29" s="24">
        <f>IF(T28&gt;0,ROUND(T28+S29-R29,2),0)</f>
        <v>0</v>
      </c>
      <c r="U29" s="24">
        <f>IF(W28&gt;0,MIN(ROUND(U$6+IF(U$5=$C29,$E$5+$E29,0),2),ROUND(W28+V29,2)),0)</f>
        <v>0</v>
      </c>
      <c r="V29" s="24">
        <f>IF(W28&gt;0,ROUND(ROUND(W28*100,0)*ROUND(U$7*10000,0)/12000000,0)/100,0)</f>
        <v>0</v>
      </c>
      <c r="W29" s="24">
        <f>IF(W28&gt;0,ROUND(W28+V29-U29,2),0)</f>
        <v>0</v>
      </c>
      <c r="X29" s="24">
        <f>IF(Z28&gt;0,MIN(ROUND(X$6+IF(X$5=$C29,$E$5+$E29,0),2),ROUND(Z28+Y29,2)),0)</f>
        <v>0</v>
      </c>
      <c r="Y29" s="24">
        <f>IF(Z28&gt;0,ROUND(ROUND(Z28*100,0)*ROUND(X$7*10000,0)/12000000,0)/100,0)</f>
        <v>0</v>
      </c>
      <c r="Z29" s="24">
        <f>IF(Z28&gt;0,ROUND(Z28+Y29-X29,2),0)</f>
        <v>0</v>
      </c>
      <c r="AA29" s="24">
        <f>IF(AC28&gt;0,MIN(ROUND(AA$6+IF(AA$5=$C29,$E$5+$E29,0),2),ROUND(AC28+AB29,2)),0)</f>
        <v>0</v>
      </c>
      <c r="AB29" s="24">
        <f>IF(AC28&gt;0,ROUND(ROUND(AC28*100,0)*ROUND(AA$7*10000,0)/12000000,0)/100,0)</f>
        <v>0</v>
      </c>
      <c r="AC29" s="24">
        <f>IF(AC28&gt;0,ROUND(AC28+AB29-AA29,2),0)</f>
        <v>0</v>
      </c>
      <c r="AD29" s="24">
        <f>IF(AF28&gt;0,MIN(ROUND(AD$6+IF(AD$5=$C29,$E$5+$E29,0),2),ROUND(AF28+AE29,2)),0)</f>
        <v>0</v>
      </c>
      <c r="AE29" s="24">
        <f>IF(AF28&gt;0,ROUND(ROUND(AF28*100,0)*ROUND(AD$7*10000,0)/12000000,0)/100,0)</f>
        <v>0</v>
      </c>
      <c r="AF29" s="24">
        <f>IF(AF28&gt;0,ROUND(AF28+AE29-AD29,2),0)</f>
        <v>0</v>
      </c>
      <c r="AG29" s="24">
        <f>IF(AI28&gt;0,MIN(ROUND(AG$6+IF(AG$5=$C29,$E$5+$E29,0),2),ROUND(AI28+AH29,2)),0)</f>
        <v>0</v>
      </c>
      <c r="AH29" s="24">
        <f>IF(AI28&gt;0,ROUND(ROUND(AI28*100,0)*ROUND(AG$7*10000,0)/12000000,0)/100,0)</f>
        <v>0</v>
      </c>
      <c r="AI29" s="24">
        <f>IF(AI28&gt;0,ROUND(AI28+AH29-AG29,2),0)</f>
        <v>0</v>
      </c>
      <c r="AJ29" s="24">
        <f>IF(AL28&gt;0,MIN(ROUND(AJ$6+IF(AJ$5=$C29,$E$5+$E29,0),2),ROUND(AL28+AK29,2)),0)</f>
        <v>0</v>
      </c>
      <c r="AK29" s="24">
        <f>IF(AL28&gt;0,ROUND(ROUND(AL28*100,0)*ROUND(AJ$7*10000,0)/12000000,0)/100,0)</f>
        <v>0</v>
      </c>
      <c r="AL29" s="24">
        <f>IF(AL28&gt;0,ROUND(AL28+AK29-AJ29,2),0)</f>
        <v>0</v>
      </c>
    </row>
    <row r="30" spans="1:38" x14ac:dyDescent="0.25">
      <c r="A30" s="17">
        <f>IF(F30&gt;0,20,"")</f>
        <v>20</v>
      </c>
      <c r="B30" s="18">
        <f>IF(F30&gt;0,EDATE($E$6,20),"")</f>
        <v>46909</v>
      </c>
      <c r="C30" s="21">
        <f>IF(H29&gt;0,MIN(IF(K29&gt;0,I$5,99),IF(N29&gt;0,L$5,99),IF(Q29&gt;0,O$5,99),IF(T29&gt;0,R$5,99),IF(W29&gt;0,U$5,99),IF(Z29&gt;0,X$5,99),IF(AC29&gt;0,AA$5,99),IF(AF29&gt;0,AD$5,99),IF(AI29&gt;0,AG$5,99),IF(AL29&gt;0,AJ$5,99)),0)</f>
        <v>3</v>
      </c>
      <c r="D30" t="str">
        <f>IF(C30&gt;0,INDEX($I$4:$AL$4,1,MATCH(C30,$I$5:$AL$5,0)),"")</f>
        <v>Car loan</v>
      </c>
      <c r="E30" s="24">
        <f>ROUND(IF(AND(I$8&gt;0,K29=0),I$6,0)+IF(AND(L$8&gt;0,N29=0),L$6,0)+IF(AND(O$8&gt;0,Q29=0),O$6,0)+IF(AND(R$8&gt;0,T29=0),R$6,0)+IF(AND(U$8&gt;0,W29=0),U$6,0)+IF(AND(X$8&gt;0,Z29=0),X$6,0)+IF(AND(AA$8&gt;0,AC29=0),AA$6,0)+IF(AND(AD$8&gt;0,AF29=0),AD$6,0)+IF(AND(AG$8&gt;0,AI29=0),AG$6,0)+IF(AND(AJ$8&gt;0,AL29=0),AJ$6,0),2)</f>
        <v>120</v>
      </c>
      <c r="F30" s="24">
        <f>ROUND(I30+L30+O30+R30+U30+X30+AA30+AD30+AG30+AJ30,2)</f>
        <v>480</v>
      </c>
      <c r="G30" s="24">
        <f>ROUND(J30+M30+P30+S30+V30+Y30+AB30+AE30+AH30+AK30,2)</f>
        <v>26.26</v>
      </c>
      <c r="H30" s="24">
        <f>ROUND(K30+N30+Q30+T30+W30+Z30+AC30+AF30+AI30+AL30,2)</f>
        <v>4393.62</v>
      </c>
      <c r="I30" s="24">
        <f>IF(K29&gt;0,MIN(ROUND(I$6+IF(I$5=$C30,$E$5+$E30,0),2),ROUND(K29+J30,2)),0)</f>
        <v>0</v>
      </c>
      <c r="J30" s="24">
        <f>IF(K29&gt;0,ROUND(ROUND(K29*100,0)*ROUND(I$7*10000,0)/12000000,0)/100,0)</f>
        <v>0</v>
      </c>
      <c r="K30" s="24">
        <f>IF(K29&gt;0,ROUND(K29+J30-I30,2),0)</f>
        <v>0</v>
      </c>
      <c r="L30" s="24">
        <f>IF(N29&gt;0,MIN(ROUND(L$6+IF(L$5=$C30,$E$5+$E30,0),2),ROUND(N29+M30,2)),0)</f>
        <v>480</v>
      </c>
      <c r="M30" s="24">
        <f>IF(N29&gt;0,ROUND(ROUND(N29*100,0)*ROUND(L$7*10000,0)/12000000,0)/100,0)</f>
        <v>26.26</v>
      </c>
      <c r="N30" s="24">
        <f>IF(N29&gt;0,ROUND(N29+M30-L30,2),0)</f>
        <v>4393.62</v>
      </c>
      <c r="O30" s="24">
        <f>IF(Q29&gt;0,MIN(ROUND(O$6+IF(O$5=$C30,$E$5+$E30,0),2),ROUND(Q29+P30,2)),0)</f>
        <v>0</v>
      </c>
      <c r="P30" s="24">
        <f>IF(Q29&gt;0,ROUND(ROUND(Q29*100,0)*ROUND(O$7*10000,0)/12000000,0)/100,0)</f>
        <v>0</v>
      </c>
      <c r="Q30" s="24">
        <f>IF(Q29&gt;0,ROUND(Q29+P30-O30,2),0)</f>
        <v>0</v>
      </c>
      <c r="R30" s="24">
        <f>IF(T29&gt;0,MIN(ROUND(R$6+IF(R$5=$C30,$E$5+$E30,0),2),ROUND(T29+S30,2)),0)</f>
        <v>0</v>
      </c>
      <c r="S30" s="24">
        <f>IF(T29&gt;0,ROUND(ROUND(T29*100,0)*ROUND(R$7*10000,0)/12000000,0)/100,0)</f>
        <v>0</v>
      </c>
      <c r="T30" s="24">
        <f>IF(T29&gt;0,ROUND(T29+S30-R30,2),0)</f>
        <v>0</v>
      </c>
      <c r="U30" s="24">
        <f>IF(W29&gt;0,MIN(ROUND(U$6+IF(U$5=$C30,$E$5+$E30,0),2),ROUND(W29+V30,2)),0)</f>
        <v>0</v>
      </c>
      <c r="V30" s="24">
        <f>IF(W29&gt;0,ROUND(ROUND(W29*100,0)*ROUND(U$7*10000,0)/12000000,0)/100,0)</f>
        <v>0</v>
      </c>
      <c r="W30" s="24">
        <f>IF(W29&gt;0,ROUND(W29+V30-U30,2),0)</f>
        <v>0</v>
      </c>
      <c r="X30" s="24">
        <f>IF(Z29&gt;0,MIN(ROUND(X$6+IF(X$5=$C30,$E$5+$E30,0),2),ROUND(Z29+Y30,2)),0)</f>
        <v>0</v>
      </c>
      <c r="Y30" s="24">
        <f>IF(Z29&gt;0,ROUND(ROUND(Z29*100,0)*ROUND(X$7*10000,0)/12000000,0)/100,0)</f>
        <v>0</v>
      </c>
      <c r="Z30" s="24">
        <f>IF(Z29&gt;0,ROUND(Z29+Y30-X30,2),0)</f>
        <v>0</v>
      </c>
      <c r="AA30" s="24">
        <f>IF(AC29&gt;0,MIN(ROUND(AA$6+IF(AA$5=$C30,$E$5+$E30,0),2),ROUND(AC29+AB30,2)),0)</f>
        <v>0</v>
      </c>
      <c r="AB30" s="24">
        <f>IF(AC29&gt;0,ROUND(ROUND(AC29*100,0)*ROUND(AA$7*10000,0)/12000000,0)/100,0)</f>
        <v>0</v>
      </c>
      <c r="AC30" s="24">
        <f>IF(AC29&gt;0,ROUND(AC29+AB30-AA30,2),0)</f>
        <v>0</v>
      </c>
      <c r="AD30" s="24">
        <f>IF(AF29&gt;0,MIN(ROUND(AD$6+IF(AD$5=$C30,$E$5+$E30,0),2),ROUND(AF29+AE30,2)),0)</f>
        <v>0</v>
      </c>
      <c r="AE30" s="24">
        <f>IF(AF29&gt;0,ROUND(ROUND(AF29*100,0)*ROUND(AD$7*10000,0)/12000000,0)/100,0)</f>
        <v>0</v>
      </c>
      <c r="AF30" s="24">
        <f>IF(AF29&gt;0,ROUND(AF29+AE30-AD30,2),0)</f>
        <v>0</v>
      </c>
      <c r="AG30" s="24">
        <f>IF(AI29&gt;0,MIN(ROUND(AG$6+IF(AG$5=$C30,$E$5+$E30,0),2),ROUND(AI29+AH30,2)),0)</f>
        <v>0</v>
      </c>
      <c r="AH30" s="24">
        <f>IF(AI29&gt;0,ROUND(ROUND(AI29*100,0)*ROUND(AG$7*10000,0)/12000000,0)/100,0)</f>
        <v>0</v>
      </c>
      <c r="AI30" s="24">
        <f>IF(AI29&gt;0,ROUND(AI29+AH30-AG30,2),0)</f>
        <v>0</v>
      </c>
      <c r="AJ30" s="24">
        <f>IF(AL29&gt;0,MIN(ROUND(AJ$6+IF(AJ$5=$C30,$E$5+$E30,0),2),ROUND(AL29+AK30,2)),0)</f>
        <v>0</v>
      </c>
      <c r="AK30" s="24">
        <f>IF(AL29&gt;0,ROUND(ROUND(AL29*100,0)*ROUND(AJ$7*10000,0)/12000000,0)/100,0)</f>
        <v>0</v>
      </c>
      <c r="AL30" s="24">
        <f>IF(AL29&gt;0,ROUND(AL29+AK30-AJ30,2),0)</f>
        <v>0</v>
      </c>
    </row>
    <row r="31" spans="1:38" x14ac:dyDescent="0.25">
      <c r="A31" s="17">
        <f>IF(F31&gt;0,21,"")</f>
        <v>21</v>
      </c>
      <c r="B31" s="18">
        <f>IF(F31&gt;0,EDATE($E$6,21),"")</f>
        <v>46939</v>
      </c>
      <c r="C31" s="21">
        <f>IF(H30&gt;0,MIN(IF(K30&gt;0,I$5,99),IF(N30&gt;0,L$5,99),IF(Q30&gt;0,O$5,99),IF(T30&gt;0,R$5,99),IF(W30&gt;0,U$5,99),IF(Z30&gt;0,X$5,99),IF(AC30&gt;0,AA$5,99),IF(AF30&gt;0,AD$5,99),IF(AI30&gt;0,AG$5,99),IF(AL30&gt;0,AJ$5,99)),0)</f>
        <v>3</v>
      </c>
      <c r="D31" t="str">
        <f>IF(C31&gt;0,INDEX($I$4:$AL$4,1,MATCH(C31,$I$5:$AL$5,0)),"")</f>
        <v>Car loan</v>
      </c>
      <c r="E31" s="24">
        <f>ROUND(IF(AND(I$8&gt;0,K30=0),I$6,0)+IF(AND(L$8&gt;0,N30=0),L$6,0)+IF(AND(O$8&gt;0,Q30=0),O$6,0)+IF(AND(R$8&gt;0,T30=0),R$6,0)+IF(AND(U$8&gt;0,W30=0),U$6,0)+IF(AND(X$8&gt;0,Z30=0),X$6,0)+IF(AND(AA$8&gt;0,AC30=0),AA$6,0)+IF(AND(AD$8&gt;0,AF30=0),AD$6,0)+IF(AND(AG$8&gt;0,AI30=0),AG$6,0)+IF(AND(AJ$8&gt;0,AL30=0),AJ$6,0),2)</f>
        <v>120</v>
      </c>
      <c r="F31" s="24">
        <f>ROUND(I31+L31+O31+R31+U31+X31+AA31+AD31+AG31+AJ31,2)</f>
        <v>480</v>
      </c>
      <c r="G31" s="24">
        <f>ROUND(J31+M31+P31+S31+V31+Y31+AB31+AE31+AH31+AK31,2)</f>
        <v>23.8</v>
      </c>
      <c r="H31" s="24">
        <f>ROUND(K31+N31+Q31+T31+W31+Z31+AC31+AF31+AI31+AL31,2)</f>
        <v>3937.42</v>
      </c>
      <c r="I31" s="24">
        <f>IF(K30&gt;0,MIN(ROUND(I$6+IF(I$5=$C31,$E$5+$E31,0),2),ROUND(K30+J31,2)),0)</f>
        <v>0</v>
      </c>
      <c r="J31" s="24">
        <f>IF(K30&gt;0,ROUND(ROUND(K30*100,0)*ROUND(I$7*10000,0)/12000000,0)/100,0)</f>
        <v>0</v>
      </c>
      <c r="K31" s="24">
        <f>IF(K30&gt;0,ROUND(K30+J31-I31,2),0)</f>
        <v>0</v>
      </c>
      <c r="L31" s="24">
        <f>IF(N30&gt;0,MIN(ROUND(L$6+IF(L$5=$C31,$E$5+$E31,0),2),ROUND(N30+M31,2)),0)</f>
        <v>480</v>
      </c>
      <c r="M31" s="24">
        <f>IF(N30&gt;0,ROUND(ROUND(N30*100,0)*ROUND(L$7*10000,0)/12000000,0)/100,0)</f>
        <v>23.8</v>
      </c>
      <c r="N31" s="24">
        <f>IF(N30&gt;0,ROUND(N30+M31-L31,2),0)</f>
        <v>3937.42</v>
      </c>
      <c r="O31" s="24">
        <f>IF(Q30&gt;0,MIN(ROUND(O$6+IF(O$5=$C31,$E$5+$E31,0),2),ROUND(Q30+P31,2)),0)</f>
        <v>0</v>
      </c>
      <c r="P31" s="24">
        <f>IF(Q30&gt;0,ROUND(ROUND(Q30*100,0)*ROUND(O$7*10000,0)/12000000,0)/100,0)</f>
        <v>0</v>
      </c>
      <c r="Q31" s="24">
        <f>IF(Q30&gt;0,ROUND(Q30+P31-O31,2),0)</f>
        <v>0</v>
      </c>
      <c r="R31" s="24">
        <f>IF(T30&gt;0,MIN(ROUND(R$6+IF(R$5=$C31,$E$5+$E31,0),2),ROUND(T30+S31,2)),0)</f>
        <v>0</v>
      </c>
      <c r="S31" s="24">
        <f>IF(T30&gt;0,ROUND(ROUND(T30*100,0)*ROUND(R$7*10000,0)/12000000,0)/100,0)</f>
        <v>0</v>
      </c>
      <c r="T31" s="24">
        <f>IF(T30&gt;0,ROUND(T30+S31-R31,2),0)</f>
        <v>0</v>
      </c>
      <c r="U31" s="24">
        <f>IF(W30&gt;0,MIN(ROUND(U$6+IF(U$5=$C31,$E$5+$E31,0),2),ROUND(W30+V31,2)),0)</f>
        <v>0</v>
      </c>
      <c r="V31" s="24">
        <f>IF(W30&gt;0,ROUND(ROUND(W30*100,0)*ROUND(U$7*10000,0)/12000000,0)/100,0)</f>
        <v>0</v>
      </c>
      <c r="W31" s="24">
        <f>IF(W30&gt;0,ROUND(W30+V31-U31,2),0)</f>
        <v>0</v>
      </c>
      <c r="X31" s="24">
        <f>IF(Z30&gt;0,MIN(ROUND(X$6+IF(X$5=$C31,$E$5+$E31,0),2),ROUND(Z30+Y31,2)),0)</f>
        <v>0</v>
      </c>
      <c r="Y31" s="24">
        <f>IF(Z30&gt;0,ROUND(ROUND(Z30*100,0)*ROUND(X$7*10000,0)/12000000,0)/100,0)</f>
        <v>0</v>
      </c>
      <c r="Z31" s="24">
        <f>IF(Z30&gt;0,ROUND(Z30+Y31-X31,2),0)</f>
        <v>0</v>
      </c>
      <c r="AA31" s="24">
        <f>IF(AC30&gt;0,MIN(ROUND(AA$6+IF(AA$5=$C31,$E$5+$E31,0),2),ROUND(AC30+AB31,2)),0)</f>
        <v>0</v>
      </c>
      <c r="AB31" s="24">
        <f>IF(AC30&gt;0,ROUND(ROUND(AC30*100,0)*ROUND(AA$7*10000,0)/12000000,0)/100,0)</f>
        <v>0</v>
      </c>
      <c r="AC31" s="24">
        <f>IF(AC30&gt;0,ROUND(AC30+AB31-AA31,2),0)</f>
        <v>0</v>
      </c>
      <c r="AD31" s="24">
        <f>IF(AF30&gt;0,MIN(ROUND(AD$6+IF(AD$5=$C31,$E$5+$E31,0),2),ROUND(AF30+AE31,2)),0)</f>
        <v>0</v>
      </c>
      <c r="AE31" s="24">
        <f>IF(AF30&gt;0,ROUND(ROUND(AF30*100,0)*ROUND(AD$7*10000,0)/12000000,0)/100,0)</f>
        <v>0</v>
      </c>
      <c r="AF31" s="24">
        <f>IF(AF30&gt;0,ROUND(AF30+AE31-AD31,2),0)</f>
        <v>0</v>
      </c>
      <c r="AG31" s="24">
        <f>IF(AI30&gt;0,MIN(ROUND(AG$6+IF(AG$5=$C31,$E$5+$E31,0),2),ROUND(AI30+AH31,2)),0)</f>
        <v>0</v>
      </c>
      <c r="AH31" s="24">
        <f>IF(AI30&gt;0,ROUND(ROUND(AI30*100,0)*ROUND(AG$7*10000,0)/12000000,0)/100,0)</f>
        <v>0</v>
      </c>
      <c r="AI31" s="24">
        <f>IF(AI30&gt;0,ROUND(AI30+AH31-AG31,2),0)</f>
        <v>0</v>
      </c>
      <c r="AJ31" s="24">
        <f>IF(AL30&gt;0,MIN(ROUND(AJ$6+IF(AJ$5=$C31,$E$5+$E31,0),2),ROUND(AL30+AK31,2)),0)</f>
        <v>0</v>
      </c>
      <c r="AK31" s="24">
        <f>IF(AL30&gt;0,ROUND(ROUND(AL30*100,0)*ROUND(AJ$7*10000,0)/12000000,0)/100,0)</f>
        <v>0</v>
      </c>
      <c r="AL31" s="24">
        <f>IF(AL30&gt;0,ROUND(AL30+AK31-AJ31,2),0)</f>
        <v>0</v>
      </c>
    </row>
    <row r="32" spans="1:38" x14ac:dyDescent="0.25">
      <c r="A32" s="17">
        <f>IF(F32&gt;0,22,"")</f>
        <v>22</v>
      </c>
      <c r="B32" s="18">
        <f>IF(F32&gt;0,EDATE($E$6,22),"")</f>
        <v>46970</v>
      </c>
      <c r="C32" s="21">
        <f>IF(H31&gt;0,MIN(IF(K31&gt;0,I$5,99),IF(N31&gt;0,L$5,99),IF(Q31&gt;0,O$5,99),IF(T31&gt;0,R$5,99),IF(W31&gt;0,U$5,99),IF(Z31&gt;0,X$5,99),IF(AC31&gt;0,AA$5,99),IF(AF31&gt;0,AD$5,99),IF(AI31&gt;0,AG$5,99),IF(AL31&gt;0,AJ$5,99)),0)</f>
        <v>3</v>
      </c>
      <c r="D32" t="str">
        <f>IF(C32&gt;0,INDEX($I$4:$AL$4,1,MATCH(C32,$I$5:$AL$5,0)),"")</f>
        <v>Car loan</v>
      </c>
      <c r="E32" s="24">
        <f>ROUND(IF(AND(I$8&gt;0,K31=0),I$6,0)+IF(AND(L$8&gt;0,N31=0),L$6,0)+IF(AND(O$8&gt;0,Q31=0),O$6,0)+IF(AND(R$8&gt;0,T31=0),R$6,0)+IF(AND(U$8&gt;0,W31=0),U$6,0)+IF(AND(X$8&gt;0,Z31=0),X$6,0)+IF(AND(AA$8&gt;0,AC31=0),AA$6,0)+IF(AND(AD$8&gt;0,AF31=0),AD$6,0)+IF(AND(AG$8&gt;0,AI31=0),AG$6,0)+IF(AND(AJ$8&gt;0,AL31=0),AJ$6,0),2)</f>
        <v>120</v>
      </c>
      <c r="F32" s="24">
        <f>ROUND(I32+L32+O32+R32+U32+X32+AA32+AD32+AG32+AJ32,2)</f>
        <v>480</v>
      </c>
      <c r="G32" s="24">
        <f>ROUND(J32+M32+P32+S32+V32+Y32+AB32+AE32+AH32+AK32,2)</f>
        <v>21.33</v>
      </c>
      <c r="H32" s="24">
        <f>ROUND(K32+N32+Q32+T32+W32+Z32+AC32+AF32+AI32+AL32,2)</f>
        <v>3478.75</v>
      </c>
      <c r="I32" s="24">
        <f>IF(K31&gt;0,MIN(ROUND(I$6+IF(I$5=$C32,$E$5+$E32,0),2),ROUND(K31+J32,2)),0)</f>
        <v>0</v>
      </c>
      <c r="J32" s="24">
        <f>IF(K31&gt;0,ROUND(ROUND(K31*100,0)*ROUND(I$7*10000,0)/12000000,0)/100,0)</f>
        <v>0</v>
      </c>
      <c r="K32" s="24">
        <f>IF(K31&gt;0,ROUND(K31+J32-I32,2),0)</f>
        <v>0</v>
      </c>
      <c r="L32" s="24">
        <f>IF(N31&gt;0,MIN(ROUND(L$6+IF(L$5=$C32,$E$5+$E32,0),2),ROUND(N31+M32,2)),0)</f>
        <v>480</v>
      </c>
      <c r="M32" s="24">
        <f>IF(N31&gt;0,ROUND(ROUND(N31*100,0)*ROUND(L$7*10000,0)/12000000,0)/100,0)</f>
        <v>21.33</v>
      </c>
      <c r="N32" s="24">
        <f>IF(N31&gt;0,ROUND(N31+M32-L32,2),0)</f>
        <v>3478.75</v>
      </c>
      <c r="O32" s="24">
        <f>IF(Q31&gt;0,MIN(ROUND(O$6+IF(O$5=$C32,$E$5+$E32,0),2),ROUND(Q31+P32,2)),0)</f>
        <v>0</v>
      </c>
      <c r="P32" s="24">
        <f>IF(Q31&gt;0,ROUND(ROUND(Q31*100,0)*ROUND(O$7*10000,0)/12000000,0)/100,0)</f>
        <v>0</v>
      </c>
      <c r="Q32" s="24">
        <f>IF(Q31&gt;0,ROUND(Q31+P32-O32,2),0)</f>
        <v>0</v>
      </c>
      <c r="R32" s="24">
        <f>IF(T31&gt;0,MIN(ROUND(R$6+IF(R$5=$C32,$E$5+$E32,0),2),ROUND(T31+S32,2)),0)</f>
        <v>0</v>
      </c>
      <c r="S32" s="24">
        <f>IF(T31&gt;0,ROUND(ROUND(T31*100,0)*ROUND(R$7*10000,0)/12000000,0)/100,0)</f>
        <v>0</v>
      </c>
      <c r="T32" s="24">
        <f>IF(T31&gt;0,ROUND(T31+S32-R32,2),0)</f>
        <v>0</v>
      </c>
      <c r="U32" s="24">
        <f>IF(W31&gt;0,MIN(ROUND(U$6+IF(U$5=$C32,$E$5+$E32,0),2),ROUND(W31+V32,2)),0)</f>
        <v>0</v>
      </c>
      <c r="V32" s="24">
        <f>IF(W31&gt;0,ROUND(ROUND(W31*100,0)*ROUND(U$7*10000,0)/12000000,0)/100,0)</f>
        <v>0</v>
      </c>
      <c r="W32" s="24">
        <f>IF(W31&gt;0,ROUND(W31+V32-U32,2),0)</f>
        <v>0</v>
      </c>
      <c r="X32" s="24">
        <f>IF(Z31&gt;0,MIN(ROUND(X$6+IF(X$5=$C32,$E$5+$E32,0),2),ROUND(Z31+Y32,2)),0)</f>
        <v>0</v>
      </c>
      <c r="Y32" s="24">
        <f>IF(Z31&gt;0,ROUND(ROUND(Z31*100,0)*ROUND(X$7*10000,0)/12000000,0)/100,0)</f>
        <v>0</v>
      </c>
      <c r="Z32" s="24">
        <f>IF(Z31&gt;0,ROUND(Z31+Y32-X32,2),0)</f>
        <v>0</v>
      </c>
      <c r="AA32" s="24">
        <f>IF(AC31&gt;0,MIN(ROUND(AA$6+IF(AA$5=$C32,$E$5+$E32,0),2),ROUND(AC31+AB32,2)),0)</f>
        <v>0</v>
      </c>
      <c r="AB32" s="24">
        <f>IF(AC31&gt;0,ROUND(ROUND(AC31*100,0)*ROUND(AA$7*10000,0)/12000000,0)/100,0)</f>
        <v>0</v>
      </c>
      <c r="AC32" s="24">
        <f>IF(AC31&gt;0,ROUND(AC31+AB32-AA32,2),0)</f>
        <v>0</v>
      </c>
      <c r="AD32" s="24">
        <f>IF(AF31&gt;0,MIN(ROUND(AD$6+IF(AD$5=$C32,$E$5+$E32,0),2),ROUND(AF31+AE32,2)),0)</f>
        <v>0</v>
      </c>
      <c r="AE32" s="24">
        <f>IF(AF31&gt;0,ROUND(ROUND(AF31*100,0)*ROUND(AD$7*10000,0)/12000000,0)/100,0)</f>
        <v>0</v>
      </c>
      <c r="AF32" s="24">
        <f>IF(AF31&gt;0,ROUND(AF31+AE32-AD32,2),0)</f>
        <v>0</v>
      </c>
      <c r="AG32" s="24">
        <f>IF(AI31&gt;0,MIN(ROUND(AG$6+IF(AG$5=$C32,$E$5+$E32,0),2),ROUND(AI31+AH32,2)),0)</f>
        <v>0</v>
      </c>
      <c r="AH32" s="24">
        <f>IF(AI31&gt;0,ROUND(ROUND(AI31*100,0)*ROUND(AG$7*10000,0)/12000000,0)/100,0)</f>
        <v>0</v>
      </c>
      <c r="AI32" s="24">
        <f>IF(AI31&gt;0,ROUND(AI31+AH32-AG32,2),0)</f>
        <v>0</v>
      </c>
      <c r="AJ32" s="24">
        <f>IF(AL31&gt;0,MIN(ROUND(AJ$6+IF(AJ$5=$C32,$E$5+$E32,0),2),ROUND(AL31+AK32,2)),0)</f>
        <v>0</v>
      </c>
      <c r="AK32" s="24">
        <f>IF(AL31&gt;0,ROUND(ROUND(AL31*100,0)*ROUND(AJ$7*10000,0)/12000000,0)/100,0)</f>
        <v>0</v>
      </c>
      <c r="AL32" s="24">
        <f>IF(AL31&gt;0,ROUND(AL31+AK32-AJ32,2),0)</f>
        <v>0</v>
      </c>
    </row>
    <row r="33" spans="1:38" x14ac:dyDescent="0.25">
      <c r="A33" s="17">
        <f>IF(F33&gt;0,23,"")</f>
        <v>23</v>
      </c>
      <c r="B33" s="18">
        <f>IF(F33&gt;0,EDATE($E$6,23),"")</f>
        <v>47001</v>
      </c>
      <c r="C33" s="21">
        <f>IF(H32&gt;0,MIN(IF(K32&gt;0,I$5,99),IF(N32&gt;0,L$5,99),IF(Q32&gt;0,O$5,99),IF(T32&gt;0,R$5,99),IF(W32&gt;0,U$5,99),IF(Z32&gt;0,X$5,99),IF(AC32&gt;0,AA$5,99),IF(AF32&gt;0,AD$5,99),IF(AI32&gt;0,AG$5,99),IF(AL32&gt;0,AJ$5,99)),0)</f>
        <v>3</v>
      </c>
      <c r="D33" t="str">
        <f>IF(C33&gt;0,INDEX($I$4:$AL$4,1,MATCH(C33,$I$5:$AL$5,0)),"")</f>
        <v>Car loan</v>
      </c>
      <c r="E33" s="24">
        <f>ROUND(IF(AND(I$8&gt;0,K32=0),I$6,0)+IF(AND(L$8&gt;0,N32=0),L$6,0)+IF(AND(O$8&gt;0,Q32=0),O$6,0)+IF(AND(R$8&gt;0,T32=0),R$6,0)+IF(AND(U$8&gt;0,W32=0),U$6,0)+IF(AND(X$8&gt;0,Z32=0),X$6,0)+IF(AND(AA$8&gt;0,AC32=0),AA$6,0)+IF(AND(AD$8&gt;0,AF32=0),AD$6,0)+IF(AND(AG$8&gt;0,AI32=0),AG$6,0)+IF(AND(AJ$8&gt;0,AL32=0),AJ$6,0),2)</f>
        <v>120</v>
      </c>
      <c r="F33" s="24">
        <f>ROUND(I33+L33+O33+R33+U33+X33+AA33+AD33+AG33+AJ33,2)</f>
        <v>480</v>
      </c>
      <c r="G33" s="24">
        <f>ROUND(J33+M33+P33+S33+V33+Y33+AB33+AE33+AH33+AK33,2)</f>
        <v>18.84</v>
      </c>
      <c r="H33" s="24">
        <f>ROUND(K33+N33+Q33+T33+W33+Z33+AC33+AF33+AI33+AL33,2)</f>
        <v>3017.59</v>
      </c>
      <c r="I33" s="24">
        <f>IF(K32&gt;0,MIN(ROUND(I$6+IF(I$5=$C33,$E$5+$E33,0),2),ROUND(K32+J33,2)),0)</f>
        <v>0</v>
      </c>
      <c r="J33" s="24">
        <f>IF(K32&gt;0,ROUND(ROUND(K32*100,0)*ROUND(I$7*10000,0)/12000000,0)/100,0)</f>
        <v>0</v>
      </c>
      <c r="K33" s="24">
        <f>IF(K32&gt;0,ROUND(K32+J33-I33,2),0)</f>
        <v>0</v>
      </c>
      <c r="L33" s="24">
        <f>IF(N32&gt;0,MIN(ROUND(L$6+IF(L$5=$C33,$E$5+$E33,0),2),ROUND(N32+M33,2)),0)</f>
        <v>480</v>
      </c>
      <c r="M33" s="24">
        <f>IF(N32&gt;0,ROUND(ROUND(N32*100,0)*ROUND(L$7*10000,0)/12000000,0)/100,0)</f>
        <v>18.84</v>
      </c>
      <c r="N33" s="24">
        <f>IF(N32&gt;0,ROUND(N32+M33-L33,2),0)</f>
        <v>3017.59</v>
      </c>
      <c r="O33" s="24">
        <f>IF(Q32&gt;0,MIN(ROUND(O$6+IF(O$5=$C33,$E$5+$E33,0),2),ROUND(Q32+P33,2)),0)</f>
        <v>0</v>
      </c>
      <c r="P33" s="24">
        <f>IF(Q32&gt;0,ROUND(ROUND(Q32*100,0)*ROUND(O$7*10000,0)/12000000,0)/100,0)</f>
        <v>0</v>
      </c>
      <c r="Q33" s="24">
        <f>IF(Q32&gt;0,ROUND(Q32+P33-O33,2),0)</f>
        <v>0</v>
      </c>
      <c r="R33" s="24">
        <f>IF(T32&gt;0,MIN(ROUND(R$6+IF(R$5=$C33,$E$5+$E33,0),2),ROUND(T32+S33,2)),0)</f>
        <v>0</v>
      </c>
      <c r="S33" s="24">
        <f>IF(T32&gt;0,ROUND(ROUND(T32*100,0)*ROUND(R$7*10000,0)/12000000,0)/100,0)</f>
        <v>0</v>
      </c>
      <c r="T33" s="24">
        <f>IF(T32&gt;0,ROUND(T32+S33-R33,2),0)</f>
        <v>0</v>
      </c>
      <c r="U33" s="24">
        <f>IF(W32&gt;0,MIN(ROUND(U$6+IF(U$5=$C33,$E$5+$E33,0),2),ROUND(W32+V33,2)),0)</f>
        <v>0</v>
      </c>
      <c r="V33" s="24">
        <f>IF(W32&gt;0,ROUND(ROUND(W32*100,0)*ROUND(U$7*10000,0)/12000000,0)/100,0)</f>
        <v>0</v>
      </c>
      <c r="W33" s="24">
        <f>IF(W32&gt;0,ROUND(W32+V33-U33,2),0)</f>
        <v>0</v>
      </c>
      <c r="X33" s="24">
        <f>IF(Z32&gt;0,MIN(ROUND(X$6+IF(X$5=$C33,$E$5+$E33,0),2),ROUND(Z32+Y33,2)),0)</f>
        <v>0</v>
      </c>
      <c r="Y33" s="24">
        <f>IF(Z32&gt;0,ROUND(ROUND(Z32*100,0)*ROUND(X$7*10000,0)/12000000,0)/100,0)</f>
        <v>0</v>
      </c>
      <c r="Z33" s="24">
        <f>IF(Z32&gt;0,ROUND(Z32+Y33-X33,2),0)</f>
        <v>0</v>
      </c>
      <c r="AA33" s="24">
        <f>IF(AC32&gt;0,MIN(ROUND(AA$6+IF(AA$5=$C33,$E$5+$E33,0),2),ROUND(AC32+AB33,2)),0)</f>
        <v>0</v>
      </c>
      <c r="AB33" s="24">
        <f>IF(AC32&gt;0,ROUND(ROUND(AC32*100,0)*ROUND(AA$7*10000,0)/12000000,0)/100,0)</f>
        <v>0</v>
      </c>
      <c r="AC33" s="24">
        <f>IF(AC32&gt;0,ROUND(AC32+AB33-AA33,2),0)</f>
        <v>0</v>
      </c>
      <c r="AD33" s="24">
        <f>IF(AF32&gt;0,MIN(ROUND(AD$6+IF(AD$5=$C33,$E$5+$E33,0),2),ROUND(AF32+AE33,2)),0)</f>
        <v>0</v>
      </c>
      <c r="AE33" s="24">
        <f>IF(AF32&gt;0,ROUND(ROUND(AF32*100,0)*ROUND(AD$7*10000,0)/12000000,0)/100,0)</f>
        <v>0</v>
      </c>
      <c r="AF33" s="24">
        <f>IF(AF32&gt;0,ROUND(AF32+AE33-AD33,2),0)</f>
        <v>0</v>
      </c>
      <c r="AG33" s="24">
        <f>IF(AI32&gt;0,MIN(ROUND(AG$6+IF(AG$5=$C33,$E$5+$E33,0),2),ROUND(AI32+AH33,2)),0)</f>
        <v>0</v>
      </c>
      <c r="AH33" s="24">
        <f>IF(AI32&gt;0,ROUND(ROUND(AI32*100,0)*ROUND(AG$7*10000,0)/12000000,0)/100,0)</f>
        <v>0</v>
      </c>
      <c r="AI33" s="24">
        <f>IF(AI32&gt;0,ROUND(AI32+AH33-AG33,2),0)</f>
        <v>0</v>
      </c>
      <c r="AJ33" s="24">
        <f>IF(AL32&gt;0,MIN(ROUND(AJ$6+IF(AJ$5=$C33,$E$5+$E33,0),2),ROUND(AL32+AK33,2)),0)</f>
        <v>0</v>
      </c>
      <c r="AK33" s="24">
        <f>IF(AL32&gt;0,ROUND(ROUND(AL32*100,0)*ROUND(AJ$7*10000,0)/12000000,0)/100,0)</f>
        <v>0</v>
      </c>
      <c r="AL33" s="24">
        <f>IF(AL32&gt;0,ROUND(AL32+AK33-AJ33,2),0)</f>
        <v>0</v>
      </c>
    </row>
    <row r="34" spans="1:38" x14ac:dyDescent="0.25">
      <c r="A34" s="17">
        <f>IF(F34&gt;0,24,"")</f>
        <v>24</v>
      </c>
      <c r="B34" s="18">
        <f>IF(F34&gt;0,EDATE($E$6,24),"")</f>
        <v>47031</v>
      </c>
      <c r="C34" s="21">
        <f>IF(H33&gt;0,MIN(IF(K33&gt;0,I$5,99),IF(N33&gt;0,L$5,99),IF(Q33&gt;0,O$5,99),IF(T33&gt;0,R$5,99),IF(W33&gt;0,U$5,99),IF(Z33&gt;0,X$5,99),IF(AC33&gt;0,AA$5,99),IF(AF33&gt;0,AD$5,99),IF(AI33&gt;0,AG$5,99),IF(AL33&gt;0,AJ$5,99)),0)</f>
        <v>3</v>
      </c>
      <c r="D34" t="str">
        <f>IF(C34&gt;0,INDEX($I$4:$AL$4,1,MATCH(C34,$I$5:$AL$5,0)),"")</f>
        <v>Car loan</v>
      </c>
      <c r="E34" s="24">
        <f>ROUND(IF(AND(I$8&gt;0,K33=0),I$6,0)+IF(AND(L$8&gt;0,N33=0),L$6,0)+IF(AND(O$8&gt;0,Q33=0),O$6,0)+IF(AND(R$8&gt;0,T33=0),R$6,0)+IF(AND(U$8&gt;0,W33=0),U$6,0)+IF(AND(X$8&gt;0,Z33=0),X$6,0)+IF(AND(AA$8&gt;0,AC33=0),AA$6,0)+IF(AND(AD$8&gt;0,AF33=0),AD$6,0)+IF(AND(AG$8&gt;0,AI33=0),AG$6,0)+IF(AND(AJ$8&gt;0,AL33=0),AJ$6,0),2)</f>
        <v>120</v>
      </c>
      <c r="F34" s="24">
        <f>ROUND(I34+L34+O34+R34+U34+X34+AA34+AD34+AG34+AJ34,2)</f>
        <v>480</v>
      </c>
      <c r="G34" s="24">
        <f>ROUND(J34+M34+P34+S34+V34+Y34+AB34+AE34+AH34+AK34,2)</f>
        <v>16.35</v>
      </c>
      <c r="H34" s="24">
        <f>ROUND(K34+N34+Q34+T34+W34+Z34+AC34+AF34+AI34+AL34,2)</f>
        <v>2553.94</v>
      </c>
      <c r="I34" s="24">
        <f>IF(K33&gt;0,MIN(ROUND(I$6+IF(I$5=$C34,$E$5+$E34,0),2),ROUND(K33+J34,2)),0)</f>
        <v>0</v>
      </c>
      <c r="J34" s="24">
        <f>IF(K33&gt;0,ROUND(ROUND(K33*100,0)*ROUND(I$7*10000,0)/12000000,0)/100,0)</f>
        <v>0</v>
      </c>
      <c r="K34" s="24">
        <f>IF(K33&gt;0,ROUND(K33+J34-I34,2),0)</f>
        <v>0</v>
      </c>
      <c r="L34" s="24">
        <f>IF(N33&gt;0,MIN(ROUND(L$6+IF(L$5=$C34,$E$5+$E34,0),2),ROUND(N33+M34,2)),0)</f>
        <v>480</v>
      </c>
      <c r="M34" s="24">
        <f>IF(N33&gt;0,ROUND(ROUND(N33*100,0)*ROUND(L$7*10000,0)/12000000,0)/100,0)</f>
        <v>16.35</v>
      </c>
      <c r="N34" s="24">
        <f>IF(N33&gt;0,ROUND(N33+M34-L34,2),0)</f>
        <v>2553.94</v>
      </c>
      <c r="O34" s="24">
        <f>IF(Q33&gt;0,MIN(ROUND(O$6+IF(O$5=$C34,$E$5+$E34,0),2),ROUND(Q33+P34,2)),0)</f>
        <v>0</v>
      </c>
      <c r="P34" s="24">
        <f>IF(Q33&gt;0,ROUND(ROUND(Q33*100,0)*ROUND(O$7*10000,0)/12000000,0)/100,0)</f>
        <v>0</v>
      </c>
      <c r="Q34" s="24">
        <f>IF(Q33&gt;0,ROUND(Q33+P34-O34,2),0)</f>
        <v>0</v>
      </c>
      <c r="R34" s="24">
        <f>IF(T33&gt;0,MIN(ROUND(R$6+IF(R$5=$C34,$E$5+$E34,0),2),ROUND(T33+S34,2)),0)</f>
        <v>0</v>
      </c>
      <c r="S34" s="24">
        <f>IF(T33&gt;0,ROUND(ROUND(T33*100,0)*ROUND(R$7*10000,0)/12000000,0)/100,0)</f>
        <v>0</v>
      </c>
      <c r="T34" s="24">
        <f>IF(T33&gt;0,ROUND(T33+S34-R34,2),0)</f>
        <v>0</v>
      </c>
      <c r="U34" s="24">
        <f>IF(W33&gt;0,MIN(ROUND(U$6+IF(U$5=$C34,$E$5+$E34,0),2),ROUND(W33+V34,2)),0)</f>
        <v>0</v>
      </c>
      <c r="V34" s="24">
        <f>IF(W33&gt;0,ROUND(ROUND(W33*100,0)*ROUND(U$7*10000,0)/12000000,0)/100,0)</f>
        <v>0</v>
      </c>
      <c r="W34" s="24">
        <f>IF(W33&gt;0,ROUND(W33+V34-U34,2),0)</f>
        <v>0</v>
      </c>
      <c r="X34" s="24">
        <f>IF(Z33&gt;0,MIN(ROUND(X$6+IF(X$5=$C34,$E$5+$E34,0),2),ROUND(Z33+Y34,2)),0)</f>
        <v>0</v>
      </c>
      <c r="Y34" s="24">
        <f>IF(Z33&gt;0,ROUND(ROUND(Z33*100,0)*ROUND(X$7*10000,0)/12000000,0)/100,0)</f>
        <v>0</v>
      </c>
      <c r="Z34" s="24">
        <f>IF(Z33&gt;0,ROUND(Z33+Y34-X34,2),0)</f>
        <v>0</v>
      </c>
      <c r="AA34" s="24">
        <f>IF(AC33&gt;0,MIN(ROUND(AA$6+IF(AA$5=$C34,$E$5+$E34,0),2),ROUND(AC33+AB34,2)),0)</f>
        <v>0</v>
      </c>
      <c r="AB34" s="24">
        <f>IF(AC33&gt;0,ROUND(ROUND(AC33*100,0)*ROUND(AA$7*10000,0)/12000000,0)/100,0)</f>
        <v>0</v>
      </c>
      <c r="AC34" s="24">
        <f>IF(AC33&gt;0,ROUND(AC33+AB34-AA34,2),0)</f>
        <v>0</v>
      </c>
      <c r="AD34" s="24">
        <f>IF(AF33&gt;0,MIN(ROUND(AD$6+IF(AD$5=$C34,$E$5+$E34,0),2),ROUND(AF33+AE34,2)),0)</f>
        <v>0</v>
      </c>
      <c r="AE34" s="24">
        <f>IF(AF33&gt;0,ROUND(ROUND(AF33*100,0)*ROUND(AD$7*10000,0)/12000000,0)/100,0)</f>
        <v>0</v>
      </c>
      <c r="AF34" s="24">
        <f>IF(AF33&gt;0,ROUND(AF33+AE34-AD34,2),0)</f>
        <v>0</v>
      </c>
      <c r="AG34" s="24">
        <f>IF(AI33&gt;0,MIN(ROUND(AG$6+IF(AG$5=$C34,$E$5+$E34,0),2),ROUND(AI33+AH34,2)),0)</f>
        <v>0</v>
      </c>
      <c r="AH34" s="24">
        <f>IF(AI33&gt;0,ROUND(ROUND(AI33*100,0)*ROUND(AG$7*10000,0)/12000000,0)/100,0)</f>
        <v>0</v>
      </c>
      <c r="AI34" s="24">
        <f>IF(AI33&gt;0,ROUND(AI33+AH34-AG34,2),0)</f>
        <v>0</v>
      </c>
      <c r="AJ34" s="24">
        <f>IF(AL33&gt;0,MIN(ROUND(AJ$6+IF(AJ$5=$C34,$E$5+$E34,0),2),ROUND(AL33+AK34,2)),0)</f>
        <v>0</v>
      </c>
      <c r="AK34" s="24">
        <f>IF(AL33&gt;0,ROUND(ROUND(AL33*100,0)*ROUND(AJ$7*10000,0)/12000000,0)/100,0)</f>
        <v>0</v>
      </c>
      <c r="AL34" s="24">
        <f>IF(AL33&gt;0,ROUND(AL33+AK34-AJ34,2),0)</f>
        <v>0</v>
      </c>
    </row>
    <row r="35" spans="1:38" x14ac:dyDescent="0.25">
      <c r="A35" s="17">
        <f>IF(F35&gt;0,25,"")</f>
        <v>25</v>
      </c>
      <c r="B35" s="18">
        <f>IF(F35&gt;0,EDATE($E$6,25),"")</f>
        <v>47062</v>
      </c>
      <c r="C35" s="21">
        <f>IF(H34&gt;0,MIN(IF(K34&gt;0,I$5,99),IF(N34&gt;0,L$5,99),IF(Q34&gt;0,O$5,99),IF(T34&gt;0,R$5,99),IF(W34&gt;0,U$5,99),IF(Z34&gt;0,X$5,99),IF(AC34&gt;0,AA$5,99),IF(AF34&gt;0,AD$5,99),IF(AI34&gt;0,AG$5,99),IF(AL34&gt;0,AJ$5,99)),0)</f>
        <v>3</v>
      </c>
      <c r="D35" t="str">
        <f>IF(C35&gt;0,INDEX($I$4:$AL$4,1,MATCH(C35,$I$5:$AL$5,0)),"")</f>
        <v>Car loan</v>
      </c>
      <c r="E35" s="24">
        <f>ROUND(IF(AND(I$8&gt;0,K34=0),I$6,0)+IF(AND(L$8&gt;0,N34=0),L$6,0)+IF(AND(O$8&gt;0,Q34=0),O$6,0)+IF(AND(R$8&gt;0,T34=0),R$6,0)+IF(AND(U$8&gt;0,W34=0),U$6,0)+IF(AND(X$8&gt;0,Z34=0),X$6,0)+IF(AND(AA$8&gt;0,AC34=0),AA$6,0)+IF(AND(AD$8&gt;0,AF34=0),AD$6,0)+IF(AND(AG$8&gt;0,AI34=0),AG$6,0)+IF(AND(AJ$8&gt;0,AL34=0),AJ$6,0),2)</f>
        <v>120</v>
      </c>
      <c r="F35" s="24">
        <f>ROUND(I35+L35+O35+R35+U35+X35+AA35+AD35+AG35+AJ35,2)</f>
        <v>480</v>
      </c>
      <c r="G35" s="24">
        <f>ROUND(J35+M35+P35+S35+V35+Y35+AB35+AE35+AH35+AK35,2)</f>
        <v>13.83</v>
      </c>
      <c r="H35" s="24">
        <f>ROUND(K35+N35+Q35+T35+W35+Z35+AC35+AF35+AI35+AL35,2)</f>
        <v>2087.77</v>
      </c>
      <c r="I35" s="24">
        <f>IF(K34&gt;0,MIN(ROUND(I$6+IF(I$5=$C35,$E$5+$E35,0),2),ROUND(K34+J35,2)),0)</f>
        <v>0</v>
      </c>
      <c r="J35" s="24">
        <f>IF(K34&gt;0,ROUND(ROUND(K34*100,0)*ROUND(I$7*10000,0)/12000000,0)/100,0)</f>
        <v>0</v>
      </c>
      <c r="K35" s="24">
        <f>IF(K34&gt;0,ROUND(K34+J35-I35,2),0)</f>
        <v>0</v>
      </c>
      <c r="L35" s="24">
        <f>IF(N34&gt;0,MIN(ROUND(L$6+IF(L$5=$C35,$E$5+$E35,0),2),ROUND(N34+M35,2)),0)</f>
        <v>480</v>
      </c>
      <c r="M35" s="24">
        <f>IF(N34&gt;0,ROUND(ROUND(N34*100,0)*ROUND(L$7*10000,0)/12000000,0)/100,0)</f>
        <v>13.83</v>
      </c>
      <c r="N35" s="24">
        <f>IF(N34&gt;0,ROUND(N34+M35-L35,2),0)</f>
        <v>2087.77</v>
      </c>
      <c r="O35" s="24">
        <f>IF(Q34&gt;0,MIN(ROUND(O$6+IF(O$5=$C35,$E$5+$E35,0),2),ROUND(Q34+P35,2)),0)</f>
        <v>0</v>
      </c>
      <c r="P35" s="24">
        <f>IF(Q34&gt;0,ROUND(ROUND(Q34*100,0)*ROUND(O$7*10000,0)/12000000,0)/100,0)</f>
        <v>0</v>
      </c>
      <c r="Q35" s="24">
        <f>IF(Q34&gt;0,ROUND(Q34+P35-O35,2),0)</f>
        <v>0</v>
      </c>
      <c r="R35" s="24">
        <f>IF(T34&gt;0,MIN(ROUND(R$6+IF(R$5=$C35,$E$5+$E35,0),2),ROUND(T34+S35,2)),0)</f>
        <v>0</v>
      </c>
      <c r="S35" s="24">
        <f>IF(T34&gt;0,ROUND(ROUND(T34*100,0)*ROUND(R$7*10000,0)/12000000,0)/100,0)</f>
        <v>0</v>
      </c>
      <c r="T35" s="24">
        <f>IF(T34&gt;0,ROUND(T34+S35-R35,2),0)</f>
        <v>0</v>
      </c>
      <c r="U35" s="24">
        <f>IF(W34&gt;0,MIN(ROUND(U$6+IF(U$5=$C35,$E$5+$E35,0),2),ROUND(W34+V35,2)),0)</f>
        <v>0</v>
      </c>
      <c r="V35" s="24">
        <f>IF(W34&gt;0,ROUND(ROUND(W34*100,0)*ROUND(U$7*10000,0)/12000000,0)/100,0)</f>
        <v>0</v>
      </c>
      <c r="W35" s="24">
        <f>IF(W34&gt;0,ROUND(W34+V35-U35,2),0)</f>
        <v>0</v>
      </c>
      <c r="X35" s="24">
        <f>IF(Z34&gt;0,MIN(ROUND(X$6+IF(X$5=$C35,$E$5+$E35,0),2),ROUND(Z34+Y35,2)),0)</f>
        <v>0</v>
      </c>
      <c r="Y35" s="24">
        <f>IF(Z34&gt;0,ROUND(ROUND(Z34*100,0)*ROUND(X$7*10000,0)/12000000,0)/100,0)</f>
        <v>0</v>
      </c>
      <c r="Z35" s="24">
        <f>IF(Z34&gt;0,ROUND(Z34+Y35-X35,2),0)</f>
        <v>0</v>
      </c>
      <c r="AA35" s="24">
        <f>IF(AC34&gt;0,MIN(ROUND(AA$6+IF(AA$5=$C35,$E$5+$E35,0),2),ROUND(AC34+AB35,2)),0)</f>
        <v>0</v>
      </c>
      <c r="AB35" s="24">
        <f>IF(AC34&gt;0,ROUND(ROUND(AC34*100,0)*ROUND(AA$7*10000,0)/12000000,0)/100,0)</f>
        <v>0</v>
      </c>
      <c r="AC35" s="24">
        <f>IF(AC34&gt;0,ROUND(AC34+AB35-AA35,2),0)</f>
        <v>0</v>
      </c>
      <c r="AD35" s="24">
        <f>IF(AF34&gt;0,MIN(ROUND(AD$6+IF(AD$5=$C35,$E$5+$E35,0),2),ROUND(AF34+AE35,2)),0)</f>
        <v>0</v>
      </c>
      <c r="AE35" s="24">
        <f>IF(AF34&gt;0,ROUND(ROUND(AF34*100,0)*ROUND(AD$7*10000,0)/12000000,0)/100,0)</f>
        <v>0</v>
      </c>
      <c r="AF35" s="24">
        <f>IF(AF34&gt;0,ROUND(AF34+AE35-AD35,2),0)</f>
        <v>0</v>
      </c>
      <c r="AG35" s="24">
        <f>IF(AI34&gt;0,MIN(ROUND(AG$6+IF(AG$5=$C35,$E$5+$E35,0),2),ROUND(AI34+AH35,2)),0)</f>
        <v>0</v>
      </c>
      <c r="AH35" s="24">
        <f>IF(AI34&gt;0,ROUND(ROUND(AI34*100,0)*ROUND(AG$7*10000,0)/12000000,0)/100,0)</f>
        <v>0</v>
      </c>
      <c r="AI35" s="24">
        <f>IF(AI34&gt;0,ROUND(AI34+AH35-AG35,2),0)</f>
        <v>0</v>
      </c>
      <c r="AJ35" s="24">
        <f>IF(AL34&gt;0,MIN(ROUND(AJ$6+IF(AJ$5=$C35,$E$5+$E35,0),2),ROUND(AL34+AK35,2)),0)</f>
        <v>0</v>
      </c>
      <c r="AK35" s="24">
        <f>IF(AL34&gt;0,ROUND(ROUND(AL34*100,0)*ROUND(AJ$7*10000,0)/12000000,0)/100,0)</f>
        <v>0</v>
      </c>
      <c r="AL35" s="24">
        <f>IF(AL34&gt;0,ROUND(AL34+AK35-AJ35,2),0)</f>
        <v>0</v>
      </c>
    </row>
    <row r="36" spans="1:38" x14ac:dyDescent="0.25">
      <c r="A36" s="17">
        <f>IF(F36&gt;0,26,"")</f>
        <v>26</v>
      </c>
      <c r="B36" s="18">
        <f>IF(F36&gt;0,EDATE($E$6,26),"")</f>
        <v>47092</v>
      </c>
      <c r="C36" s="21">
        <f>IF(H35&gt;0,MIN(IF(K35&gt;0,I$5,99),IF(N35&gt;0,L$5,99),IF(Q35&gt;0,O$5,99),IF(T35&gt;0,R$5,99),IF(W35&gt;0,U$5,99),IF(Z35&gt;0,X$5,99),IF(AC35&gt;0,AA$5,99),IF(AF35&gt;0,AD$5,99),IF(AI35&gt;0,AG$5,99),IF(AL35&gt;0,AJ$5,99)),0)</f>
        <v>3</v>
      </c>
      <c r="D36" t="str">
        <f>IF(C36&gt;0,INDEX($I$4:$AL$4,1,MATCH(C36,$I$5:$AL$5,0)),"")</f>
        <v>Car loan</v>
      </c>
      <c r="E36" s="24">
        <f>ROUND(IF(AND(I$8&gt;0,K35=0),I$6,0)+IF(AND(L$8&gt;0,N35=0),L$6,0)+IF(AND(O$8&gt;0,Q35=0),O$6,0)+IF(AND(R$8&gt;0,T35=0),R$6,0)+IF(AND(U$8&gt;0,W35=0),U$6,0)+IF(AND(X$8&gt;0,Z35=0),X$6,0)+IF(AND(AA$8&gt;0,AC35=0),AA$6,0)+IF(AND(AD$8&gt;0,AF35=0),AD$6,0)+IF(AND(AG$8&gt;0,AI35=0),AG$6,0)+IF(AND(AJ$8&gt;0,AL35=0),AJ$6,0),2)</f>
        <v>120</v>
      </c>
      <c r="F36" s="24">
        <f>ROUND(I36+L36+O36+R36+U36+X36+AA36+AD36+AG36+AJ36,2)</f>
        <v>480</v>
      </c>
      <c r="G36" s="24">
        <f>ROUND(J36+M36+P36+S36+V36+Y36+AB36+AE36+AH36+AK36,2)</f>
        <v>11.31</v>
      </c>
      <c r="H36" s="24">
        <f>ROUND(K36+N36+Q36+T36+W36+Z36+AC36+AF36+AI36+AL36,2)</f>
        <v>1619.08</v>
      </c>
      <c r="I36" s="24">
        <f>IF(K35&gt;0,MIN(ROUND(I$6+IF(I$5=$C36,$E$5+$E36,0),2),ROUND(K35+J36,2)),0)</f>
        <v>0</v>
      </c>
      <c r="J36" s="24">
        <f>IF(K35&gt;0,ROUND(ROUND(K35*100,0)*ROUND(I$7*10000,0)/12000000,0)/100,0)</f>
        <v>0</v>
      </c>
      <c r="K36" s="24">
        <f>IF(K35&gt;0,ROUND(K35+J36-I36,2),0)</f>
        <v>0</v>
      </c>
      <c r="L36" s="24">
        <f>IF(N35&gt;0,MIN(ROUND(L$6+IF(L$5=$C36,$E$5+$E36,0),2),ROUND(N35+M36,2)),0)</f>
        <v>480</v>
      </c>
      <c r="M36" s="24">
        <f>IF(N35&gt;0,ROUND(ROUND(N35*100,0)*ROUND(L$7*10000,0)/12000000,0)/100,0)</f>
        <v>11.31</v>
      </c>
      <c r="N36" s="24">
        <f>IF(N35&gt;0,ROUND(N35+M36-L36,2),0)</f>
        <v>1619.08</v>
      </c>
      <c r="O36" s="24">
        <f>IF(Q35&gt;0,MIN(ROUND(O$6+IF(O$5=$C36,$E$5+$E36,0),2),ROUND(Q35+P36,2)),0)</f>
        <v>0</v>
      </c>
      <c r="P36" s="24">
        <f>IF(Q35&gt;0,ROUND(ROUND(Q35*100,0)*ROUND(O$7*10000,0)/12000000,0)/100,0)</f>
        <v>0</v>
      </c>
      <c r="Q36" s="24">
        <f>IF(Q35&gt;0,ROUND(Q35+P36-O36,2),0)</f>
        <v>0</v>
      </c>
      <c r="R36" s="24">
        <f>IF(T35&gt;0,MIN(ROUND(R$6+IF(R$5=$C36,$E$5+$E36,0),2),ROUND(T35+S36,2)),0)</f>
        <v>0</v>
      </c>
      <c r="S36" s="24">
        <f>IF(T35&gt;0,ROUND(ROUND(T35*100,0)*ROUND(R$7*10000,0)/12000000,0)/100,0)</f>
        <v>0</v>
      </c>
      <c r="T36" s="24">
        <f>IF(T35&gt;0,ROUND(T35+S36-R36,2),0)</f>
        <v>0</v>
      </c>
      <c r="U36" s="24">
        <f>IF(W35&gt;0,MIN(ROUND(U$6+IF(U$5=$C36,$E$5+$E36,0),2),ROUND(W35+V36,2)),0)</f>
        <v>0</v>
      </c>
      <c r="V36" s="24">
        <f>IF(W35&gt;0,ROUND(ROUND(W35*100,0)*ROUND(U$7*10000,0)/12000000,0)/100,0)</f>
        <v>0</v>
      </c>
      <c r="W36" s="24">
        <f>IF(W35&gt;0,ROUND(W35+V36-U36,2),0)</f>
        <v>0</v>
      </c>
      <c r="X36" s="24">
        <f>IF(Z35&gt;0,MIN(ROUND(X$6+IF(X$5=$C36,$E$5+$E36,0),2),ROUND(Z35+Y36,2)),0)</f>
        <v>0</v>
      </c>
      <c r="Y36" s="24">
        <f>IF(Z35&gt;0,ROUND(ROUND(Z35*100,0)*ROUND(X$7*10000,0)/12000000,0)/100,0)</f>
        <v>0</v>
      </c>
      <c r="Z36" s="24">
        <f>IF(Z35&gt;0,ROUND(Z35+Y36-X36,2),0)</f>
        <v>0</v>
      </c>
      <c r="AA36" s="24">
        <f>IF(AC35&gt;0,MIN(ROUND(AA$6+IF(AA$5=$C36,$E$5+$E36,0),2),ROUND(AC35+AB36,2)),0)</f>
        <v>0</v>
      </c>
      <c r="AB36" s="24">
        <f>IF(AC35&gt;0,ROUND(ROUND(AC35*100,0)*ROUND(AA$7*10000,0)/12000000,0)/100,0)</f>
        <v>0</v>
      </c>
      <c r="AC36" s="24">
        <f>IF(AC35&gt;0,ROUND(AC35+AB36-AA36,2),0)</f>
        <v>0</v>
      </c>
      <c r="AD36" s="24">
        <f>IF(AF35&gt;0,MIN(ROUND(AD$6+IF(AD$5=$C36,$E$5+$E36,0),2),ROUND(AF35+AE36,2)),0)</f>
        <v>0</v>
      </c>
      <c r="AE36" s="24">
        <f>IF(AF35&gt;0,ROUND(ROUND(AF35*100,0)*ROUND(AD$7*10000,0)/12000000,0)/100,0)</f>
        <v>0</v>
      </c>
      <c r="AF36" s="24">
        <f>IF(AF35&gt;0,ROUND(AF35+AE36-AD36,2),0)</f>
        <v>0</v>
      </c>
      <c r="AG36" s="24">
        <f>IF(AI35&gt;0,MIN(ROUND(AG$6+IF(AG$5=$C36,$E$5+$E36,0),2),ROUND(AI35+AH36,2)),0)</f>
        <v>0</v>
      </c>
      <c r="AH36" s="24">
        <f>IF(AI35&gt;0,ROUND(ROUND(AI35*100,0)*ROUND(AG$7*10000,0)/12000000,0)/100,0)</f>
        <v>0</v>
      </c>
      <c r="AI36" s="24">
        <f>IF(AI35&gt;0,ROUND(AI35+AH36-AG36,2),0)</f>
        <v>0</v>
      </c>
      <c r="AJ36" s="24">
        <f>IF(AL35&gt;0,MIN(ROUND(AJ$6+IF(AJ$5=$C36,$E$5+$E36,0),2),ROUND(AL35+AK36,2)),0)</f>
        <v>0</v>
      </c>
      <c r="AK36" s="24">
        <f>IF(AL35&gt;0,ROUND(ROUND(AL35*100,0)*ROUND(AJ$7*10000,0)/12000000,0)/100,0)</f>
        <v>0</v>
      </c>
      <c r="AL36" s="24">
        <f>IF(AL35&gt;0,ROUND(AL35+AK36-AJ36,2),0)</f>
        <v>0</v>
      </c>
    </row>
    <row r="37" spans="1:38" x14ac:dyDescent="0.25">
      <c r="A37" s="17">
        <f>IF(F37&gt;0,27,"")</f>
        <v>27</v>
      </c>
      <c r="B37" s="18">
        <f>IF(F37&gt;0,EDATE($E$6,27),"")</f>
        <v>47123</v>
      </c>
      <c r="C37" s="21">
        <f>IF(H36&gt;0,MIN(IF(K36&gt;0,I$5,99),IF(N36&gt;0,L$5,99),IF(Q36&gt;0,O$5,99),IF(T36&gt;0,R$5,99),IF(W36&gt;0,U$5,99),IF(Z36&gt;0,X$5,99),IF(AC36&gt;0,AA$5,99),IF(AF36&gt;0,AD$5,99),IF(AI36&gt;0,AG$5,99),IF(AL36&gt;0,AJ$5,99)),0)</f>
        <v>3</v>
      </c>
      <c r="D37" t="str">
        <f>IF(C37&gt;0,INDEX($I$4:$AL$4,1,MATCH(C37,$I$5:$AL$5,0)),"")</f>
        <v>Car loan</v>
      </c>
      <c r="E37" s="24">
        <f>ROUND(IF(AND(I$8&gt;0,K36=0),I$6,0)+IF(AND(L$8&gt;0,N36=0),L$6,0)+IF(AND(O$8&gt;0,Q36=0),O$6,0)+IF(AND(R$8&gt;0,T36=0),R$6,0)+IF(AND(U$8&gt;0,W36=0),U$6,0)+IF(AND(X$8&gt;0,Z36=0),X$6,0)+IF(AND(AA$8&gt;0,AC36=0),AA$6,0)+IF(AND(AD$8&gt;0,AF36=0),AD$6,0)+IF(AND(AG$8&gt;0,AI36=0),AG$6,0)+IF(AND(AJ$8&gt;0,AL36=0),AJ$6,0),2)</f>
        <v>120</v>
      </c>
      <c r="F37" s="24">
        <f>ROUND(I37+L37+O37+R37+U37+X37+AA37+AD37+AG37+AJ37,2)</f>
        <v>480</v>
      </c>
      <c r="G37" s="24">
        <f>ROUND(J37+M37+P37+S37+V37+Y37+AB37+AE37+AH37+AK37,2)</f>
        <v>8.77</v>
      </c>
      <c r="H37" s="24">
        <f>ROUND(K37+N37+Q37+T37+W37+Z37+AC37+AF37+AI37+AL37,2)</f>
        <v>1147.85</v>
      </c>
      <c r="I37" s="24">
        <f>IF(K36&gt;0,MIN(ROUND(I$6+IF(I$5=$C37,$E$5+$E37,0),2),ROUND(K36+J37,2)),0)</f>
        <v>0</v>
      </c>
      <c r="J37" s="24">
        <f>IF(K36&gt;0,ROUND(ROUND(K36*100,0)*ROUND(I$7*10000,0)/12000000,0)/100,0)</f>
        <v>0</v>
      </c>
      <c r="K37" s="24">
        <f>IF(K36&gt;0,ROUND(K36+J37-I37,2),0)</f>
        <v>0</v>
      </c>
      <c r="L37" s="24">
        <f>IF(N36&gt;0,MIN(ROUND(L$6+IF(L$5=$C37,$E$5+$E37,0),2),ROUND(N36+M37,2)),0)</f>
        <v>480</v>
      </c>
      <c r="M37" s="24">
        <f>IF(N36&gt;0,ROUND(ROUND(N36*100,0)*ROUND(L$7*10000,0)/12000000,0)/100,0)</f>
        <v>8.77</v>
      </c>
      <c r="N37" s="24">
        <f>IF(N36&gt;0,ROUND(N36+M37-L37,2),0)</f>
        <v>1147.85</v>
      </c>
      <c r="O37" s="24">
        <f>IF(Q36&gt;0,MIN(ROUND(O$6+IF(O$5=$C37,$E$5+$E37,0),2),ROUND(Q36+P37,2)),0)</f>
        <v>0</v>
      </c>
      <c r="P37" s="24">
        <f>IF(Q36&gt;0,ROUND(ROUND(Q36*100,0)*ROUND(O$7*10000,0)/12000000,0)/100,0)</f>
        <v>0</v>
      </c>
      <c r="Q37" s="24">
        <f>IF(Q36&gt;0,ROUND(Q36+P37-O37,2),0)</f>
        <v>0</v>
      </c>
      <c r="R37" s="24">
        <f>IF(T36&gt;0,MIN(ROUND(R$6+IF(R$5=$C37,$E$5+$E37,0),2),ROUND(T36+S37,2)),0)</f>
        <v>0</v>
      </c>
      <c r="S37" s="24">
        <f>IF(T36&gt;0,ROUND(ROUND(T36*100,0)*ROUND(R$7*10000,0)/12000000,0)/100,0)</f>
        <v>0</v>
      </c>
      <c r="T37" s="24">
        <f>IF(T36&gt;0,ROUND(T36+S37-R37,2),0)</f>
        <v>0</v>
      </c>
      <c r="U37" s="24">
        <f>IF(W36&gt;0,MIN(ROUND(U$6+IF(U$5=$C37,$E$5+$E37,0),2),ROUND(W36+V37,2)),0)</f>
        <v>0</v>
      </c>
      <c r="V37" s="24">
        <f>IF(W36&gt;0,ROUND(ROUND(W36*100,0)*ROUND(U$7*10000,0)/12000000,0)/100,0)</f>
        <v>0</v>
      </c>
      <c r="W37" s="24">
        <f>IF(W36&gt;0,ROUND(W36+V37-U37,2),0)</f>
        <v>0</v>
      </c>
      <c r="X37" s="24">
        <f>IF(Z36&gt;0,MIN(ROUND(X$6+IF(X$5=$C37,$E$5+$E37,0),2),ROUND(Z36+Y37,2)),0)</f>
        <v>0</v>
      </c>
      <c r="Y37" s="24">
        <f>IF(Z36&gt;0,ROUND(ROUND(Z36*100,0)*ROUND(X$7*10000,0)/12000000,0)/100,0)</f>
        <v>0</v>
      </c>
      <c r="Z37" s="24">
        <f>IF(Z36&gt;0,ROUND(Z36+Y37-X37,2),0)</f>
        <v>0</v>
      </c>
      <c r="AA37" s="24">
        <f>IF(AC36&gt;0,MIN(ROUND(AA$6+IF(AA$5=$C37,$E$5+$E37,0),2),ROUND(AC36+AB37,2)),0)</f>
        <v>0</v>
      </c>
      <c r="AB37" s="24">
        <f>IF(AC36&gt;0,ROUND(ROUND(AC36*100,0)*ROUND(AA$7*10000,0)/12000000,0)/100,0)</f>
        <v>0</v>
      </c>
      <c r="AC37" s="24">
        <f>IF(AC36&gt;0,ROUND(AC36+AB37-AA37,2),0)</f>
        <v>0</v>
      </c>
      <c r="AD37" s="24">
        <f>IF(AF36&gt;0,MIN(ROUND(AD$6+IF(AD$5=$C37,$E$5+$E37,0),2),ROUND(AF36+AE37,2)),0)</f>
        <v>0</v>
      </c>
      <c r="AE37" s="24">
        <f>IF(AF36&gt;0,ROUND(ROUND(AF36*100,0)*ROUND(AD$7*10000,0)/12000000,0)/100,0)</f>
        <v>0</v>
      </c>
      <c r="AF37" s="24">
        <f>IF(AF36&gt;0,ROUND(AF36+AE37-AD37,2),0)</f>
        <v>0</v>
      </c>
      <c r="AG37" s="24">
        <f>IF(AI36&gt;0,MIN(ROUND(AG$6+IF(AG$5=$C37,$E$5+$E37,0),2),ROUND(AI36+AH37,2)),0)</f>
        <v>0</v>
      </c>
      <c r="AH37" s="24">
        <f>IF(AI36&gt;0,ROUND(ROUND(AI36*100,0)*ROUND(AG$7*10000,0)/12000000,0)/100,0)</f>
        <v>0</v>
      </c>
      <c r="AI37" s="24">
        <f>IF(AI36&gt;0,ROUND(AI36+AH37-AG37,2),0)</f>
        <v>0</v>
      </c>
      <c r="AJ37" s="24">
        <f>IF(AL36&gt;0,MIN(ROUND(AJ$6+IF(AJ$5=$C37,$E$5+$E37,0),2),ROUND(AL36+AK37,2)),0)</f>
        <v>0</v>
      </c>
      <c r="AK37" s="24">
        <f>IF(AL36&gt;0,ROUND(ROUND(AL36*100,0)*ROUND(AJ$7*10000,0)/12000000,0)/100,0)</f>
        <v>0</v>
      </c>
      <c r="AL37" s="24">
        <f>IF(AL36&gt;0,ROUND(AL36+AK37-AJ37,2),0)</f>
        <v>0</v>
      </c>
    </row>
    <row r="38" spans="1:38" x14ac:dyDescent="0.25">
      <c r="A38" s="17">
        <f>IF(F38&gt;0,28,"")</f>
        <v>28</v>
      </c>
      <c r="B38" s="18">
        <f>IF(F38&gt;0,EDATE($E$6,28),"")</f>
        <v>47154</v>
      </c>
      <c r="C38" s="21">
        <f>IF(H37&gt;0,MIN(IF(K37&gt;0,I$5,99),IF(N37&gt;0,L$5,99),IF(Q37&gt;0,O$5,99),IF(T37&gt;0,R$5,99),IF(W37&gt;0,U$5,99),IF(Z37&gt;0,X$5,99),IF(AC37&gt;0,AA$5,99),IF(AF37&gt;0,AD$5,99),IF(AI37&gt;0,AG$5,99),IF(AL37&gt;0,AJ$5,99)),0)</f>
        <v>3</v>
      </c>
      <c r="D38" t="str">
        <f>IF(C38&gt;0,INDEX($I$4:$AL$4,1,MATCH(C38,$I$5:$AL$5,0)),"")</f>
        <v>Car loan</v>
      </c>
      <c r="E38" s="24">
        <f>ROUND(IF(AND(I$8&gt;0,K37=0),I$6,0)+IF(AND(L$8&gt;0,N37=0),L$6,0)+IF(AND(O$8&gt;0,Q37=0),O$6,0)+IF(AND(R$8&gt;0,T37=0),R$6,0)+IF(AND(U$8&gt;0,W37=0),U$6,0)+IF(AND(X$8&gt;0,Z37=0),X$6,0)+IF(AND(AA$8&gt;0,AC37=0),AA$6,0)+IF(AND(AD$8&gt;0,AF37=0),AD$6,0)+IF(AND(AG$8&gt;0,AI37=0),AG$6,0)+IF(AND(AJ$8&gt;0,AL37=0),AJ$6,0),2)</f>
        <v>120</v>
      </c>
      <c r="F38" s="24">
        <f>ROUND(I38+L38+O38+R38+U38+X38+AA38+AD38+AG38+AJ38,2)</f>
        <v>480</v>
      </c>
      <c r="G38" s="24">
        <f>ROUND(J38+M38+P38+S38+V38+Y38+AB38+AE38+AH38+AK38,2)</f>
        <v>6.22</v>
      </c>
      <c r="H38" s="24">
        <f>ROUND(K38+N38+Q38+T38+W38+Z38+AC38+AF38+AI38+AL38,2)</f>
        <v>674.07</v>
      </c>
      <c r="I38" s="24">
        <f>IF(K37&gt;0,MIN(ROUND(I$6+IF(I$5=$C38,$E$5+$E38,0),2),ROUND(K37+J38,2)),0)</f>
        <v>0</v>
      </c>
      <c r="J38" s="24">
        <f>IF(K37&gt;0,ROUND(ROUND(K37*100,0)*ROUND(I$7*10000,0)/12000000,0)/100,0)</f>
        <v>0</v>
      </c>
      <c r="K38" s="24">
        <f>IF(K37&gt;0,ROUND(K37+J38-I38,2),0)</f>
        <v>0</v>
      </c>
      <c r="L38" s="24">
        <f>IF(N37&gt;0,MIN(ROUND(L$6+IF(L$5=$C38,$E$5+$E38,0),2),ROUND(N37+M38,2)),0)</f>
        <v>480</v>
      </c>
      <c r="M38" s="24">
        <f>IF(N37&gt;0,ROUND(ROUND(N37*100,0)*ROUND(L$7*10000,0)/12000000,0)/100,0)</f>
        <v>6.22</v>
      </c>
      <c r="N38" s="24">
        <f>IF(N37&gt;0,ROUND(N37+M38-L38,2),0)</f>
        <v>674.07</v>
      </c>
      <c r="O38" s="24">
        <f>IF(Q37&gt;0,MIN(ROUND(O$6+IF(O$5=$C38,$E$5+$E38,0),2),ROUND(Q37+P38,2)),0)</f>
        <v>0</v>
      </c>
      <c r="P38" s="24">
        <f>IF(Q37&gt;0,ROUND(ROUND(Q37*100,0)*ROUND(O$7*10000,0)/12000000,0)/100,0)</f>
        <v>0</v>
      </c>
      <c r="Q38" s="24">
        <f>IF(Q37&gt;0,ROUND(Q37+P38-O38,2),0)</f>
        <v>0</v>
      </c>
      <c r="R38" s="24">
        <f>IF(T37&gt;0,MIN(ROUND(R$6+IF(R$5=$C38,$E$5+$E38,0),2),ROUND(T37+S38,2)),0)</f>
        <v>0</v>
      </c>
      <c r="S38" s="24">
        <f>IF(T37&gt;0,ROUND(ROUND(T37*100,0)*ROUND(R$7*10000,0)/12000000,0)/100,0)</f>
        <v>0</v>
      </c>
      <c r="T38" s="24">
        <f>IF(T37&gt;0,ROUND(T37+S38-R38,2),0)</f>
        <v>0</v>
      </c>
      <c r="U38" s="24">
        <f>IF(W37&gt;0,MIN(ROUND(U$6+IF(U$5=$C38,$E$5+$E38,0),2),ROUND(W37+V38,2)),0)</f>
        <v>0</v>
      </c>
      <c r="V38" s="24">
        <f>IF(W37&gt;0,ROUND(ROUND(W37*100,0)*ROUND(U$7*10000,0)/12000000,0)/100,0)</f>
        <v>0</v>
      </c>
      <c r="W38" s="24">
        <f>IF(W37&gt;0,ROUND(W37+V38-U38,2),0)</f>
        <v>0</v>
      </c>
      <c r="X38" s="24">
        <f>IF(Z37&gt;0,MIN(ROUND(X$6+IF(X$5=$C38,$E$5+$E38,0),2),ROUND(Z37+Y38,2)),0)</f>
        <v>0</v>
      </c>
      <c r="Y38" s="24">
        <f>IF(Z37&gt;0,ROUND(ROUND(Z37*100,0)*ROUND(X$7*10000,0)/12000000,0)/100,0)</f>
        <v>0</v>
      </c>
      <c r="Z38" s="24">
        <f>IF(Z37&gt;0,ROUND(Z37+Y38-X38,2),0)</f>
        <v>0</v>
      </c>
      <c r="AA38" s="24">
        <f>IF(AC37&gt;0,MIN(ROUND(AA$6+IF(AA$5=$C38,$E$5+$E38,0),2),ROUND(AC37+AB38,2)),0)</f>
        <v>0</v>
      </c>
      <c r="AB38" s="24">
        <f>IF(AC37&gt;0,ROUND(ROUND(AC37*100,0)*ROUND(AA$7*10000,0)/12000000,0)/100,0)</f>
        <v>0</v>
      </c>
      <c r="AC38" s="24">
        <f>IF(AC37&gt;0,ROUND(AC37+AB38-AA38,2),0)</f>
        <v>0</v>
      </c>
      <c r="AD38" s="24">
        <f>IF(AF37&gt;0,MIN(ROUND(AD$6+IF(AD$5=$C38,$E$5+$E38,0),2),ROUND(AF37+AE38,2)),0)</f>
        <v>0</v>
      </c>
      <c r="AE38" s="24">
        <f>IF(AF37&gt;0,ROUND(ROUND(AF37*100,0)*ROUND(AD$7*10000,0)/12000000,0)/100,0)</f>
        <v>0</v>
      </c>
      <c r="AF38" s="24">
        <f>IF(AF37&gt;0,ROUND(AF37+AE38-AD38,2),0)</f>
        <v>0</v>
      </c>
      <c r="AG38" s="24">
        <f>IF(AI37&gt;0,MIN(ROUND(AG$6+IF(AG$5=$C38,$E$5+$E38,0),2),ROUND(AI37+AH38,2)),0)</f>
        <v>0</v>
      </c>
      <c r="AH38" s="24">
        <f>IF(AI37&gt;0,ROUND(ROUND(AI37*100,0)*ROUND(AG$7*10000,0)/12000000,0)/100,0)</f>
        <v>0</v>
      </c>
      <c r="AI38" s="24">
        <f>IF(AI37&gt;0,ROUND(AI37+AH38-AG38,2),0)</f>
        <v>0</v>
      </c>
      <c r="AJ38" s="24">
        <f>IF(AL37&gt;0,MIN(ROUND(AJ$6+IF(AJ$5=$C38,$E$5+$E38,0),2),ROUND(AL37+AK38,2)),0)</f>
        <v>0</v>
      </c>
      <c r="AK38" s="24">
        <f>IF(AL37&gt;0,ROUND(ROUND(AL37*100,0)*ROUND(AJ$7*10000,0)/12000000,0)/100,0)</f>
        <v>0</v>
      </c>
      <c r="AL38" s="24">
        <f>IF(AL37&gt;0,ROUND(AL37+AK38-AJ38,2),0)</f>
        <v>0</v>
      </c>
    </row>
    <row r="39" spans="1:38" x14ac:dyDescent="0.25">
      <c r="A39" s="17">
        <f>IF(F39&gt;0,29,"")</f>
        <v>29</v>
      </c>
      <c r="B39" s="18">
        <f>IF(F39&gt;0,EDATE($E$6,29),"")</f>
        <v>47182</v>
      </c>
      <c r="C39" s="21">
        <f>IF(H38&gt;0,MIN(IF(K38&gt;0,I$5,99),IF(N38&gt;0,L$5,99),IF(Q38&gt;0,O$5,99),IF(T38&gt;0,R$5,99),IF(W38&gt;0,U$5,99),IF(Z38&gt;0,X$5,99),IF(AC38&gt;0,AA$5,99),IF(AF38&gt;0,AD$5,99),IF(AI38&gt;0,AG$5,99),IF(AL38&gt;0,AJ$5,99)),0)</f>
        <v>3</v>
      </c>
      <c r="D39" t="str">
        <f>IF(C39&gt;0,INDEX($I$4:$AL$4,1,MATCH(C39,$I$5:$AL$5,0)),"")</f>
        <v>Car loan</v>
      </c>
      <c r="E39" s="24">
        <f>ROUND(IF(AND(I$8&gt;0,K38=0),I$6,0)+IF(AND(L$8&gt;0,N38=0),L$6,0)+IF(AND(O$8&gt;0,Q38=0),O$6,0)+IF(AND(R$8&gt;0,T38=0),R$6,0)+IF(AND(U$8&gt;0,W38=0),U$6,0)+IF(AND(X$8&gt;0,Z38=0),X$6,0)+IF(AND(AA$8&gt;0,AC38=0),AA$6,0)+IF(AND(AD$8&gt;0,AF38=0),AD$6,0)+IF(AND(AG$8&gt;0,AI38=0),AG$6,0)+IF(AND(AJ$8&gt;0,AL38=0),AJ$6,0),2)</f>
        <v>120</v>
      </c>
      <c r="F39" s="24">
        <f>ROUND(I39+L39+O39+R39+U39+X39+AA39+AD39+AG39+AJ39,2)</f>
        <v>480</v>
      </c>
      <c r="G39" s="24">
        <f>ROUND(J39+M39+P39+S39+V39+Y39+AB39+AE39+AH39+AK39,2)</f>
        <v>3.65</v>
      </c>
      <c r="H39" s="24">
        <f>ROUND(K39+N39+Q39+T39+W39+Z39+AC39+AF39+AI39+AL39,2)</f>
        <v>197.72</v>
      </c>
      <c r="I39" s="24">
        <f>IF(K38&gt;0,MIN(ROUND(I$6+IF(I$5=$C39,$E$5+$E39,0),2),ROUND(K38+J39,2)),0)</f>
        <v>0</v>
      </c>
      <c r="J39" s="24">
        <f>IF(K38&gt;0,ROUND(ROUND(K38*100,0)*ROUND(I$7*10000,0)/12000000,0)/100,0)</f>
        <v>0</v>
      </c>
      <c r="K39" s="24">
        <f>IF(K38&gt;0,ROUND(K38+J39-I39,2),0)</f>
        <v>0</v>
      </c>
      <c r="L39" s="24">
        <f>IF(N38&gt;0,MIN(ROUND(L$6+IF(L$5=$C39,$E$5+$E39,0),2),ROUND(N38+M39,2)),0)</f>
        <v>480</v>
      </c>
      <c r="M39" s="24">
        <f>IF(N38&gt;0,ROUND(ROUND(N38*100,0)*ROUND(L$7*10000,0)/12000000,0)/100,0)</f>
        <v>3.65</v>
      </c>
      <c r="N39" s="24">
        <f>IF(N38&gt;0,ROUND(N38+M39-L39,2),0)</f>
        <v>197.72</v>
      </c>
      <c r="O39" s="24">
        <f>IF(Q38&gt;0,MIN(ROUND(O$6+IF(O$5=$C39,$E$5+$E39,0),2),ROUND(Q38+P39,2)),0)</f>
        <v>0</v>
      </c>
      <c r="P39" s="24">
        <f>IF(Q38&gt;0,ROUND(ROUND(Q38*100,0)*ROUND(O$7*10000,0)/12000000,0)/100,0)</f>
        <v>0</v>
      </c>
      <c r="Q39" s="24">
        <f>IF(Q38&gt;0,ROUND(Q38+P39-O39,2),0)</f>
        <v>0</v>
      </c>
      <c r="R39" s="24">
        <f>IF(T38&gt;0,MIN(ROUND(R$6+IF(R$5=$C39,$E$5+$E39,0),2),ROUND(T38+S39,2)),0)</f>
        <v>0</v>
      </c>
      <c r="S39" s="24">
        <f>IF(T38&gt;0,ROUND(ROUND(T38*100,0)*ROUND(R$7*10000,0)/12000000,0)/100,0)</f>
        <v>0</v>
      </c>
      <c r="T39" s="24">
        <f>IF(T38&gt;0,ROUND(T38+S39-R39,2),0)</f>
        <v>0</v>
      </c>
      <c r="U39" s="24">
        <f>IF(W38&gt;0,MIN(ROUND(U$6+IF(U$5=$C39,$E$5+$E39,0),2),ROUND(W38+V39,2)),0)</f>
        <v>0</v>
      </c>
      <c r="V39" s="24">
        <f>IF(W38&gt;0,ROUND(ROUND(W38*100,0)*ROUND(U$7*10000,0)/12000000,0)/100,0)</f>
        <v>0</v>
      </c>
      <c r="W39" s="24">
        <f>IF(W38&gt;0,ROUND(W38+V39-U39,2),0)</f>
        <v>0</v>
      </c>
      <c r="X39" s="24">
        <f>IF(Z38&gt;0,MIN(ROUND(X$6+IF(X$5=$C39,$E$5+$E39,0),2),ROUND(Z38+Y39,2)),0)</f>
        <v>0</v>
      </c>
      <c r="Y39" s="24">
        <f>IF(Z38&gt;0,ROUND(ROUND(Z38*100,0)*ROUND(X$7*10000,0)/12000000,0)/100,0)</f>
        <v>0</v>
      </c>
      <c r="Z39" s="24">
        <f>IF(Z38&gt;0,ROUND(Z38+Y39-X39,2),0)</f>
        <v>0</v>
      </c>
      <c r="AA39" s="24">
        <f>IF(AC38&gt;0,MIN(ROUND(AA$6+IF(AA$5=$C39,$E$5+$E39,0),2),ROUND(AC38+AB39,2)),0)</f>
        <v>0</v>
      </c>
      <c r="AB39" s="24">
        <f>IF(AC38&gt;0,ROUND(ROUND(AC38*100,0)*ROUND(AA$7*10000,0)/12000000,0)/100,0)</f>
        <v>0</v>
      </c>
      <c r="AC39" s="24">
        <f>IF(AC38&gt;0,ROUND(AC38+AB39-AA39,2),0)</f>
        <v>0</v>
      </c>
      <c r="AD39" s="24">
        <f>IF(AF38&gt;0,MIN(ROUND(AD$6+IF(AD$5=$C39,$E$5+$E39,0),2),ROUND(AF38+AE39,2)),0)</f>
        <v>0</v>
      </c>
      <c r="AE39" s="24">
        <f>IF(AF38&gt;0,ROUND(ROUND(AF38*100,0)*ROUND(AD$7*10000,0)/12000000,0)/100,0)</f>
        <v>0</v>
      </c>
      <c r="AF39" s="24">
        <f>IF(AF38&gt;0,ROUND(AF38+AE39-AD39,2),0)</f>
        <v>0</v>
      </c>
      <c r="AG39" s="24">
        <f>IF(AI38&gt;0,MIN(ROUND(AG$6+IF(AG$5=$C39,$E$5+$E39,0),2),ROUND(AI38+AH39,2)),0)</f>
        <v>0</v>
      </c>
      <c r="AH39" s="24">
        <f>IF(AI38&gt;0,ROUND(ROUND(AI38*100,0)*ROUND(AG$7*10000,0)/12000000,0)/100,0)</f>
        <v>0</v>
      </c>
      <c r="AI39" s="24">
        <f>IF(AI38&gt;0,ROUND(AI38+AH39-AG39,2),0)</f>
        <v>0</v>
      </c>
      <c r="AJ39" s="24">
        <f>IF(AL38&gt;0,MIN(ROUND(AJ$6+IF(AJ$5=$C39,$E$5+$E39,0),2),ROUND(AL38+AK39,2)),0)</f>
        <v>0</v>
      </c>
      <c r="AK39" s="24">
        <f>IF(AL38&gt;0,ROUND(ROUND(AL38*100,0)*ROUND(AJ$7*10000,0)/12000000,0)/100,0)</f>
        <v>0</v>
      </c>
      <c r="AL39" s="24">
        <f>IF(AL38&gt;0,ROUND(AL38+AK39-AJ39,2),0)</f>
        <v>0</v>
      </c>
    </row>
    <row r="40" spans="1:38" x14ac:dyDescent="0.25">
      <c r="A40" s="17">
        <f>IF(F40&gt;0,30,"")</f>
        <v>30</v>
      </c>
      <c r="B40" s="18">
        <f>IF(F40&gt;0,EDATE($E$6,30),"")</f>
        <v>47213</v>
      </c>
      <c r="C40" s="21">
        <f>IF(H39&gt;0,MIN(IF(K39&gt;0,I$5,99),IF(N39&gt;0,L$5,99),IF(Q39&gt;0,O$5,99),IF(T39&gt;0,R$5,99),IF(W39&gt;0,U$5,99),IF(Z39&gt;0,X$5,99),IF(AC39&gt;0,AA$5,99),IF(AF39&gt;0,AD$5,99),IF(AI39&gt;0,AG$5,99),IF(AL39&gt;0,AJ$5,99)),0)</f>
        <v>3</v>
      </c>
      <c r="D40" t="str">
        <f>IF(C40&gt;0,INDEX($I$4:$AL$4,1,MATCH(C40,$I$5:$AL$5,0)),"")</f>
        <v>Car loan</v>
      </c>
      <c r="E40" s="24">
        <f>ROUND(IF(AND(I$8&gt;0,K39=0),I$6,0)+IF(AND(L$8&gt;0,N39=0),L$6,0)+IF(AND(O$8&gt;0,Q39=0),O$6,0)+IF(AND(R$8&gt;0,T39=0),R$6,0)+IF(AND(U$8&gt;0,W39=0),U$6,0)+IF(AND(X$8&gt;0,Z39=0),X$6,0)+IF(AND(AA$8&gt;0,AC39=0),AA$6,0)+IF(AND(AD$8&gt;0,AF39=0),AD$6,0)+IF(AND(AG$8&gt;0,AI39=0),AG$6,0)+IF(AND(AJ$8&gt;0,AL39=0),AJ$6,0),2)</f>
        <v>120</v>
      </c>
      <c r="F40" s="24">
        <f>ROUND(I40+L40+O40+R40+U40+X40+AA40+AD40+AG40+AJ40,2)</f>
        <v>198.79</v>
      </c>
      <c r="G40" s="24">
        <f>ROUND(J40+M40+P40+S40+V40+Y40+AB40+AE40+AH40+AK40,2)</f>
        <v>1.07</v>
      </c>
      <c r="H40" s="24">
        <f>ROUND(K40+N40+Q40+T40+W40+Z40+AC40+AF40+AI40+AL40,2)</f>
        <v>0</v>
      </c>
      <c r="I40" s="24">
        <f>IF(K39&gt;0,MIN(ROUND(I$6+IF(I$5=$C40,$E$5+$E40,0),2),ROUND(K39+J40,2)),0)</f>
        <v>0</v>
      </c>
      <c r="J40" s="24">
        <f>IF(K39&gt;0,ROUND(ROUND(K39*100,0)*ROUND(I$7*10000,0)/12000000,0)/100,0)</f>
        <v>0</v>
      </c>
      <c r="K40" s="24">
        <f>IF(K39&gt;0,ROUND(K39+J40-I40,2),0)</f>
        <v>0</v>
      </c>
      <c r="L40" s="24">
        <f>IF(N39&gt;0,MIN(ROUND(L$6+IF(L$5=$C40,$E$5+$E40,0),2),ROUND(N39+M40,2)),0)</f>
        <v>198.79</v>
      </c>
      <c r="M40" s="24">
        <f>IF(N39&gt;0,ROUND(ROUND(N39*100,0)*ROUND(L$7*10000,0)/12000000,0)/100,0)</f>
        <v>1.07</v>
      </c>
      <c r="N40" s="24">
        <f>IF(N39&gt;0,ROUND(N39+M40-L40,2),0)</f>
        <v>0</v>
      </c>
      <c r="O40" s="24">
        <f>IF(Q39&gt;0,MIN(ROUND(O$6+IF(O$5=$C40,$E$5+$E40,0),2),ROUND(Q39+P40,2)),0)</f>
        <v>0</v>
      </c>
      <c r="P40" s="24">
        <f>IF(Q39&gt;0,ROUND(ROUND(Q39*100,0)*ROUND(O$7*10000,0)/12000000,0)/100,0)</f>
        <v>0</v>
      </c>
      <c r="Q40" s="24">
        <f>IF(Q39&gt;0,ROUND(Q39+P40-O40,2),0)</f>
        <v>0</v>
      </c>
      <c r="R40" s="24">
        <f>IF(T39&gt;0,MIN(ROUND(R$6+IF(R$5=$C40,$E$5+$E40,0),2),ROUND(T39+S40,2)),0)</f>
        <v>0</v>
      </c>
      <c r="S40" s="24">
        <f>IF(T39&gt;0,ROUND(ROUND(T39*100,0)*ROUND(R$7*10000,0)/12000000,0)/100,0)</f>
        <v>0</v>
      </c>
      <c r="T40" s="24">
        <f>IF(T39&gt;0,ROUND(T39+S40-R40,2),0)</f>
        <v>0</v>
      </c>
      <c r="U40" s="24">
        <f>IF(W39&gt;0,MIN(ROUND(U$6+IF(U$5=$C40,$E$5+$E40,0),2),ROUND(W39+V40,2)),0)</f>
        <v>0</v>
      </c>
      <c r="V40" s="24">
        <f>IF(W39&gt;0,ROUND(ROUND(W39*100,0)*ROUND(U$7*10000,0)/12000000,0)/100,0)</f>
        <v>0</v>
      </c>
      <c r="W40" s="24">
        <f>IF(W39&gt;0,ROUND(W39+V40-U40,2),0)</f>
        <v>0</v>
      </c>
      <c r="X40" s="24">
        <f>IF(Z39&gt;0,MIN(ROUND(X$6+IF(X$5=$C40,$E$5+$E40,0),2),ROUND(Z39+Y40,2)),0)</f>
        <v>0</v>
      </c>
      <c r="Y40" s="24">
        <f>IF(Z39&gt;0,ROUND(ROUND(Z39*100,0)*ROUND(X$7*10000,0)/12000000,0)/100,0)</f>
        <v>0</v>
      </c>
      <c r="Z40" s="24">
        <f>IF(Z39&gt;0,ROUND(Z39+Y40-X40,2),0)</f>
        <v>0</v>
      </c>
      <c r="AA40" s="24">
        <f>IF(AC39&gt;0,MIN(ROUND(AA$6+IF(AA$5=$C40,$E$5+$E40,0),2),ROUND(AC39+AB40,2)),0)</f>
        <v>0</v>
      </c>
      <c r="AB40" s="24">
        <f>IF(AC39&gt;0,ROUND(ROUND(AC39*100,0)*ROUND(AA$7*10000,0)/12000000,0)/100,0)</f>
        <v>0</v>
      </c>
      <c r="AC40" s="24">
        <f>IF(AC39&gt;0,ROUND(AC39+AB40-AA40,2),0)</f>
        <v>0</v>
      </c>
      <c r="AD40" s="24">
        <f>IF(AF39&gt;0,MIN(ROUND(AD$6+IF(AD$5=$C40,$E$5+$E40,0),2),ROUND(AF39+AE40,2)),0)</f>
        <v>0</v>
      </c>
      <c r="AE40" s="24">
        <f>IF(AF39&gt;0,ROUND(ROUND(AF39*100,0)*ROUND(AD$7*10000,0)/12000000,0)/100,0)</f>
        <v>0</v>
      </c>
      <c r="AF40" s="24">
        <f>IF(AF39&gt;0,ROUND(AF39+AE40-AD40,2),0)</f>
        <v>0</v>
      </c>
      <c r="AG40" s="24">
        <f>IF(AI39&gt;0,MIN(ROUND(AG$6+IF(AG$5=$C40,$E$5+$E40,0),2),ROUND(AI39+AH40,2)),0)</f>
        <v>0</v>
      </c>
      <c r="AH40" s="24">
        <f>IF(AI39&gt;0,ROUND(ROUND(AI39*100,0)*ROUND(AG$7*10000,0)/12000000,0)/100,0)</f>
        <v>0</v>
      </c>
      <c r="AI40" s="24">
        <f>IF(AI39&gt;0,ROUND(AI39+AH40-AG40,2),0)</f>
        <v>0</v>
      </c>
      <c r="AJ40" s="24">
        <f>IF(AL39&gt;0,MIN(ROUND(AJ$6+IF(AJ$5=$C40,$E$5+$E40,0),2),ROUND(AL39+AK40,2)),0)</f>
        <v>0</v>
      </c>
      <c r="AK40" s="24">
        <f>IF(AL39&gt;0,ROUND(ROUND(AL39*100,0)*ROUND(AJ$7*10000,0)/12000000,0)/100,0)</f>
        <v>0</v>
      </c>
      <c r="AL40" s="24">
        <f>IF(AL39&gt;0,ROUND(AL39+AK40-AJ40,2),0)</f>
        <v>0</v>
      </c>
    </row>
    <row r="41" spans="1:38" x14ac:dyDescent="0.25">
      <c r="A41" s="17" t="str">
        <f>IF(F41&gt;0,31,"")</f>
        <v/>
      </c>
      <c r="B41" s="18" t="str">
        <f>IF(F41&gt;0,EDATE($E$6,31),"")</f>
        <v/>
      </c>
      <c r="C41" s="21">
        <f>IF(H40&gt;0,MIN(IF(K40&gt;0,I$5,99),IF(N40&gt;0,L$5,99),IF(Q40&gt;0,O$5,99),IF(T40&gt;0,R$5,99),IF(W40&gt;0,U$5,99),IF(Z40&gt;0,X$5,99),IF(AC40&gt;0,AA$5,99),IF(AF40&gt;0,AD$5,99),IF(AI40&gt;0,AG$5,99),IF(AL40&gt;0,AJ$5,99)),0)</f>
        <v>0</v>
      </c>
      <c r="D41" t="str">
        <f>IF(C41&gt;0,INDEX($I$4:$AL$4,1,MATCH(C41,$I$5:$AL$5,0)),"")</f>
        <v/>
      </c>
      <c r="E41" s="24">
        <f>ROUND(IF(AND(I$8&gt;0,K40=0),I$6,0)+IF(AND(L$8&gt;0,N40=0),L$6,0)+IF(AND(O$8&gt;0,Q40=0),O$6,0)+IF(AND(R$8&gt;0,T40=0),R$6,0)+IF(AND(U$8&gt;0,W40=0),U$6,0)+IF(AND(X$8&gt;0,Z40=0),X$6,0)+IF(AND(AA$8&gt;0,AC40=0),AA$6,0)+IF(AND(AD$8&gt;0,AF40=0),AD$6,0)+IF(AND(AG$8&gt;0,AI40=0),AG$6,0)+IF(AND(AJ$8&gt;0,AL40=0),AJ$6,0),2)</f>
        <v>330</v>
      </c>
      <c r="F41" s="24">
        <f>ROUND(I41+L41+O41+R41+U41+X41+AA41+AD41+AG41+AJ41,2)</f>
        <v>0</v>
      </c>
      <c r="G41" s="24">
        <f>ROUND(J41+M41+P41+S41+V41+Y41+AB41+AE41+AH41+AK41,2)</f>
        <v>0</v>
      </c>
      <c r="H41" s="24">
        <f>ROUND(K41+N41+Q41+T41+W41+Z41+AC41+AF41+AI41+AL41,2)</f>
        <v>0</v>
      </c>
      <c r="I41" s="24">
        <f>IF(K40&gt;0,MIN(ROUND(I$6+IF(I$5=$C41,$E$5+$E41,0),2),ROUND(K40+J41,2)),0)</f>
        <v>0</v>
      </c>
      <c r="J41" s="24">
        <f>IF(K40&gt;0,ROUND(ROUND(K40*100,0)*ROUND(I$7*10000,0)/12000000,0)/100,0)</f>
        <v>0</v>
      </c>
      <c r="K41" s="24">
        <f>IF(K40&gt;0,ROUND(K40+J41-I41,2),0)</f>
        <v>0</v>
      </c>
      <c r="L41" s="24">
        <f>IF(N40&gt;0,MIN(ROUND(L$6+IF(L$5=$C41,$E$5+$E41,0),2),ROUND(N40+M41,2)),0)</f>
        <v>0</v>
      </c>
      <c r="M41" s="24">
        <f>IF(N40&gt;0,ROUND(ROUND(N40*100,0)*ROUND(L$7*10000,0)/12000000,0)/100,0)</f>
        <v>0</v>
      </c>
      <c r="N41" s="24">
        <f>IF(N40&gt;0,ROUND(N40+M41-L41,2),0)</f>
        <v>0</v>
      </c>
      <c r="O41" s="24">
        <f>IF(Q40&gt;0,MIN(ROUND(O$6+IF(O$5=$C41,$E$5+$E41,0),2),ROUND(Q40+P41,2)),0)</f>
        <v>0</v>
      </c>
      <c r="P41" s="24">
        <f>IF(Q40&gt;0,ROUND(ROUND(Q40*100,0)*ROUND(O$7*10000,0)/12000000,0)/100,0)</f>
        <v>0</v>
      </c>
      <c r="Q41" s="24">
        <f>IF(Q40&gt;0,ROUND(Q40+P41-O41,2),0)</f>
        <v>0</v>
      </c>
      <c r="R41" s="24">
        <f>IF(T40&gt;0,MIN(ROUND(R$6+IF(R$5=$C41,$E$5+$E41,0),2),ROUND(T40+S41,2)),0)</f>
        <v>0</v>
      </c>
      <c r="S41" s="24">
        <f>IF(T40&gt;0,ROUND(ROUND(T40*100,0)*ROUND(R$7*10000,0)/12000000,0)/100,0)</f>
        <v>0</v>
      </c>
      <c r="T41" s="24">
        <f>IF(T40&gt;0,ROUND(T40+S41-R41,2),0)</f>
        <v>0</v>
      </c>
      <c r="U41" s="24">
        <f>IF(W40&gt;0,MIN(ROUND(U$6+IF(U$5=$C41,$E$5+$E41,0),2),ROUND(W40+V41,2)),0)</f>
        <v>0</v>
      </c>
      <c r="V41" s="24">
        <f>IF(W40&gt;0,ROUND(ROUND(W40*100,0)*ROUND(U$7*10000,0)/12000000,0)/100,0)</f>
        <v>0</v>
      </c>
      <c r="W41" s="24">
        <f>IF(W40&gt;0,ROUND(W40+V41-U41,2),0)</f>
        <v>0</v>
      </c>
      <c r="X41" s="24">
        <f>IF(Z40&gt;0,MIN(ROUND(X$6+IF(X$5=$C41,$E$5+$E41,0),2),ROUND(Z40+Y41,2)),0)</f>
        <v>0</v>
      </c>
      <c r="Y41" s="24">
        <f>IF(Z40&gt;0,ROUND(ROUND(Z40*100,0)*ROUND(X$7*10000,0)/12000000,0)/100,0)</f>
        <v>0</v>
      </c>
      <c r="Z41" s="24">
        <f>IF(Z40&gt;0,ROUND(Z40+Y41-X41,2),0)</f>
        <v>0</v>
      </c>
      <c r="AA41" s="24">
        <f>IF(AC40&gt;0,MIN(ROUND(AA$6+IF(AA$5=$C41,$E$5+$E41,0),2),ROUND(AC40+AB41,2)),0)</f>
        <v>0</v>
      </c>
      <c r="AB41" s="24">
        <f>IF(AC40&gt;0,ROUND(ROUND(AC40*100,0)*ROUND(AA$7*10000,0)/12000000,0)/100,0)</f>
        <v>0</v>
      </c>
      <c r="AC41" s="24">
        <f>IF(AC40&gt;0,ROUND(AC40+AB41-AA41,2),0)</f>
        <v>0</v>
      </c>
      <c r="AD41" s="24">
        <f>IF(AF40&gt;0,MIN(ROUND(AD$6+IF(AD$5=$C41,$E$5+$E41,0),2),ROUND(AF40+AE41,2)),0)</f>
        <v>0</v>
      </c>
      <c r="AE41" s="24">
        <f>IF(AF40&gt;0,ROUND(ROUND(AF40*100,0)*ROUND(AD$7*10000,0)/12000000,0)/100,0)</f>
        <v>0</v>
      </c>
      <c r="AF41" s="24">
        <f>IF(AF40&gt;0,ROUND(AF40+AE41-AD41,2),0)</f>
        <v>0</v>
      </c>
      <c r="AG41" s="24">
        <f>IF(AI40&gt;0,MIN(ROUND(AG$6+IF(AG$5=$C41,$E$5+$E41,0),2),ROUND(AI40+AH41,2)),0)</f>
        <v>0</v>
      </c>
      <c r="AH41" s="24">
        <f>IF(AI40&gt;0,ROUND(ROUND(AI40*100,0)*ROUND(AG$7*10000,0)/12000000,0)/100,0)</f>
        <v>0</v>
      </c>
      <c r="AI41" s="24">
        <f>IF(AI40&gt;0,ROUND(AI40+AH41-AG41,2),0)</f>
        <v>0</v>
      </c>
      <c r="AJ41" s="24">
        <f>IF(AL40&gt;0,MIN(ROUND(AJ$6+IF(AJ$5=$C41,$E$5+$E41,0),2),ROUND(AL40+AK41,2)),0)</f>
        <v>0</v>
      </c>
      <c r="AK41" s="24">
        <f>IF(AL40&gt;0,ROUND(ROUND(AL40*100,0)*ROUND(AJ$7*10000,0)/12000000,0)/100,0)</f>
        <v>0</v>
      </c>
      <c r="AL41" s="24">
        <f>IF(AL40&gt;0,ROUND(AL40+AK41-AJ41,2),0)</f>
        <v>0</v>
      </c>
    </row>
    <row r="42" spans="1:38" x14ac:dyDescent="0.25">
      <c r="A42" s="17" t="str">
        <f>IF(F42&gt;0,32,"")</f>
        <v/>
      </c>
      <c r="B42" s="18" t="str">
        <f>IF(F42&gt;0,EDATE($E$6,32),"")</f>
        <v/>
      </c>
      <c r="C42" s="21">
        <f>IF(H41&gt;0,MIN(IF(K41&gt;0,I$5,99),IF(N41&gt;0,L$5,99),IF(Q41&gt;0,O$5,99),IF(T41&gt;0,R$5,99),IF(W41&gt;0,U$5,99),IF(Z41&gt;0,X$5,99),IF(AC41&gt;0,AA$5,99),IF(AF41&gt;0,AD$5,99),IF(AI41&gt;0,AG$5,99),IF(AL41&gt;0,AJ$5,99)),0)</f>
        <v>0</v>
      </c>
      <c r="D42" t="str">
        <f>IF(C42&gt;0,INDEX($I$4:$AL$4,1,MATCH(C42,$I$5:$AL$5,0)),"")</f>
        <v/>
      </c>
      <c r="E42" s="24">
        <f>ROUND(IF(AND(I$8&gt;0,K41=0),I$6,0)+IF(AND(L$8&gt;0,N41=0),L$6,0)+IF(AND(O$8&gt;0,Q41=0),O$6,0)+IF(AND(R$8&gt;0,T41=0),R$6,0)+IF(AND(U$8&gt;0,W41=0),U$6,0)+IF(AND(X$8&gt;0,Z41=0),X$6,0)+IF(AND(AA$8&gt;0,AC41=0),AA$6,0)+IF(AND(AD$8&gt;0,AF41=0),AD$6,0)+IF(AND(AG$8&gt;0,AI41=0),AG$6,0)+IF(AND(AJ$8&gt;0,AL41=0),AJ$6,0),2)</f>
        <v>330</v>
      </c>
      <c r="F42" s="24">
        <f>ROUND(I42+L42+O42+R42+U42+X42+AA42+AD42+AG42+AJ42,2)</f>
        <v>0</v>
      </c>
      <c r="G42" s="24">
        <f>ROUND(J42+M42+P42+S42+V42+Y42+AB42+AE42+AH42+AK42,2)</f>
        <v>0</v>
      </c>
      <c r="H42" s="24">
        <f>ROUND(K42+N42+Q42+T42+W42+Z42+AC42+AF42+AI42+AL42,2)</f>
        <v>0</v>
      </c>
      <c r="I42" s="24">
        <f>IF(K41&gt;0,MIN(ROUND(I$6+IF(I$5=$C42,$E$5+$E42,0),2),ROUND(K41+J42,2)),0)</f>
        <v>0</v>
      </c>
      <c r="J42" s="24">
        <f>IF(K41&gt;0,ROUND(ROUND(K41*100,0)*ROUND(I$7*10000,0)/12000000,0)/100,0)</f>
        <v>0</v>
      </c>
      <c r="K42" s="24">
        <f>IF(K41&gt;0,ROUND(K41+J42-I42,2),0)</f>
        <v>0</v>
      </c>
      <c r="L42" s="24">
        <f>IF(N41&gt;0,MIN(ROUND(L$6+IF(L$5=$C42,$E$5+$E42,0),2),ROUND(N41+M42,2)),0)</f>
        <v>0</v>
      </c>
      <c r="M42" s="24">
        <f>IF(N41&gt;0,ROUND(ROUND(N41*100,0)*ROUND(L$7*10000,0)/12000000,0)/100,0)</f>
        <v>0</v>
      </c>
      <c r="N42" s="24">
        <f>IF(N41&gt;0,ROUND(N41+M42-L42,2),0)</f>
        <v>0</v>
      </c>
      <c r="O42" s="24">
        <f>IF(Q41&gt;0,MIN(ROUND(O$6+IF(O$5=$C42,$E$5+$E42,0),2),ROUND(Q41+P42,2)),0)</f>
        <v>0</v>
      </c>
      <c r="P42" s="24">
        <f>IF(Q41&gt;0,ROUND(ROUND(Q41*100,0)*ROUND(O$7*10000,0)/12000000,0)/100,0)</f>
        <v>0</v>
      </c>
      <c r="Q42" s="24">
        <f>IF(Q41&gt;0,ROUND(Q41+P42-O42,2),0)</f>
        <v>0</v>
      </c>
      <c r="R42" s="24">
        <f>IF(T41&gt;0,MIN(ROUND(R$6+IF(R$5=$C42,$E$5+$E42,0),2),ROUND(T41+S42,2)),0)</f>
        <v>0</v>
      </c>
      <c r="S42" s="24">
        <f>IF(T41&gt;0,ROUND(ROUND(T41*100,0)*ROUND(R$7*10000,0)/12000000,0)/100,0)</f>
        <v>0</v>
      </c>
      <c r="T42" s="24">
        <f>IF(T41&gt;0,ROUND(T41+S42-R42,2),0)</f>
        <v>0</v>
      </c>
      <c r="U42" s="24">
        <f>IF(W41&gt;0,MIN(ROUND(U$6+IF(U$5=$C42,$E$5+$E42,0),2),ROUND(W41+V42,2)),0)</f>
        <v>0</v>
      </c>
      <c r="V42" s="24">
        <f>IF(W41&gt;0,ROUND(ROUND(W41*100,0)*ROUND(U$7*10000,0)/12000000,0)/100,0)</f>
        <v>0</v>
      </c>
      <c r="W42" s="24">
        <f>IF(W41&gt;0,ROUND(W41+V42-U42,2),0)</f>
        <v>0</v>
      </c>
      <c r="X42" s="24">
        <f>IF(Z41&gt;0,MIN(ROUND(X$6+IF(X$5=$C42,$E$5+$E42,0),2),ROUND(Z41+Y42,2)),0)</f>
        <v>0</v>
      </c>
      <c r="Y42" s="24">
        <f>IF(Z41&gt;0,ROUND(ROUND(Z41*100,0)*ROUND(X$7*10000,0)/12000000,0)/100,0)</f>
        <v>0</v>
      </c>
      <c r="Z42" s="24">
        <f>IF(Z41&gt;0,ROUND(Z41+Y42-X42,2),0)</f>
        <v>0</v>
      </c>
      <c r="AA42" s="24">
        <f>IF(AC41&gt;0,MIN(ROUND(AA$6+IF(AA$5=$C42,$E$5+$E42,0),2),ROUND(AC41+AB42,2)),0)</f>
        <v>0</v>
      </c>
      <c r="AB42" s="24">
        <f>IF(AC41&gt;0,ROUND(ROUND(AC41*100,0)*ROUND(AA$7*10000,0)/12000000,0)/100,0)</f>
        <v>0</v>
      </c>
      <c r="AC42" s="24">
        <f>IF(AC41&gt;0,ROUND(AC41+AB42-AA42,2),0)</f>
        <v>0</v>
      </c>
      <c r="AD42" s="24">
        <f>IF(AF41&gt;0,MIN(ROUND(AD$6+IF(AD$5=$C42,$E$5+$E42,0),2),ROUND(AF41+AE42,2)),0)</f>
        <v>0</v>
      </c>
      <c r="AE42" s="24">
        <f>IF(AF41&gt;0,ROUND(ROUND(AF41*100,0)*ROUND(AD$7*10000,0)/12000000,0)/100,0)</f>
        <v>0</v>
      </c>
      <c r="AF42" s="24">
        <f>IF(AF41&gt;0,ROUND(AF41+AE42-AD42,2),0)</f>
        <v>0</v>
      </c>
      <c r="AG42" s="24">
        <f>IF(AI41&gt;0,MIN(ROUND(AG$6+IF(AG$5=$C42,$E$5+$E42,0),2),ROUND(AI41+AH42,2)),0)</f>
        <v>0</v>
      </c>
      <c r="AH42" s="24">
        <f>IF(AI41&gt;0,ROUND(ROUND(AI41*100,0)*ROUND(AG$7*10000,0)/12000000,0)/100,0)</f>
        <v>0</v>
      </c>
      <c r="AI42" s="24">
        <f>IF(AI41&gt;0,ROUND(AI41+AH42-AG42,2),0)</f>
        <v>0</v>
      </c>
      <c r="AJ42" s="24">
        <f>IF(AL41&gt;0,MIN(ROUND(AJ$6+IF(AJ$5=$C42,$E$5+$E42,0),2),ROUND(AL41+AK42,2)),0)</f>
        <v>0</v>
      </c>
      <c r="AK42" s="24">
        <f>IF(AL41&gt;0,ROUND(ROUND(AL41*100,0)*ROUND(AJ$7*10000,0)/12000000,0)/100,0)</f>
        <v>0</v>
      </c>
      <c r="AL42" s="24">
        <f>IF(AL41&gt;0,ROUND(AL41+AK42-AJ42,2),0)</f>
        <v>0</v>
      </c>
    </row>
    <row r="43" spans="1:38" x14ac:dyDescent="0.25">
      <c r="A43" s="17" t="str">
        <f>IF(F43&gt;0,33,"")</f>
        <v/>
      </c>
      <c r="B43" s="18" t="str">
        <f>IF(F43&gt;0,EDATE($E$6,33),"")</f>
        <v/>
      </c>
      <c r="C43" s="21">
        <f>IF(H42&gt;0,MIN(IF(K42&gt;0,I$5,99),IF(N42&gt;0,L$5,99),IF(Q42&gt;0,O$5,99),IF(T42&gt;0,R$5,99),IF(W42&gt;0,U$5,99),IF(Z42&gt;0,X$5,99),IF(AC42&gt;0,AA$5,99),IF(AF42&gt;0,AD$5,99),IF(AI42&gt;0,AG$5,99),IF(AL42&gt;0,AJ$5,99)),0)</f>
        <v>0</v>
      </c>
      <c r="D43" t="str">
        <f>IF(C43&gt;0,INDEX($I$4:$AL$4,1,MATCH(C43,$I$5:$AL$5,0)),"")</f>
        <v/>
      </c>
      <c r="E43" s="24">
        <f>ROUND(IF(AND(I$8&gt;0,K42=0),I$6,0)+IF(AND(L$8&gt;0,N42=0),L$6,0)+IF(AND(O$8&gt;0,Q42=0),O$6,0)+IF(AND(R$8&gt;0,T42=0),R$6,0)+IF(AND(U$8&gt;0,W42=0),U$6,0)+IF(AND(X$8&gt;0,Z42=0),X$6,0)+IF(AND(AA$8&gt;0,AC42=0),AA$6,0)+IF(AND(AD$8&gt;0,AF42=0),AD$6,0)+IF(AND(AG$8&gt;0,AI42=0),AG$6,0)+IF(AND(AJ$8&gt;0,AL42=0),AJ$6,0),2)</f>
        <v>330</v>
      </c>
      <c r="F43" s="24">
        <f>ROUND(I43+L43+O43+R43+U43+X43+AA43+AD43+AG43+AJ43,2)</f>
        <v>0</v>
      </c>
      <c r="G43" s="24">
        <f>ROUND(J43+M43+P43+S43+V43+Y43+AB43+AE43+AH43+AK43,2)</f>
        <v>0</v>
      </c>
      <c r="H43" s="24">
        <f>ROUND(K43+N43+Q43+T43+W43+Z43+AC43+AF43+AI43+AL43,2)</f>
        <v>0</v>
      </c>
      <c r="I43" s="24">
        <f>IF(K42&gt;0,MIN(ROUND(I$6+IF(I$5=$C43,$E$5+$E43,0),2),ROUND(K42+J43,2)),0)</f>
        <v>0</v>
      </c>
      <c r="J43" s="24">
        <f>IF(K42&gt;0,ROUND(ROUND(K42*100,0)*ROUND(I$7*10000,0)/12000000,0)/100,0)</f>
        <v>0</v>
      </c>
      <c r="K43" s="24">
        <f>IF(K42&gt;0,ROUND(K42+J43-I43,2),0)</f>
        <v>0</v>
      </c>
      <c r="L43" s="24">
        <f>IF(N42&gt;0,MIN(ROUND(L$6+IF(L$5=$C43,$E$5+$E43,0),2),ROUND(N42+M43,2)),0)</f>
        <v>0</v>
      </c>
      <c r="M43" s="24">
        <f>IF(N42&gt;0,ROUND(ROUND(N42*100,0)*ROUND(L$7*10000,0)/12000000,0)/100,0)</f>
        <v>0</v>
      </c>
      <c r="N43" s="24">
        <f>IF(N42&gt;0,ROUND(N42+M43-L43,2),0)</f>
        <v>0</v>
      </c>
      <c r="O43" s="24">
        <f>IF(Q42&gt;0,MIN(ROUND(O$6+IF(O$5=$C43,$E$5+$E43,0),2),ROUND(Q42+P43,2)),0)</f>
        <v>0</v>
      </c>
      <c r="P43" s="24">
        <f>IF(Q42&gt;0,ROUND(ROUND(Q42*100,0)*ROUND(O$7*10000,0)/12000000,0)/100,0)</f>
        <v>0</v>
      </c>
      <c r="Q43" s="24">
        <f>IF(Q42&gt;0,ROUND(Q42+P43-O43,2),0)</f>
        <v>0</v>
      </c>
      <c r="R43" s="24">
        <f>IF(T42&gt;0,MIN(ROUND(R$6+IF(R$5=$C43,$E$5+$E43,0),2),ROUND(T42+S43,2)),0)</f>
        <v>0</v>
      </c>
      <c r="S43" s="24">
        <f>IF(T42&gt;0,ROUND(ROUND(T42*100,0)*ROUND(R$7*10000,0)/12000000,0)/100,0)</f>
        <v>0</v>
      </c>
      <c r="T43" s="24">
        <f>IF(T42&gt;0,ROUND(T42+S43-R43,2),0)</f>
        <v>0</v>
      </c>
      <c r="U43" s="24">
        <f>IF(W42&gt;0,MIN(ROUND(U$6+IF(U$5=$C43,$E$5+$E43,0),2),ROUND(W42+V43,2)),0)</f>
        <v>0</v>
      </c>
      <c r="V43" s="24">
        <f>IF(W42&gt;0,ROUND(ROUND(W42*100,0)*ROUND(U$7*10000,0)/12000000,0)/100,0)</f>
        <v>0</v>
      </c>
      <c r="W43" s="24">
        <f>IF(W42&gt;0,ROUND(W42+V43-U43,2),0)</f>
        <v>0</v>
      </c>
      <c r="X43" s="24">
        <f>IF(Z42&gt;0,MIN(ROUND(X$6+IF(X$5=$C43,$E$5+$E43,0),2),ROUND(Z42+Y43,2)),0)</f>
        <v>0</v>
      </c>
      <c r="Y43" s="24">
        <f>IF(Z42&gt;0,ROUND(ROUND(Z42*100,0)*ROUND(X$7*10000,0)/12000000,0)/100,0)</f>
        <v>0</v>
      </c>
      <c r="Z43" s="24">
        <f>IF(Z42&gt;0,ROUND(Z42+Y43-X43,2),0)</f>
        <v>0</v>
      </c>
      <c r="AA43" s="24">
        <f>IF(AC42&gt;0,MIN(ROUND(AA$6+IF(AA$5=$C43,$E$5+$E43,0),2),ROUND(AC42+AB43,2)),0)</f>
        <v>0</v>
      </c>
      <c r="AB43" s="24">
        <f>IF(AC42&gt;0,ROUND(ROUND(AC42*100,0)*ROUND(AA$7*10000,0)/12000000,0)/100,0)</f>
        <v>0</v>
      </c>
      <c r="AC43" s="24">
        <f>IF(AC42&gt;0,ROUND(AC42+AB43-AA43,2),0)</f>
        <v>0</v>
      </c>
      <c r="AD43" s="24">
        <f>IF(AF42&gt;0,MIN(ROUND(AD$6+IF(AD$5=$C43,$E$5+$E43,0),2),ROUND(AF42+AE43,2)),0)</f>
        <v>0</v>
      </c>
      <c r="AE43" s="24">
        <f>IF(AF42&gt;0,ROUND(ROUND(AF42*100,0)*ROUND(AD$7*10000,0)/12000000,0)/100,0)</f>
        <v>0</v>
      </c>
      <c r="AF43" s="24">
        <f>IF(AF42&gt;0,ROUND(AF42+AE43-AD43,2),0)</f>
        <v>0</v>
      </c>
      <c r="AG43" s="24">
        <f>IF(AI42&gt;0,MIN(ROUND(AG$6+IF(AG$5=$C43,$E$5+$E43,0),2),ROUND(AI42+AH43,2)),0)</f>
        <v>0</v>
      </c>
      <c r="AH43" s="24">
        <f>IF(AI42&gt;0,ROUND(ROUND(AI42*100,0)*ROUND(AG$7*10000,0)/12000000,0)/100,0)</f>
        <v>0</v>
      </c>
      <c r="AI43" s="24">
        <f>IF(AI42&gt;0,ROUND(AI42+AH43-AG43,2),0)</f>
        <v>0</v>
      </c>
      <c r="AJ43" s="24">
        <f>IF(AL42&gt;0,MIN(ROUND(AJ$6+IF(AJ$5=$C43,$E$5+$E43,0),2),ROUND(AL42+AK43,2)),0)</f>
        <v>0</v>
      </c>
      <c r="AK43" s="24">
        <f>IF(AL42&gt;0,ROUND(ROUND(AL42*100,0)*ROUND(AJ$7*10000,0)/12000000,0)/100,0)</f>
        <v>0</v>
      </c>
      <c r="AL43" s="24">
        <f>IF(AL42&gt;0,ROUND(AL42+AK43-AJ43,2),0)</f>
        <v>0</v>
      </c>
    </row>
    <row r="44" spans="1:38" x14ac:dyDescent="0.25">
      <c r="A44" s="17" t="str">
        <f>IF(F44&gt;0,34,"")</f>
        <v/>
      </c>
      <c r="B44" s="18" t="str">
        <f>IF(F44&gt;0,EDATE($E$6,34),"")</f>
        <v/>
      </c>
      <c r="C44" s="21">
        <f>IF(H43&gt;0,MIN(IF(K43&gt;0,I$5,99),IF(N43&gt;0,L$5,99),IF(Q43&gt;0,O$5,99),IF(T43&gt;0,R$5,99),IF(W43&gt;0,U$5,99),IF(Z43&gt;0,X$5,99),IF(AC43&gt;0,AA$5,99),IF(AF43&gt;0,AD$5,99),IF(AI43&gt;0,AG$5,99),IF(AL43&gt;0,AJ$5,99)),0)</f>
        <v>0</v>
      </c>
      <c r="D44" t="str">
        <f>IF(C44&gt;0,INDEX($I$4:$AL$4,1,MATCH(C44,$I$5:$AL$5,0)),"")</f>
        <v/>
      </c>
      <c r="E44" s="24">
        <f>ROUND(IF(AND(I$8&gt;0,K43=0),I$6,0)+IF(AND(L$8&gt;0,N43=0),L$6,0)+IF(AND(O$8&gt;0,Q43=0),O$6,0)+IF(AND(R$8&gt;0,T43=0),R$6,0)+IF(AND(U$8&gt;0,W43=0),U$6,0)+IF(AND(X$8&gt;0,Z43=0),X$6,0)+IF(AND(AA$8&gt;0,AC43=0),AA$6,0)+IF(AND(AD$8&gt;0,AF43=0),AD$6,0)+IF(AND(AG$8&gt;0,AI43=0),AG$6,0)+IF(AND(AJ$8&gt;0,AL43=0),AJ$6,0),2)</f>
        <v>330</v>
      </c>
      <c r="F44" s="24">
        <f>ROUND(I44+L44+O44+R44+U44+X44+AA44+AD44+AG44+AJ44,2)</f>
        <v>0</v>
      </c>
      <c r="G44" s="24">
        <f>ROUND(J44+M44+P44+S44+V44+Y44+AB44+AE44+AH44+AK44,2)</f>
        <v>0</v>
      </c>
      <c r="H44" s="24">
        <f>ROUND(K44+N44+Q44+T44+W44+Z44+AC44+AF44+AI44+AL44,2)</f>
        <v>0</v>
      </c>
      <c r="I44" s="24">
        <f>IF(K43&gt;0,MIN(ROUND(I$6+IF(I$5=$C44,$E$5+$E44,0),2),ROUND(K43+J44,2)),0)</f>
        <v>0</v>
      </c>
      <c r="J44" s="24">
        <f>IF(K43&gt;0,ROUND(ROUND(K43*100,0)*ROUND(I$7*10000,0)/12000000,0)/100,0)</f>
        <v>0</v>
      </c>
      <c r="K44" s="24">
        <f>IF(K43&gt;0,ROUND(K43+J44-I44,2),0)</f>
        <v>0</v>
      </c>
      <c r="L44" s="24">
        <f>IF(N43&gt;0,MIN(ROUND(L$6+IF(L$5=$C44,$E$5+$E44,0),2),ROUND(N43+M44,2)),0)</f>
        <v>0</v>
      </c>
      <c r="M44" s="24">
        <f>IF(N43&gt;0,ROUND(ROUND(N43*100,0)*ROUND(L$7*10000,0)/12000000,0)/100,0)</f>
        <v>0</v>
      </c>
      <c r="N44" s="24">
        <f>IF(N43&gt;0,ROUND(N43+M44-L44,2),0)</f>
        <v>0</v>
      </c>
      <c r="O44" s="24">
        <f>IF(Q43&gt;0,MIN(ROUND(O$6+IF(O$5=$C44,$E$5+$E44,0),2),ROUND(Q43+P44,2)),0)</f>
        <v>0</v>
      </c>
      <c r="P44" s="24">
        <f>IF(Q43&gt;0,ROUND(ROUND(Q43*100,0)*ROUND(O$7*10000,0)/12000000,0)/100,0)</f>
        <v>0</v>
      </c>
      <c r="Q44" s="24">
        <f>IF(Q43&gt;0,ROUND(Q43+P44-O44,2),0)</f>
        <v>0</v>
      </c>
      <c r="R44" s="24">
        <f>IF(T43&gt;0,MIN(ROUND(R$6+IF(R$5=$C44,$E$5+$E44,0),2),ROUND(T43+S44,2)),0)</f>
        <v>0</v>
      </c>
      <c r="S44" s="24">
        <f>IF(T43&gt;0,ROUND(ROUND(T43*100,0)*ROUND(R$7*10000,0)/12000000,0)/100,0)</f>
        <v>0</v>
      </c>
      <c r="T44" s="24">
        <f>IF(T43&gt;0,ROUND(T43+S44-R44,2),0)</f>
        <v>0</v>
      </c>
      <c r="U44" s="24">
        <f>IF(W43&gt;0,MIN(ROUND(U$6+IF(U$5=$C44,$E$5+$E44,0),2),ROUND(W43+V44,2)),0)</f>
        <v>0</v>
      </c>
      <c r="V44" s="24">
        <f>IF(W43&gt;0,ROUND(ROUND(W43*100,0)*ROUND(U$7*10000,0)/12000000,0)/100,0)</f>
        <v>0</v>
      </c>
      <c r="W44" s="24">
        <f>IF(W43&gt;0,ROUND(W43+V44-U44,2),0)</f>
        <v>0</v>
      </c>
      <c r="X44" s="24">
        <f>IF(Z43&gt;0,MIN(ROUND(X$6+IF(X$5=$C44,$E$5+$E44,0),2),ROUND(Z43+Y44,2)),0)</f>
        <v>0</v>
      </c>
      <c r="Y44" s="24">
        <f>IF(Z43&gt;0,ROUND(ROUND(Z43*100,0)*ROUND(X$7*10000,0)/12000000,0)/100,0)</f>
        <v>0</v>
      </c>
      <c r="Z44" s="24">
        <f>IF(Z43&gt;0,ROUND(Z43+Y44-X44,2),0)</f>
        <v>0</v>
      </c>
      <c r="AA44" s="24">
        <f>IF(AC43&gt;0,MIN(ROUND(AA$6+IF(AA$5=$C44,$E$5+$E44,0),2),ROUND(AC43+AB44,2)),0)</f>
        <v>0</v>
      </c>
      <c r="AB44" s="24">
        <f>IF(AC43&gt;0,ROUND(ROUND(AC43*100,0)*ROUND(AA$7*10000,0)/12000000,0)/100,0)</f>
        <v>0</v>
      </c>
      <c r="AC44" s="24">
        <f>IF(AC43&gt;0,ROUND(AC43+AB44-AA44,2),0)</f>
        <v>0</v>
      </c>
      <c r="AD44" s="24">
        <f>IF(AF43&gt;0,MIN(ROUND(AD$6+IF(AD$5=$C44,$E$5+$E44,0),2),ROUND(AF43+AE44,2)),0)</f>
        <v>0</v>
      </c>
      <c r="AE44" s="24">
        <f>IF(AF43&gt;0,ROUND(ROUND(AF43*100,0)*ROUND(AD$7*10000,0)/12000000,0)/100,0)</f>
        <v>0</v>
      </c>
      <c r="AF44" s="24">
        <f>IF(AF43&gt;0,ROUND(AF43+AE44-AD44,2),0)</f>
        <v>0</v>
      </c>
      <c r="AG44" s="24">
        <f>IF(AI43&gt;0,MIN(ROUND(AG$6+IF(AG$5=$C44,$E$5+$E44,0),2),ROUND(AI43+AH44,2)),0)</f>
        <v>0</v>
      </c>
      <c r="AH44" s="24">
        <f>IF(AI43&gt;0,ROUND(ROUND(AI43*100,0)*ROUND(AG$7*10000,0)/12000000,0)/100,0)</f>
        <v>0</v>
      </c>
      <c r="AI44" s="24">
        <f>IF(AI43&gt;0,ROUND(AI43+AH44-AG44,2),0)</f>
        <v>0</v>
      </c>
      <c r="AJ44" s="24">
        <f>IF(AL43&gt;0,MIN(ROUND(AJ$6+IF(AJ$5=$C44,$E$5+$E44,0),2),ROUND(AL43+AK44,2)),0)</f>
        <v>0</v>
      </c>
      <c r="AK44" s="24">
        <f>IF(AL43&gt;0,ROUND(ROUND(AL43*100,0)*ROUND(AJ$7*10000,0)/12000000,0)/100,0)</f>
        <v>0</v>
      </c>
      <c r="AL44" s="24">
        <f>IF(AL43&gt;0,ROUND(AL43+AK44-AJ44,2),0)</f>
        <v>0</v>
      </c>
    </row>
    <row r="45" spans="1:38" x14ac:dyDescent="0.25">
      <c r="A45" s="17" t="str">
        <f>IF(F45&gt;0,35,"")</f>
        <v/>
      </c>
      <c r="B45" s="18" t="str">
        <f>IF(F45&gt;0,EDATE($E$6,35),"")</f>
        <v/>
      </c>
      <c r="C45" s="21">
        <f>IF(H44&gt;0,MIN(IF(K44&gt;0,I$5,99),IF(N44&gt;0,L$5,99),IF(Q44&gt;0,O$5,99),IF(T44&gt;0,R$5,99),IF(W44&gt;0,U$5,99),IF(Z44&gt;0,X$5,99),IF(AC44&gt;0,AA$5,99),IF(AF44&gt;0,AD$5,99),IF(AI44&gt;0,AG$5,99),IF(AL44&gt;0,AJ$5,99)),0)</f>
        <v>0</v>
      </c>
      <c r="D45" t="str">
        <f>IF(C45&gt;0,INDEX($I$4:$AL$4,1,MATCH(C45,$I$5:$AL$5,0)),"")</f>
        <v/>
      </c>
      <c r="E45" s="24">
        <f>ROUND(IF(AND(I$8&gt;0,K44=0),I$6,0)+IF(AND(L$8&gt;0,N44=0),L$6,0)+IF(AND(O$8&gt;0,Q44=0),O$6,0)+IF(AND(R$8&gt;0,T44=0),R$6,0)+IF(AND(U$8&gt;0,W44=0),U$6,0)+IF(AND(X$8&gt;0,Z44=0),X$6,0)+IF(AND(AA$8&gt;0,AC44=0),AA$6,0)+IF(AND(AD$8&gt;0,AF44=0),AD$6,0)+IF(AND(AG$8&gt;0,AI44=0),AG$6,0)+IF(AND(AJ$8&gt;0,AL44=0),AJ$6,0),2)</f>
        <v>330</v>
      </c>
      <c r="F45" s="24">
        <f>ROUND(I45+L45+O45+R45+U45+X45+AA45+AD45+AG45+AJ45,2)</f>
        <v>0</v>
      </c>
      <c r="G45" s="24">
        <f>ROUND(J45+M45+P45+S45+V45+Y45+AB45+AE45+AH45+AK45,2)</f>
        <v>0</v>
      </c>
      <c r="H45" s="24">
        <f>ROUND(K45+N45+Q45+T45+W45+Z45+AC45+AF45+AI45+AL45,2)</f>
        <v>0</v>
      </c>
      <c r="I45" s="24">
        <f>IF(K44&gt;0,MIN(ROUND(I$6+IF(I$5=$C45,$E$5+$E45,0),2),ROUND(K44+J45,2)),0)</f>
        <v>0</v>
      </c>
      <c r="J45" s="24">
        <f>IF(K44&gt;0,ROUND(ROUND(K44*100,0)*ROUND(I$7*10000,0)/12000000,0)/100,0)</f>
        <v>0</v>
      </c>
      <c r="K45" s="24">
        <f>IF(K44&gt;0,ROUND(K44+J45-I45,2),0)</f>
        <v>0</v>
      </c>
      <c r="L45" s="24">
        <f>IF(N44&gt;0,MIN(ROUND(L$6+IF(L$5=$C45,$E$5+$E45,0),2),ROUND(N44+M45,2)),0)</f>
        <v>0</v>
      </c>
      <c r="M45" s="24">
        <f>IF(N44&gt;0,ROUND(ROUND(N44*100,0)*ROUND(L$7*10000,0)/12000000,0)/100,0)</f>
        <v>0</v>
      </c>
      <c r="N45" s="24">
        <f>IF(N44&gt;0,ROUND(N44+M45-L45,2),0)</f>
        <v>0</v>
      </c>
      <c r="O45" s="24">
        <f>IF(Q44&gt;0,MIN(ROUND(O$6+IF(O$5=$C45,$E$5+$E45,0),2),ROUND(Q44+P45,2)),0)</f>
        <v>0</v>
      </c>
      <c r="P45" s="24">
        <f>IF(Q44&gt;0,ROUND(ROUND(Q44*100,0)*ROUND(O$7*10000,0)/12000000,0)/100,0)</f>
        <v>0</v>
      </c>
      <c r="Q45" s="24">
        <f>IF(Q44&gt;0,ROUND(Q44+P45-O45,2),0)</f>
        <v>0</v>
      </c>
      <c r="R45" s="24">
        <f>IF(T44&gt;0,MIN(ROUND(R$6+IF(R$5=$C45,$E$5+$E45,0),2),ROUND(T44+S45,2)),0)</f>
        <v>0</v>
      </c>
      <c r="S45" s="24">
        <f>IF(T44&gt;0,ROUND(ROUND(T44*100,0)*ROUND(R$7*10000,0)/12000000,0)/100,0)</f>
        <v>0</v>
      </c>
      <c r="T45" s="24">
        <f>IF(T44&gt;0,ROUND(T44+S45-R45,2),0)</f>
        <v>0</v>
      </c>
      <c r="U45" s="24">
        <f>IF(W44&gt;0,MIN(ROUND(U$6+IF(U$5=$C45,$E$5+$E45,0),2),ROUND(W44+V45,2)),0)</f>
        <v>0</v>
      </c>
      <c r="V45" s="24">
        <f>IF(W44&gt;0,ROUND(ROUND(W44*100,0)*ROUND(U$7*10000,0)/12000000,0)/100,0)</f>
        <v>0</v>
      </c>
      <c r="W45" s="24">
        <f>IF(W44&gt;0,ROUND(W44+V45-U45,2),0)</f>
        <v>0</v>
      </c>
      <c r="X45" s="24">
        <f>IF(Z44&gt;0,MIN(ROUND(X$6+IF(X$5=$C45,$E$5+$E45,0),2),ROUND(Z44+Y45,2)),0)</f>
        <v>0</v>
      </c>
      <c r="Y45" s="24">
        <f>IF(Z44&gt;0,ROUND(ROUND(Z44*100,0)*ROUND(X$7*10000,0)/12000000,0)/100,0)</f>
        <v>0</v>
      </c>
      <c r="Z45" s="24">
        <f>IF(Z44&gt;0,ROUND(Z44+Y45-X45,2),0)</f>
        <v>0</v>
      </c>
      <c r="AA45" s="24">
        <f>IF(AC44&gt;0,MIN(ROUND(AA$6+IF(AA$5=$C45,$E$5+$E45,0),2),ROUND(AC44+AB45,2)),0)</f>
        <v>0</v>
      </c>
      <c r="AB45" s="24">
        <f>IF(AC44&gt;0,ROUND(ROUND(AC44*100,0)*ROUND(AA$7*10000,0)/12000000,0)/100,0)</f>
        <v>0</v>
      </c>
      <c r="AC45" s="24">
        <f>IF(AC44&gt;0,ROUND(AC44+AB45-AA45,2),0)</f>
        <v>0</v>
      </c>
      <c r="AD45" s="24">
        <f>IF(AF44&gt;0,MIN(ROUND(AD$6+IF(AD$5=$C45,$E$5+$E45,0),2),ROUND(AF44+AE45,2)),0)</f>
        <v>0</v>
      </c>
      <c r="AE45" s="24">
        <f>IF(AF44&gt;0,ROUND(ROUND(AF44*100,0)*ROUND(AD$7*10000,0)/12000000,0)/100,0)</f>
        <v>0</v>
      </c>
      <c r="AF45" s="24">
        <f>IF(AF44&gt;0,ROUND(AF44+AE45-AD45,2),0)</f>
        <v>0</v>
      </c>
      <c r="AG45" s="24">
        <f>IF(AI44&gt;0,MIN(ROUND(AG$6+IF(AG$5=$C45,$E$5+$E45,0),2),ROUND(AI44+AH45,2)),0)</f>
        <v>0</v>
      </c>
      <c r="AH45" s="24">
        <f>IF(AI44&gt;0,ROUND(ROUND(AI44*100,0)*ROUND(AG$7*10000,0)/12000000,0)/100,0)</f>
        <v>0</v>
      </c>
      <c r="AI45" s="24">
        <f>IF(AI44&gt;0,ROUND(AI44+AH45-AG45,2),0)</f>
        <v>0</v>
      </c>
      <c r="AJ45" s="24">
        <f>IF(AL44&gt;0,MIN(ROUND(AJ$6+IF(AJ$5=$C45,$E$5+$E45,0),2),ROUND(AL44+AK45,2)),0)</f>
        <v>0</v>
      </c>
      <c r="AK45" s="24">
        <f>IF(AL44&gt;0,ROUND(ROUND(AL44*100,0)*ROUND(AJ$7*10000,0)/12000000,0)/100,0)</f>
        <v>0</v>
      </c>
      <c r="AL45" s="24">
        <f>IF(AL44&gt;0,ROUND(AL44+AK45-AJ45,2),0)</f>
        <v>0</v>
      </c>
    </row>
    <row r="46" spans="1:38" x14ac:dyDescent="0.25">
      <c r="A46" s="17" t="str">
        <f>IF(F46&gt;0,36,"")</f>
        <v/>
      </c>
      <c r="B46" s="18" t="str">
        <f>IF(F46&gt;0,EDATE($E$6,36),"")</f>
        <v/>
      </c>
      <c r="C46" s="21">
        <f>IF(H45&gt;0,MIN(IF(K45&gt;0,I$5,99),IF(N45&gt;0,L$5,99),IF(Q45&gt;0,O$5,99),IF(T45&gt;0,R$5,99),IF(W45&gt;0,U$5,99),IF(Z45&gt;0,X$5,99),IF(AC45&gt;0,AA$5,99),IF(AF45&gt;0,AD$5,99),IF(AI45&gt;0,AG$5,99),IF(AL45&gt;0,AJ$5,99)),0)</f>
        <v>0</v>
      </c>
      <c r="D46" t="str">
        <f>IF(C46&gt;0,INDEX($I$4:$AL$4,1,MATCH(C46,$I$5:$AL$5,0)),"")</f>
        <v/>
      </c>
      <c r="E46" s="24">
        <f>ROUND(IF(AND(I$8&gt;0,K45=0),I$6,0)+IF(AND(L$8&gt;0,N45=0),L$6,0)+IF(AND(O$8&gt;0,Q45=0),O$6,0)+IF(AND(R$8&gt;0,T45=0),R$6,0)+IF(AND(U$8&gt;0,W45=0),U$6,0)+IF(AND(X$8&gt;0,Z45=0),X$6,0)+IF(AND(AA$8&gt;0,AC45=0),AA$6,0)+IF(AND(AD$8&gt;0,AF45=0),AD$6,0)+IF(AND(AG$8&gt;0,AI45=0),AG$6,0)+IF(AND(AJ$8&gt;0,AL45=0),AJ$6,0),2)</f>
        <v>330</v>
      </c>
      <c r="F46" s="24">
        <f>ROUND(I46+L46+O46+R46+U46+X46+AA46+AD46+AG46+AJ46,2)</f>
        <v>0</v>
      </c>
      <c r="G46" s="24">
        <f>ROUND(J46+M46+P46+S46+V46+Y46+AB46+AE46+AH46+AK46,2)</f>
        <v>0</v>
      </c>
      <c r="H46" s="24">
        <f>ROUND(K46+N46+Q46+T46+W46+Z46+AC46+AF46+AI46+AL46,2)</f>
        <v>0</v>
      </c>
      <c r="I46" s="24">
        <f>IF(K45&gt;0,MIN(ROUND(I$6+IF(I$5=$C46,$E$5+$E46,0),2),ROUND(K45+J46,2)),0)</f>
        <v>0</v>
      </c>
      <c r="J46" s="24">
        <f>IF(K45&gt;0,ROUND(ROUND(K45*100,0)*ROUND(I$7*10000,0)/12000000,0)/100,0)</f>
        <v>0</v>
      </c>
      <c r="K46" s="24">
        <f>IF(K45&gt;0,ROUND(K45+J46-I46,2),0)</f>
        <v>0</v>
      </c>
      <c r="L46" s="24">
        <f>IF(N45&gt;0,MIN(ROUND(L$6+IF(L$5=$C46,$E$5+$E46,0),2),ROUND(N45+M46,2)),0)</f>
        <v>0</v>
      </c>
      <c r="M46" s="24">
        <f>IF(N45&gt;0,ROUND(ROUND(N45*100,0)*ROUND(L$7*10000,0)/12000000,0)/100,0)</f>
        <v>0</v>
      </c>
      <c r="N46" s="24">
        <f>IF(N45&gt;0,ROUND(N45+M46-L46,2),0)</f>
        <v>0</v>
      </c>
      <c r="O46" s="24">
        <f>IF(Q45&gt;0,MIN(ROUND(O$6+IF(O$5=$C46,$E$5+$E46,0),2),ROUND(Q45+P46,2)),0)</f>
        <v>0</v>
      </c>
      <c r="P46" s="24">
        <f>IF(Q45&gt;0,ROUND(ROUND(Q45*100,0)*ROUND(O$7*10000,0)/12000000,0)/100,0)</f>
        <v>0</v>
      </c>
      <c r="Q46" s="24">
        <f>IF(Q45&gt;0,ROUND(Q45+P46-O46,2),0)</f>
        <v>0</v>
      </c>
      <c r="R46" s="24">
        <f>IF(T45&gt;0,MIN(ROUND(R$6+IF(R$5=$C46,$E$5+$E46,0),2),ROUND(T45+S46,2)),0)</f>
        <v>0</v>
      </c>
      <c r="S46" s="24">
        <f>IF(T45&gt;0,ROUND(ROUND(T45*100,0)*ROUND(R$7*10000,0)/12000000,0)/100,0)</f>
        <v>0</v>
      </c>
      <c r="T46" s="24">
        <f>IF(T45&gt;0,ROUND(T45+S46-R46,2),0)</f>
        <v>0</v>
      </c>
      <c r="U46" s="24">
        <f>IF(W45&gt;0,MIN(ROUND(U$6+IF(U$5=$C46,$E$5+$E46,0),2),ROUND(W45+V46,2)),0)</f>
        <v>0</v>
      </c>
      <c r="V46" s="24">
        <f>IF(W45&gt;0,ROUND(ROUND(W45*100,0)*ROUND(U$7*10000,0)/12000000,0)/100,0)</f>
        <v>0</v>
      </c>
      <c r="W46" s="24">
        <f>IF(W45&gt;0,ROUND(W45+V46-U46,2),0)</f>
        <v>0</v>
      </c>
      <c r="X46" s="24">
        <f>IF(Z45&gt;0,MIN(ROUND(X$6+IF(X$5=$C46,$E$5+$E46,0),2),ROUND(Z45+Y46,2)),0)</f>
        <v>0</v>
      </c>
      <c r="Y46" s="24">
        <f>IF(Z45&gt;0,ROUND(ROUND(Z45*100,0)*ROUND(X$7*10000,0)/12000000,0)/100,0)</f>
        <v>0</v>
      </c>
      <c r="Z46" s="24">
        <f>IF(Z45&gt;0,ROUND(Z45+Y46-X46,2),0)</f>
        <v>0</v>
      </c>
      <c r="AA46" s="24">
        <f>IF(AC45&gt;0,MIN(ROUND(AA$6+IF(AA$5=$C46,$E$5+$E46,0),2),ROUND(AC45+AB46,2)),0)</f>
        <v>0</v>
      </c>
      <c r="AB46" s="24">
        <f>IF(AC45&gt;0,ROUND(ROUND(AC45*100,0)*ROUND(AA$7*10000,0)/12000000,0)/100,0)</f>
        <v>0</v>
      </c>
      <c r="AC46" s="24">
        <f>IF(AC45&gt;0,ROUND(AC45+AB46-AA46,2),0)</f>
        <v>0</v>
      </c>
      <c r="AD46" s="24">
        <f>IF(AF45&gt;0,MIN(ROUND(AD$6+IF(AD$5=$C46,$E$5+$E46,0),2),ROUND(AF45+AE46,2)),0)</f>
        <v>0</v>
      </c>
      <c r="AE46" s="24">
        <f>IF(AF45&gt;0,ROUND(ROUND(AF45*100,0)*ROUND(AD$7*10000,0)/12000000,0)/100,0)</f>
        <v>0</v>
      </c>
      <c r="AF46" s="24">
        <f>IF(AF45&gt;0,ROUND(AF45+AE46-AD46,2),0)</f>
        <v>0</v>
      </c>
      <c r="AG46" s="24">
        <f>IF(AI45&gt;0,MIN(ROUND(AG$6+IF(AG$5=$C46,$E$5+$E46,0),2),ROUND(AI45+AH46,2)),0)</f>
        <v>0</v>
      </c>
      <c r="AH46" s="24">
        <f>IF(AI45&gt;0,ROUND(ROUND(AI45*100,0)*ROUND(AG$7*10000,0)/12000000,0)/100,0)</f>
        <v>0</v>
      </c>
      <c r="AI46" s="24">
        <f>IF(AI45&gt;0,ROUND(AI45+AH46-AG46,2),0)</f>
        <v>0</v>
      </c>
      <c r="AJ46" s="24">
        <f>IF(AL45&gt;0,MIN(ROUND(AJ$6+IF(AJ$5=$C46,$E$5+$E46,0),2),ROUND(AL45+AK46,2)),0)</f>
        <v>0</v>
      </c>
      <c r="AK46" s="24">
        <f>IF(AL45&gt;0,ROUND(ROUND(AL45*100,0)*ROUND(AJ$7*10000,0)/12000000,0)/100,0)</f>
        <v>0</v>
      </c>
      <c r="AL46" s="24">
        <f>IF(AL45&gt;0,ROUND(AL45+AK46-AJ46,2),0)</f>
        <v>0</v>
      </c>
    </row>
    <row r="47" spans="1:38" x14ac:dyDescent="0.25">
      <c r="A47" s="17" t="str">
        <f>IF(F47&gt;0,37,"")</f>
        <v/>
      </c>
      <c r="B47" s="18" t="str">
        <f>IF(F47&gt;0,EDATE($E$6,37),"")</f>
        <v/>
      </c>
      <c r="C47" s="21">
        <f>IF(H46&gt;0,MIN(IF(K46&gt;0,I$5,99),IF(N46&gt;0,L$5,99),IF(Q46&gt;0,O$5,99),IF(T46&gt;0,R$5,99),IF(W46&gt;0,U$5,99),IF(Z46&gt;0,X$5,99),IF(AC46&gt;0,AA$5,99),IF(AF46&gt;0,AD$5,99),IF(AI46&gt;0,AG$5,99),IF(AL46&gt;0,AJ$5,99)),0)</f>
        <v>0</v>
      </c>
      <c r="D47" t="str">
        <f>IF(C47&gt;0,INDEX($I$4:$AL$4,1,MATCH(C47,$I$5:$AL$5,0)),"")</f>
        <v/>
      </c>
      <c r="E47" s="24">
        <f>ROUND(IF(AND(I$8&gt;0,K46=0),I$6,0)+IF(AND(L$8&gt;0,N46=0),L$6,0)+IF(AND(O$8&gt;0,Q46=0),O$6,0)+IF(AND(R$8&gt;0,T46=0),R$6,0)+IF(AND(U$8&gt;0,W46=0),U$6,0)+IF(AND(X$8&gt;0,Z46=0),X$6,0)+IF(AND(AA$8&gt;0,AC46=0),AA$6,0)+IF(AND(AD$8&gt;0,AF46=0),AD$6,0)+IF(AND(AG$8&gt;0,AI46=0),AG$6,0)+IF(AND(AJ$8&gt;0,AL46=0),AJ$6,0),2)</f>
        <v>330</v>
      </c>
      <c r="F47" s="24">
        <f>ROUND(I47+L47+O47+R47+U47+X47+AA47+AD47+AG47+AJ47,2)</f>
        <v>0</v>
      </c>
      <c r="G47" s="24">
        <f>ROUND(J47+M47+P47+S47+V47+Y47+AB47+AE47+AH47+AK47,2)</f>
        <v>0</v>
      </c>
      <c r="H47" s="24">
        <f>ROUND(K47+N47+Q47+T47+W47+Z47+AC47+AF47+AI47+AL47,2)</f>
        <v>0</v>
      </c>
      <c r="I47" s="24">
        <f>IF(K46&gt;0,MIN(ROUND(I$6+IF(I$5=$C47,$E$5+$E47,0),2),ROUND(K46+J47,2)),0)</f>
        <v>0</v>
      </c>
      <c r="J47" s="24">
        <f>IF(K46&gt;0,ROUND(ROUND(K46*100,0)*ROUND(I$7*10000,0)/12000000,0)/100,0)</f>
        <v>0</v>
      </c>
      <c r="K47" s="24">
        <f>IF(K46&gt;0,ROUND(K46+J47-I47,2),0)</f>
        <v>0</v>
      </c>
      <c r="L47" s="24">
        <f>IF(N46&gt;0,MIN(ROUND(L$6+IF(L$5=$C47,$E$5+$E47,0),2),ROUND(N46+M47,2)),0)</f>
        <v>0</v>
      </c>
      <c r="M47" s="24">
        <f>IF(N46&gt;0,ROUND(ROUND(N46*100,0)*ROUND(L$7*10000,0)/12000000,0)/100,0)</f>
        <v>0</v>
      </c>
      <c r="N47" s="24">
        <f>IF(N46&gt;0,ROUND(N46+M47-L47,2),0)</f>
        <v>0</v>
      </c>
      <c r="O47" s="24">
        <f>IF(Q46&gt;0,MIN(ROUND(O$6+IF(O$5=$C47,$E$5+$E47,0),2),ROUND(Q46+P47,2)),0)</f>
        <v>0</v>
      </c>
      <c r="P47" s="24">
        <f>IF(Q46&gt;0,ROUND(ROUND(Q46*100,0)*ROUND(O$7*10000,0)/12000000,0)/100,0)</f>
        <v>0</v>
      </c>
      <c r="Q47" s="24">
        <f>IF(Q46&gt;0,ROUND(Q46+P47-O47,2),0)</f>
        <v>0</v>
      </c>
      <c r="R47" s="24">
        <f>IF(T46&gt;0,MIN(ROUND(R$6+IF(R$5=$C47,$E$5+$E47,0),2),ROUND(T46+S47,2)),0)</f>
        <v>0</v>
      </c>
      <c r="S47" s="24">
        <f>IF(T46&gt;0,ROUND(ROUND(T46*100,0)*ROUND(R$7*10000,0)/12000000,0)/100,0)</f>
        <v>0</v>
      </c>
      <c r="T47" s="24">
        <f>IF(T46&gt;0,ROUND(T46+S47-R47,2),0)</f>
        <v>0</v>
      </c>
      <c r="U47" s="24">
        <f>IF(W46&gt;0,MIN(ROUND(U$6+IF(U$5=$C47,$E$5+$E47,0),2),ROUND(W46+V47,2)),0)</f>
        <v>0</v>
      </c>
      <c r="V47" s="24">
        <f>IF(W46&gt;0,ROUND(ROUND(W46*100,0)*ROUND(U$7*10000,0)/12000000,0)/100,0)</f>
        <v>0</v>
      </c>
      <c r="W47" s="24">
        <f>IF(W46&gt;0,ROUND(W46+V47-U47,2),0)</f>
        <v>0</v>
      </c>
      <c r="X47" s="24">
        <f>IF(Z46&gt;0,MIN(ROUND(X$6+IF(X$5=$C47,$E$5+$E47,0),2),ROUND(Z46+Y47,2)),0)</f>
        <v>0</v>
      </c>
      <c r="Y47" s="24">
        <f>IF(Z46&gt;0,ROUND(ROUND(Z46*100,0)*ROUND(X$7*10000,0)/12000000,0)/100,0)</f>
        <v>0</v>
      </c>
      <c r="Z47" s="24">
        <f>IF(Z46&gt;0,ROUND(Z46+Y47-X47,2),0)</f>
        <v>0</v>
      </c>
      <c r="AA47" s="24">
        <f>IF(AC46&gt;0,MIN(ROUND(AA$6+IF(AA$5=$C47,$E$5+$E47,0),2),ROUND(AC46+AB47,2)),0)</f>
        <v>0</v>
      </c>
      <c r="AB47" s="24">
        <f>IF(AC46&gt;0,ROUND(ROUND(AC46*100,0)*ROUND(AA$7*10000,0)/12000000,0)/100,0)</f>
        <v>0</v>
      </c>
      <c r="AC47" s="24">
        <f>IF(AC46&gt;0,ROUND(AC46+AB47-AA47,2),0)</f>
        <v>0</v>
      </c>
      <c r="AD47" s="24">
        <f>IF(AF46&gt;0,MIN(ROUND(AD$6+IF(AD$5=$C47,$E$5+$E47,0),2),ROUND(AF46+AE47,2)),0)</f>
        <v>0</v>
      </c>
      <c r="AE47" s="24">
        <f>IF(AF46&gt;0,ROUND(ROUND(AF46*100,0)*ROUND(AD$7*10000,0)/12000000,0)/100,0)</f>
        <v>0</v>
      </c>
      <c r="AF47" s="24">
        <f>IF(AF46&gt;0,ROUND(AF46+AE47-AD47,2),0)</f>
        <v>0</v>
      </c>
      <c r="AG47" s="24">
        <f>IF(AI46&gt;0,MIN(ROUND(AG$6+IF(AG$5=$C47,$E$5+$E47,0),2),ROUND(AI46+AH47,2)),0)</f>
        <v>0</v>
      </c>
      <c r="AH47" s="24">
        <f>IF(AI46&gt;0,ROUND(ROUND(AI46*100,0)*ROUND(AG$7*10000,0)/12000000,0)/100,0)</f>
        <v>0</v>
      </c>
      <c r="AI47" s="24">
        <f>IF(AI46&gt;0,ROUND(AI46+AH47-AG47,2),0)</f>
        <v>0</v>
      </c>
      <c r="AJ47" s="24">
        <f>IF(AL46&gt;0,MIN(ROUND(AJ$6+IF(AJ$5=$C47,$E$5+$E47,0),2),ROUND(AL46+AK47,2)),0)</f>
        <v>0</v>
      </c>
      <c r="AK47" s="24">
        <f>IF(AL46&gt;0,ROUND(ROUND(AL46*100,0)*ROUND(AJ$7*10000,0)/12000000,0)/100,0)</f>
        <v>0</v>
      </c>
      <c r="AL47" s="24">
        <f>IF(AL46&gt;0,ROUND(AL46+AK47-AJ47,2),0)</f>
        <v>0</v>
      </c>
    </row>
    <row r="48" spans="1:38" x14ac:dyDescent="0.25">
      <c r="A48" s="17" t="str">
        <f>IF(F48&gt;0,38,"")</f>
        <v/>
      </c>
      <c r="B48" s="18" t="str">
        <f>IF(F48&gt;0,EDATE($E$6,38),"")</f>
        <v/>
      </c>
      <c r="C48" s="21">
        <f>IF(H47&gt;0,MIN(IF(K47&gt;0,I$5,99),IF(N47&gt;0,L$5,99),IF(Q47&gt;0,O$5,99),IF(T47&gt;0,R$5,99),IF(W47&gt;0,U$5,99),IF(Z47&gt;0,X$5,99),IF(AC47&gt;0,AA$5,99),IF(AF47&gt;0,AD$5,99),IF(AI47&gt;0,AG$5,99),IF(AL47&gt;0,AJ$5,99)),0)</f>
        <v>0</v>
      </c>
      <c r="D48" t="str">
        <f>IF(C48&gt;0,INDEX($I$4:$AL$4,1,MATCH(C48,$I$5:$AL$5,0)),"")</f>
        <v/>
      </c>
      <c r="E48" s="24">
        <f>ROUND(IF(AND(I$8&gt;0,K47=0),I$6,0)+IF(AND(L$8&gt;0,N47=0),L$6,0)+IF(AND(O$8&gt;0,Q47=0),O$6,0)+IF(AND(R$8&gt;0,T47=0),R$6,0)+IF(AND(U$8&gt;0,W47=0),U$6,0)+IF(AND(X$8&gt;0,Z47=0),X$6,0)+IF(AND(AA$8&gt;0,AC47=0),AA$6,0)+IF(AND(AD$8&gt;0,AF47=0),AD$6,0)+IF(AND(AG$8&gt;0,AI47=0),AG$6,0)+IF(AND(AJ$8&gt;0,AL47=0),AJ$6,0),2)</f>
        <v>330</v>
      </c>
      <c r="F48" s="24">
        <f>ROUND(I48+L48+O48+R48+U48+X48+AA48+AD48+AG48+AJ48,2)</f>
        <v>0</v>
      </c>
      <c r="G48" s="24">
        <f>ROUND(J48+M48+P48+S48+V48+Y48+AB48+AE48+AH48+AK48,2)</f>
        <v>0</v>
      </c>
      <c r="H48" s="24">
        <f>ROUND(K48+N48+Q48+T48+W48+Z48+AC48+AF48+AI48+AL48,2)</f>
        <v>0</v>
      </c>
      <c r="I48" s="24">
        <f>IF(K47&gt;0,MIN(ROUND(I$6+IF(I$5=$C48,$E$5+$E48,0),2),ROUND(K47+J48,2)),0)</f>
        <v>0</v>
      </c>
      <c r="J48" s="24">
        <f>IF(K47&gt;0,ROUND(ROUND(K47*100,0)*ROUND(I$7*10000,0)/12000000,0)/100,0)</f>
        <v>0</v>
      </c>
      <c r="K48" s="24">
        <f>IF(K47&gt;0,ROUND(K47+J48-I48,2),0)</f>
        <v>0</v>
      </c>
      <c r="L48" s="24">
        <f>IF(N47&gt;0,MIN(ROUND(L$6+IF(L$5=$C48,$E$5+$E48,0),2),ROUND(N47+M48,2)),0)</f>
        <v>0</v>
      </c>
      <c r="M48" s="24">
        <f>IF(N47&gt;0,ROUND(ROUND(N47*100,0)*ROUND(L$7*10000,0)/12000000,0)/100,0)</f>
        <v>0</v>
      </c>
      <c r="N48" s="24">
        <f>IF(N47&gt;0,ROUND(N47+M48-L48,2),0)</f>
        <v>0</v>
      </c>
      <c r="O48" s="24">
        <f>IF(Q47&gt;0,MIN(ROUND(O$6+IF(O$5=$C48,$E$5+$E48,0),2),ROUND(Q47+P48,2)),0)</f>
        <v>0</v>
      </c>
      <c r="P48" s="24">
        <f>IF(Q47&gt;0,ROUND(ROUND(Q47*100,0)*ROUND(O$7*10000,0)/12000000,0)/100,0)</f>
        <v>0</v>
      </c>
      <c r="Q48" s="24">
        <f>IF(Q47&gt;0,ROUND(Q47+P48-O48,2),0)</f>
        <v>0</v>
      </c>
      <c r="R48" s="24">
        <f>IF(T47&gt;0,MIN(ROUND(R$6+IF(R$5=$C48,$E$5+$E48,0),2),ROUND(T47+S48,2)),0)</f>
        <v>0</v>
      </c>
      <c r="S48" s="24">
        <f>IF(T47&gt;0,ROUND(ROUND(T47*100,0)*ROUND(R$7*10000,0)/12000000,0)/100,0)</f>
        <v>0</v>
      </c>
      <c r="T48" s="24">
        <f>IF(T47&gt;0,ROUND(T47+S48-R48,2),0)</f>
        <v>0</v>
      </c>
      <c r="U48" s="24">
        <f>IF(W47&gt;0,MIN(ROUND(U$6+IF(U$5=$C48,$E$5+$E48,0),2),ROUND(W47+V48,2)),0)</f>
        <v>0</v>
      </c>
      <c r="V48" s="24">
        <f>IF(W47&gt;0,ROUND(ROUND(W47*100,0)*ROUND(U$7*10000,0)/12000000,0)/100,0)</f>
        <v>0</v>
      </c>
      <c r="W48" s="24">
        <f>IF(W47&gt;0,ROUND(W47+V48-U48,2),0)</f>
        <v>0</v>
      </c>
      <c r="X48" s="24">
        <f>IF(Z47&gt;0,MIN(ROUND(X$6+IF(X$5=$C48,$E$5+$E48,0),2),ROUND(Z47+Y48,2)),0)</f>
        <v>0</v>
      </c>
      <c r="Y48" s="24">
        <f>IF(Z47&gt;0,ROUND(ROUND(Z47*100,0)*ROUND(X$7*10000,0)/12000000,0)/100,0)</f>
        <v>0</v>
      </c>
      <c r="Z48" s="24">
        <f>IF(Z47&gt;0,ROUND(Z47+Y48-X48,2),0)</f>
        <v>0</v>
      </c>
      <c r="AA48" s="24">
        <f>IF(AC47&gt;0,MIN(ROUND(AA$6+IF(AA$5=$C48,$E$5+$E48,0),2),ROUND(AC47+AB48,2)),0)</f>
        <v>0</v>
      </c>
      <c r="AB48" s="24">
        <f>IF(AC47&gt;0,ROUND(ROUND(AC47*100,0)*ROUND(AA$7*10000,0)/12000000,0)/100,0)</f>
        <v>0</v>
      </c>
      <c r="AC48" s="24">
        <f>IF(AC47&gt;0,ROUND(AC47+AB48-AA48,2),0)</f>
        <v>0</v>
      </c>
      <c r="AD48" s="24">
        <f>IF(AF47&gt;0,MIN(ROUND(AD$6+IF(AD$5=$C48,$E$5+$E48,0),2),ROUND(AF47+AE48,2)),0)</f>
        <v>0</v>
      </c>
      <c r="AE48" s="24">
        <f>IF(AF47&gt;0,ROUND(ROUND(AF47*100,0)*ROUND(AD$7*10000,0)/12000000,0)/100,0)</f>
        <v>0</v>
      </c>
      <c r="AF48" s="24">
        <f>IF(AF47&gt;0,ROUND(AF47+AE48-AD48,2),0)</f>
        <v>0</v>
      </c>
      <c r="AG48" s="24">
        <f>IF(AI47&gt;0,MIN(ROUND(AG$6+IF(AG$5=$C48,$E$5+$E48,0),2),ROUND(AI47+AH48,2)),0)</f>
        <v>0</v>
      </c>
      <c r="AH48" s="24">
        <f>IF(AI47&gt;0,ROUND(ROUND(AI47*100,0)*ROUND(AG$7*10000,0)/12000000,0)/100,0)</f>
        <v>0</v>
      </c>
      <c r="AI48" s="24">
        <f>IF(AI47&gt;0,ROUND(AI47+AH48-AG48,2),0)</f>
        <v>0</v>
      </c>
      <c r="AJ48" s="24">
        <f>IF(AL47&gt;0,MIN(ROUND(AJ$6+IF(AJ$5=$C48,$E$5+$E48,0),2),ROUND(AL47+AK48,2)),0)</f>
        <v>0</v>
      </c>
      <c r="AK48" s="24">
        <f>IF(AL47&gt;0,ROUND(ROUND(AL47*100,0)*ROUND(AJ$7*10000,0)/12000000,0)/100,0)</f>
        <v>0</v>
      </c>
      <c r="AL48" s="24">
        <f>IF(AL47&gt;0,ROUND(AL47+AK48-AJ48,2),0)</f>
        <v>0</v>
      </c>
    </row>
    <row r="49" spans="1:38" x14ac:dyDescent="0.25">
      <c r="A49" s="17" t="str">
        <f>IF(F49&gt;0,39,"")</f>
        <v/>
      </c>
      <c r="B49" s="18" t="str">
        <f>IF(F49&gt;0,EDATE($E$6,39),"")</f>
        <v/>
      </c>
      <c r="C49" s="21">
        <f>IF(H48&gt;0,MIN(IF(K48&gt;0,I$5,99),IF(N48&gt;0,L$5,99),IF(Q48&gt;0,O$5,99),IF(T48&gt;0,R$5,99),IF(W48&gt;0,U$5,99),IF(Z48&gt;0,X$5,99),IF(AC48&gt;0,AA$5,99),IF(AF48&gt;0,AD$5,99),IF(AI48&gt;0,AG$5,99),IF(AL48&gt;0,AJ$5,99)),0)</f>
        <v>0</v>
      </c>
      <c r="D49" t="str">
        <f>IF(C49&gt;0,INDEX($I$4:$AL$4,1,MATCH(C49,$I$5:$AL$5,0)),"")</f>
        <v/>
      </c>
      <c r="E49" s="24">
        <f>ROUND(IF(AND(I$8&gt;0,K48=0),I$6,0)+IF(AND(L$8&gt;0,N48=0),L$6,0)+IF(AND(O$8&gt;0,Q48=0),O$6,0)+IF(AND(R$8&gt;0,T48=0),R$6,0)+IF(AND(U$8&gt;0,W48=0),U$6,0)+IF(AND(X$8&gt;0,Z48=0),X$6,0)+IF(AND(AA$8&gt;0,AC48=0),AA$6,0)+IF(AND(AD$8&gt;0,AF48=0),AD$6,0)+IF(AND(AG$8&gt;0,AI48=0),AG$6,0)+IF(AND(AJ$8&gt;0,AL48=0),AJ$6,0),2)</f>
        <v>330</v>
      </c>
      <c r="F49" s="24">
        <f>ROUND(I49+L49+O49+R49+U49+X49+AA49+AD49+AG49+AJ49,2)</f>
        <v>0</v>
      </c>
      <c r="G49" s="24">
        <f>ROUND(J49+M49+P49+S49+V49+Y49+AB49+AE49+AH49+AK49,2)</f>
        <v>0</v>
      </c>
      <c r="H49" s="24">
        <f>ROUND(K49+N49+Q49+T49+W49+Z49+AC49+AF49+AI49+AL49,2)</f>
        <v>0</v>
      </c>
      <c r="I49" s="24">
        <f>IF(K48&gt;0,MIN(ROUND(I$6+IF(I$5=$C49,$E$5+$E49,0),2),ROUND(K48+J49,2)),0)</f>
        <v>0</v>
      </c>
      <c r="J49" s="24">
        <f>IF(K48&gt;0,ROUND(ROUND(K48*100,0)*ROUND(I$7*10000,0)/12000000,0)/100,0)</f>
        <v>0</v>
      </c>
      <c r="K49" s="24">
        <f>IF(K48&gt;0,ROUND(K48+J49-I49,2),0)</f>
        <v>0</v>
      </c>
      <c r="L49" s="24">
        <f>IF(N48&gt;0,MIN(ROUND(L$6+IF(L$5=$C49,$E$5+$E49,0),2),ROUND(N48+M49,2)),0)</f>
        <v>0</v>
      </c>
      <c r="M49" s="24">
        <f>IF(N48&gt;0,ROUND(ROUND(N48*100,0)*ROUND(L$7*10000,0)/12000000,0)/100,0)</f>
        <v>0</v>
      </c>
      <c r="N49" s="24">
        <f>IF(N48&gt;0,ROUND(N48+M49-L49,2),0)</f>
        <v>0</v>
      </c>
      <c r="O49" s="24">
        <f>IF(Q48&gt;0,MIN(ROUND(O$6+IF(O$5=$C49,$E$5+$E49,0),2),ROUND(Q48+P49,2)),0)</f>
        <v>0</v>
      </c>
      <c r="P49" s="24">
        <f>IF(Q48&gt;0,ROUND(ROUND(Q48*100,0)*ROUND(O$7*10000,0)/12000000,0)/100,0)</f>
        <v>0</v>
      </c>
      <c r="Q49" s="24">
        <f>IF(Q48&gt;0,ROUND(Q48+P49-O49,2),0)</f>
        <v>0</v>
      </c>
      <c r="R49" s="24">
        <f>IF(T48&gt;0,MIN(ROUND(R$6+IF(R$5=$C49,$E$5+$E49,0),2),ROUND(T48+S49,2)),0)</f>
        <v>0</v>
      </c>
      <c r="S49" s="24">
        <f>IF(T48&gt;0,ROUND(ROUND(T48*100,0)*ROUND(R$7*10000,0)/12000000,0)/100,0)</f>
        <v>0</v>
      </c>
      <c r="T49" s="24">
        <f>IF(T48&gt;0,ROUND(T48+S49-R49,2),0)</f>
        <v>0</v>
      </c>
      <c r="U49" s="24">
        <f>IF(W48&gt;0,MIN(ROUND(U$6+IF(U$5=$C49,$E$5+$E49,0),2),ROUND(W48+V49,2)),0)</f>
        <v>0</v>
      </c>
      <c r="V49" s="24">
        <f>IF(W48&gt;0,ROUND(ROUND(W48*100,0)*ROUND(U$7*10000,0)/12000000,0)/100,0)</f>
        <v>0</v>
      </c>
      <c r="W49" s="24">
        <f>IF(W48&gt;0,ROUND(W48+V49-U49,2),0)</f>
        <v>0</v>
      </c>
      <c r="X49" s="24">
        <f>IF(Z48&gt;0,MIN(ROUND(X$6+IF(X$5=$C49,$E$5+$E49,0),2),ROUND(Z48+Y49,2)),0)</f>
        <v>0</v>
      </c>
      <c r="Y49" s="24">
        <f>IF(Z48&gt;0,ROUND(ROUND(Z48*100,0)*ROUND(X$7*10000,0)/12000000,0)/100,0)</f>
        <v>0</v>
      </c>
      <c r="Z49" s="24">
        <f>IF(Z48&gt;0,ROUND(Z48+Y49-X49,2),0)</f>
        <v>0</v>
      </c>
      <c r="AA49" s="24">
        <f>IF(AC48&gt;0,MIN(ROUND(AA$6+IF(AA$5=$C49,$E$5+$E49,0),2),ROUND(AC48+AB49,2)),0)</f>
        <v>0</v>
      </c>
      <c r="AB49" s="24">
        <f>IF(AC48&gt;0,ROUND(ROUND(AC48*100,0)*ROUND(AA$7*10000,0)/12000000,0)/100,0)</f>
        <v>0</v>
      </c>
      <c r="AC49" s="24">
        <f>IF(AC48&gt;0,ROUND(AC48+AB49-AA49,2),0)</f>
        <v>0</v>
      </c>
      <c r="AD49" s="24">
        <f>IF(AF48&gt;0,MIN(ROUND(AD$6+IF(AD$5=$C49,$E$5+$E49,0),2),ROUND(AF48+AE49,2)),0)</f>
        <v>0</v>
      </c>
      <c r="AE49" s="24">
        <f>IF(AF48&gt;0,ROUND(ROUND(AF48*100,0)*ROUND(AD$7*10000,0)/12000000,0)/100,0)</f>
        <v>0</v>
      </c>
      <c r="AF49" s="24">
        <f>IF(AF48&gt;0,ROUND(AF48+AE49-AD49,2),0)</f>
        <v>0</v>
      </c>
      <c r="AG49" s="24">
        <f>IF(AI48&gt;0,MIN(ROUND(AG$6+IF(AG$5=$C49,$E$5+$E49,0),2),ROUND(AI48+AH49,2)),0)</f>
        <v>0</v>
      </c>
      <c r="AH49" s="24">
        <f>IF(AI48&gt;0,ROUND(ROUND(AI48*100,0)*ROUND(AG$7*10000,0)/12000000,0)/100,0)</f>
        <v>0</v>
      </c>
      <c r="AI49" s="24">
        <f>IF(AI48&gt;0,ROUND(AI48+AH49-AG49,2),0)</f>
        <v>0</v>
      </c>
      <c r="AJ49" s="24">
        <f>IF(AL48&gt;0,MIN(ROUND(AJ$6+IF(AJ$5=$C49,$E$5+$E49,0),2),ROUND(AL48+AK49,2)),0)</f>
        <v>0</v>
      </c>
      <c r="AK49" s="24">
        <f>IF(AL48&gt;0,ROUND(ROUND(AL48*100,0)*ROUND(AJ$7*10000,0)/12000000,0)/100,0)</f>
        <v>0</v>
      </c>
      <c r="AL49" s="24">
        <f>IF(AL48&gt;0,ROUND(AL48+AK49-AJ49,2),0)</f>
        <v>0</v>
      </c>
    </row>
    <row r="50" spans="1:38" x14ac:dyDescent="0.25">
      <c r="A50" s="17" t="str">
        <f>IF(F50&gt;0,40,"")</f>
        <v/>
      </c>
      <c r="B50" s="18" t="str">
        <f>IF(F50&gt;0,EDATE($E$6,40),"")</f>
        <v/>
      </c>
      <c r="C50" s="21">
        <f>IF(H49&gt;0,MIN(IF(K49&gt;0,I$5,99),IF(N49&gt;0,L$5,99),IF(Q49&gt;0,O$5,99),IF(T49&gt;0,R$5,99),IF(W49&gt;0,U$5,99),IF(Z49&gt;0,X$5,99),IF(AC49&gt;0,AA$5,99),IF(AF49&gt;0,AD$5,99),IF(AI49&gt;0,AG$5,99),IF(AL49&gt;0,AJ$5,99)),0)</f>
        <v>0</v>
      </c>
      <c r="D50" t="str">
        <f>IF(C50&gt;0,INDEX($I$4:$AL$4,1,MATCH(C50,$I$5:$AL$5,0)),"")</f>
        <v/>
      </c>
      <c r="E50" s="24">
        <f>ROUND(IF(AND(I$8&gt;0,K49=0),I$6,0)+IF(AND(L$8&gt;0,N49=0),L$6,0)+IF(AND(O$8&gt;0,Q49=0),O$6,0)+IF(AND(R$8&gt;0,T49=0),R$6,0)+IF(AND(U$8&gt;0,W49=0),U$6,0)+IF(AND(X$8&gt;0,Z49=0),X$6,0)+IF(AND(AA$8&gt;0,AC49=0),AA$6,0)+IF(AND(AD$8&gt;0,AF49=0),AD$6,0)+IF(AND(AG$8&gt;0,AI49=0),AG$6,0)+IF(AND(AJ$8&gt;0,AL49=0),AJ$6,0),2)</f>
        <v>330</v>
      </c>
      <c r="F50" s="24">
        <f>ROUND(I50+L50+O50+R50+U50+X50+AA50+AD50+AG50+AJ50,2)</f>
        <v>0</v>
      </c>
      <c r="G50" s="24">
        <f>ROUND(J50+M50+P50+S50+V50+Y50+AB50+AE50+AH50+AK50,2)</f>
        <v>0</v>
      </c>
      <c r="H50" s="24">
        <f>ROUND(K50+N50+Q50+T50+W50+Z50+AC50+AF50+AI50+AL50,2)</f>
        <v>0</v>
      </c>
      <c r="I50" s="24">
        <f>IF(K49&gt;0,MIN(ROUND(I$6+IF(I$5=$C50,$E$5+$E50,0),2),ROUND(K49+J50,2)),0)</f>
        <v>0</v>
      </c>
      <c r="J50" s="24">
        <f>IF(K49&gt;0,ROUND(ROUND(K49*100,0)*ROUND(I$7*10000,0)/12000000,0)/100,0)</f>
        <v>0</v>
      </c>
      <c r="K50" s="24">
        <f>IF(K49&gt;0,ROUND(K49+J50-I50,2),0)</f>
        <v>0</v>
      </c>
      <c r="L50" s="24">
        <f>IF(N49&gt;0,MIN(ROUND(L$6+IF(L$5=$C50,$E$5+$E50,0),2),ROUND(N49+M50,2)),0)</f>
        <v>0</v>
      </c>
      <c r="M50" s="24">
        <f>IF(N49&gt;0,ROUND(ROUND(N49*100,0)*ROUND(L$7*10000,0)/12000000,0)/100,0)</f>
        <v>0</v>
      </c>
      <c r="N50" s="24">
        <f>IF(N49&gt;0,ROUND(N49+M50-L50,2),0)</f>
        <v>0</v>
      </c>
      <c r="O50" s="24">
        <f>IF(Q49&gt;0,MIN(ROUND(O$6+IF(O$5=$C50,$E$5+$E50,0),2),ROUND(Q49+P50,2)),0)</f>
        <v>0</v>
      </c>
      <c r="P50" s="24">
        <f>IF(Q49&gt;0,ROUND(ROUND(Q49*100,0)*ROUND(O$7*10000,0)/12000000,0)/100,0)</f>
        <v>0</v>
      </c>
      <c r="Q50" s="24">
        <f>IF(Q49&gt;0,ROUND(Q49+P50-O50,2),0)</f>
        <v>0</v>
      </c>
      <c r="R50" s="24">
        <f>IF(T49&gt;0,MIN(ROUND(R$6+IF(R$5=$C50,$E$5+$E50,0),2),ROUND(T49+S50,2)),0)</f>
        <v>0</v>
      </c>
      <c r="S50" s="24">
        <f>IF(T49&gt;0,ROUND(ROUND(T49*100,0)*ROUND(R$7*10000,0)/12000000,0)/100,0)</f>
        <v>0</v>
      </c>
      <c r="T50" s="24">
        <f>IF(T49&gt;0,ROUND(T49+S50-R50,2),0)</f>
        <v>0</v>
      </c>
      <c r="U50" s="24">
        <f>IF(W49&gt;0,MIN(ROUND(U$6+IF(U$5=$C50,$E$5+$E50,0),2),ROUND(W49+V50,2)),0)</f>
        <v>0</v>
      </c>
      <c r="V50" s="24">
        <f>IF(W49&gt;0,ROUND(ROUND(W49*100,0)*ROUND(U$7*10000,0)/12000000,0)/100,0)</f>
        <v>0</v>
      </c>
      <c r="W50" s="24">
        <f>IF(W49&gt;0,ROUND(W49+V50-U50,2),0)</f>
        <v>0</v>
      </c>
      <c r="X50" s="24">
        <f>IF(Z49&gt;0,MIN(ROUND(X$6+IF(X$5=$C50,$E$5+$E50,0),2),ROUND(Z49+Y50,2)),0)</f>
        <v>0</v>
      </c>
      <c r="Y50" s="24">
        <f>IF(Z49&gt;0,ROUND(ROUND(Z49*100,0)*ROUND(X$7*10000,0)/12000000,0)/100,0)</f>
        <v>0</v>
      </c>
      <c r="Z50" s="24">
        <f>IF(Z49&gt;0,ROUND(Z49+Y50-X50,2),0)</f>
        <v>0</v>
      </c>
      <c r="AA50" s="24">
        <f>IF(AC49&gt;0,MIN(ROUND(AA$6+IF(AA$5=$C50,$E$5+$E50,0),2),ROUND(AC49+AB50,2)),0)</f>
        <v>0</v>
      </c>
      <c r="AB50" s="24">
        <f>IF(AC49&gt;0,ROUND(ROUND(AC49*100,0)*ROUND(AA$7*10000,0)/12000000,0)/100,0)</f>
        <v>0</v>
      </c>
      <c r="AC50" s="24">
        <f>IF(AC49&gt;0,ROUND(AC49+AB50-AA50,2),0)</f>
        <v>0</v>
      </c>
      <c r="AD50" s="24">
        <f>IF(AF49&gt;0,MIN(ROUND(AD$6+IF(AD$5=$C50,$E$5+$E50,0),2),ROUND(AF49+AE50,2)),0)</f>
        <v>0</v>
      </c>
      <c r="AE50" s="24">
        <f>IF(AF49&gt;0,ROUND(ROUND(AF49*100,0)*ROUND(AD$7*10000,0)/12000000,0)/100,0)</f>
        <v>0</v>
      </c>
      <c r="AF50" s="24">
        <f>IF(AF49&gt;0,ROUND(AF49+AE50-AD50,2),0)</f>
        <v>0</v>
      </c>
      <c r="AG50" s="24">
        <f>IF(AI49&gt;0,MIN(ROUND(AG$6+IF(AG$5=$C50,$E$5+$E50,0),2),ROUND(AI49+AH50,2)),0)</f>
        <v>0</v>
      </c>
      <c r="AH50" s="24">
        <f>IF(AI49&gt;0,ROUND(ROUND(AI49*100,0)*ROUND(AG$7*10000,0)/12000000,0)/100,0)</f>
        <v>0</v>
      </c>
      <c r="AI50" s="24">
        <f>IF(AI49&gt;0,ROUND(AI49+AH50-AG50,2),0)</f>
        <v>0</v>
      </c>
      <c r="AJ50" s="24">
        <f>IF(AL49&gt;0,MIN(ROUND(AJ$6+IF(AJ$5=$C50,$E$5+$E50,0),2),ROUND(AL49+AK50,2)),0)</f>
        <v>0</v>
      </c>
      <c r="AK50" s="24">
        <f>IF(AL49&gt;0,ROUND(ROUND(AL49*100,0)*ROUND(AJ$7*10000,0)/12000000,0)/100,0)</f>
        <v>0</v>
      </c>
      <c r="AL50" s="24">
        <f>IF(AL49&gt;0,ROUND(AL49+AK50-AJ50,2),0)</f>
        <v>0</v>
      </c>
    </row>
    <row r="51" spans="1:38" x14ac:dyDescent="0.25">
      <c r="A51" s="17" t="str">
        <f>IF(F51&gt;0,41,"")</f>
        <v/>
      </c>
      <c r="B51" s="18" t="str">
        <f>IF(F51&gt;0,EDATE($E$6,41),"")</f>
        <v/>
      </c>
      <c r="C51" s="21">
        <f>IF(H50&gt;0,MIN(IF(K50&gt;0,I$5,99),IF(N50&gt;0,L$5,99),IF(Q50&gt;0,O$5,99),IF(T50&gt;0,R$5,99),IF(W50&gt;0,U$5,99),IF(Z50&gt;0,X$5,99),IF(AC50&gt;0,AA$5,99),IF(AF50&gt;0,AD$5,99),IF(AI50&gt;0,AG$5,99),IF(AL50&gt;0,AJ$5,99)),0)</f>
        <v>0</v>
      </c>
      <c r="D51" t="str">
        <f>IF(C51&gt;0,INDEX($I$4:$AL$4,1,MATCH(C51,$I$5:$AL$5,0)),"")</f>
        <v/>
      </c>
      <c r="E51" s="24">
        <f>ROUND(IF(AND(I$8&gt;0,K50=0),I$6,0)+IF(AND(L$8&gt;0,N50=0),L$6,0)+IF(AND(O$8&gt;0,Q50=0),O$6,0)+IF(AND(R$8&gt;0,T50=0),R$6,0)+IF(AND(U$8&gt;0,W50=0),U$6,0)+IF(AND(X$8&gt;0,Z50=0),X$6,0)+IF(AND(AA$8&gt;0,AC50=0),AA$6,0)+IF(AND(AD$8&gt;0,AF50=0),AD$6,0)+IF(AND(AG$8&gt;0,AI50=0),AG$6,0)+IF(AND(AJ$8&gt;0,AL50=0),AJ$6,0),2)</f>
        <v>330</v>
      </c>
      <c r="F51" s="24">
        <f>ROUND(I51+L51+O51+R51+U51+X51+AA51+AD51+AG51+AJ51,2)</f>
        <v>0</v>
      </c>
      <c r="G51" s="24">
        <f>ROUND(J51+M51+P51+S51+V51+Y51+AB51+AE51+AH51+AK51,2)</f>
        <v>0</v>
      </c>
      <c r="H51" s="24">
        <f>ROUND(K51+N51+Q51+T51+W51+Z51+AC51+AF51+AI51+AL51,2)</f>
        <v>0</v>
      </c>
      <c r="I51" s="24">
        <f>IF(K50&gt;0,MIN(ROUND(I$6+IF(I$5=$C51,$E$5+$E51,0),2),ROUND(K50+J51,2)),0)</f>
        <v>0</v>
      </c>
      <c r="J51" s="24">
        <f>IF(K50&gt;0,ROUND(ROUND(K50*100,0)*ROUND(I$7*10000,0)/12000000,0)/100,0)</f>
        <v>0</v>
      </c>
      <c r="K51" s="24">
        <f>IF(K50&gt;0,ROUND(K50+J51-I51,2),0)</f>
        <v>0</v>
      </c>
      <c r="L51" s="24">
        <f>IF(N50&gt;0,MIN(ROUND(L$6+IF(L$5=$C51,$E$5+$E51,0),2),ROUND(N50+M51,2)),0)</f>
        <v>0</v>
      </c>
      <c r="M51" s="24">
        <f>IF(N50&gt;0,ROUND(ROUND(N50*100,0)*ROUND(L$7*10000,0)/12000000,0)/100,0)</f>
        <v>0</v>
      </c>
      <c r="N51" s="24">
        <f>IF(N50&gt;0,ROUND(N50+M51-L51,2),0)</f>
        <v>0</v>
      </c>
      <c r="O51" s="24">
        <f>IF(Q50&gt;0,MIN(ROUND(O$6+IF(O$5=$C51,$E$5+$E51,0),2),ROUND(Q50+P51,2)),0)</f>
        <v>0</v>
      </c>
      <c r="P51" s="24">
        <f>IF(Q50&gt;0,ROUND(ROUND(Q50*100,0)*ROUND(O$7*10000,0)/12000000,0)/100,0)</f>
        <v>0</v>
      </c>
      <c r="Q51" s="24">
        <f>IF(Q50&gt;0,ROUND(Q50+P51-O51,2),0)</f>
        <v>0</v>
      </c>
      <c r="R51" s="24">
        <f>IF(T50&gt;0,MIN(ROUND(R$6+IF(R$5=$C51,$E$5+$E51,0),2),ROUND(T50+S51,2)),0)</f>
        <v>0</v>
      </c>
      <c r="S51" s="24">
        <f>IF(T50&gt;0,ROUND(ROUND(T50*100,0)*ROUND(R$7*10000,0)/12000000,0)/100,0)</f>
        <v>0</v>
      </c>
      <c r="T51" s="24">
        <f>IF(T50&gt;0,ROUND(T50+S51-R51,2),0)</f>
        <v>0</v>
      </c>
      <c r="U51" s="24">
        <f>IF(W50&gt;0,MIN(ROUND(U$6+IF(U$5=$C51,$E$5+$E51,0),2),ROUND(W50+V51,2)),0)</f>
        <v>0</v>
      </c>
      <c r="V51" s="24">
        <f>IF(W50&gt;0,ROUND(ROUND(W50*100,0)*ROUND(U$7*10000,0)/12000000,0)/100,0)</f>
        <v>0</v>
      </c>
      <c r="W51" s="24">
        <f>IF(W50&gt;0,ROUND(W50+V51-U51,2),0)</f>
        <v>0</v>
      </c>
      <c r="X51" s="24">
        <f>IF(Z50&gt;0,MIN(ROUND(X$6+IF(X$5=$C51,$E$5+$E51,0),2),ROUND(Z50+Y51,2)),0)</f>
        <v>0</v>
      </c>
      <c r="Y51" s="24">
        <f>IF(Z50&gt;0,ROUND(ROUND(Z50*100,0)*ROUND(X$7*10000,0)/12000000,0)/100,0)</f>
        <v>0</v>
      </c>
      <c r="Z51" s="24">
        <f>IF(Z50&gt;0,ROUND(Z50+Y51-X51,2),0)</f>
        <v>0</v>
      </c>
      <c r="AA51" s="24">
        <f>IF(AC50&gt;0,MIN(ROUND(AA$6+IF(AA$5=$C51,$E$5+$E51,0),2),ROUND(AC50+AB51,2)),0)</f>
        <v>0</v>
      </c>
      <c r="AB51" s="24">
        <f>IF(AC50&gt;0,ROUND(ROUND(AC50*100,0)*ROUND(AA$7*10000,0)/12000000,0)/100,0)</f>
        <v>0</v>
      </c>
      <c r="AC51" s="24">
        <f>IF(AC50&gt;0,ROUND(AC50+AB51-AA51,2),0)</f>
        <v>0</v>
      </c>
      <c r="AD51" s="24">
        <f>IF(AF50&gt;0,MIN(ROUND(AD$6+IF(AD$5=$C51,$E$5+$E51,0),2),ROUND(AF50+AE51,2)),0)</f>
        <v>0</v>
      </c>
      <c r="AE51" s="24">
        <f>IF(AF50&gt;0,ROUND(ROUND(AF50*100,0)*ROUND(AD$7*10000,0)/12000000,0)/100,0)</f>
        <v>0</v>
      </c>
      <c r="AF51" s="24">
        <f>IF(AF50&gt;0,ROUND(AF50+AE51-AD51,2),0)</f>
        <v>0</v>
      </c>
      <c r="AG51" s="24">
        <f>IF(AI50&gt;0,MIN(ROUND(AG$6+IF(AG$5=$C51,$E$5+$E51,0),2),ROUND(AI50+AH51,2)),0)</f>
        <v>0</v>
      </c>
      <c r="AH51" s="24">
        <f>IF(AI50&gt;0,ROUND(ROUND(AI50*100,0)*ROUND(AG$7*10000,0)/12000000,0)/100,0)</f>
        <v>0</v>
      </c>
      <c r="AI51" s="24">
        <f>IF(AI50&gt;0,ROUND(AI50+AH51-AG51,2),0)</f>
        <v>0</v>
      </c>
      <c r="AJ51" s="24">
        <f>IF(AL50&gt;0,MIN(ROUND(AJ$6+IF(AJ$5=$C51,$E$5+$E51,0),2),ROUND(AL50+AK51,2)),0)</f>
        <v>0</v>
      </c>
      <c r="AK51" s="24">
        <f>IF(AL50&gt;0,ROUND(ROUND(AL50*100,0)*ROUND(AJ$7*10000,0)/12000000,0)/100,0)</f>
        <v>0</v>
      </c>
      <c r="AL51" s="24">
        <f>IF(AL50&gt;0,ROUND(AL50+AK51-AJ51,2),0)</f>
        <v>0</v>
      </c>
    </row>
    <row r="52" spans="1:38" x14ac:dyDescent="0.25">
      <c r="A52" s="17" t="str">
        <f>IF(F52&gt;0,42,"")</f>
        <v/>
      </c>
      <c r="B52" s="18" t="str">
        <f>IF(F52&gt;0,EDATE($E$6,42),"")</f>
        <v/>
      </c>
      <c r="C52" s="21">
        <f>IF(H51&gt;0,MIN(IF(K51&gt;0,I$5,99),IF(N51&gt;0,L$5,99),IF(Q51&gt;0,O$5,99),IF(T51&gt;0,R$5,99),IF(W51&gt;0,U$5,99),IF(Z51&gt;0,X$5,99),IF(AC51&gt;0,AA$5,99),IF(AF51&gt;0,AD$5,99),IF(AI51&gt;0,AG$5,99),IF(AL51&gt;0,AJ$5,99)),0)</f>
        <v>0</v>
      </c>
      <c r="D52" t="str">
        <f>IF(C52&gt;0,INDEX($I$4:$AL$4,1,MATCH(C52,$I$5:$AL$5,0)),"")</f>
        <v/>
      </c>
      <c r="E52" s="24">
        <f>ROUND(IF(AND(I$8&gt;0,K51=0),I$6,0)+IF(AND(L$8&gt;0,N51=0),L$6,0)+IF(AND(O$8&gt;0,Q51=0),O$6,0)+IF(AND(R$8&gt;0,T51=0),R$6,0)+IF(AND(U$8&gt;0,W51=0),U$6,0)+IF(AND(X$8&gt;0,Z51=0),X$6,0)+IF(AND(AA$8&gt;0,AC51=0),AA$6,0)+IF(AND(AD$8&gt;0,AF51=0),AD$6,0)+IF(AND(AG$8&gt;0,AI51=0),AG$6,0)+IF(AND(AJ$8&gt;0,AL51=0),AJ$6,0),2)</f>
        <v>330</v>
      </c>
      <c r="F52" s="24">
        <f>ROUND(I52+L52+O52+R52+U52+X52+AA52+AD52+AG52+AJ52,2)</f>
        <v>0</v>
      </c>
      <c r="G52" s="24">
        <f>ROUND(J52+M52+P52+S52+V52+Y52+AB52+AE52+AH52+AK52,2)</f>
        <v>0</v>
      </c>
      <c r="H52" s="24">
        <f>ROUND(K52+N52+Q52+T52+W52+Z52+AC52+AF52+AI52+AL52,2)</f>
        <v>0</v>
      </c>
      <c r="I52" s="24">
        <f>IF(K51&gt;0,MIN(ROUND(I$6+IF(I$5=$C52,$E$5+$E52,0),2),ROUND(K51+J52,2)),0)</f>
        <v>0</v>
      </c>
      <c r="J52" s="24">
        <f>IF(K51&gt;0,ROUND(ROUND(K51*100,0)*ROUND(I$7*10000,0)/12000000,0)/100,0)</f>
        <v>0</v>
      </c>
      <c r="K52" s="24">
        <f>IF(K51&gt;0,ROUND(K51+J52-I52,2),0)</f>
        <v>0</v>
      </c>
      <c r="L52" s="24">
        <f>IF(N51&gt;0,MIN(ROUND(L$6+IF(L$5=$C52,$E$5+$E52,0),2),ROUND(N51+M52,2)),0)</f>
        <v>0</v>
      </c>
      <c r="M52" s="24">
        <f>IF(N51&gt;0,ROUND(ROUND(N51*100,0)*ROUND(L$7*10000,0)/12000000,0)/100,0)</f>
        <v>0</v>
      </c>
      <c r="N52" s="24">
        <f>IF(N51&gt;0,ROUND(N51+M52-L52,2),0)</f>
        <v>0</v>
      </c>
      <c r="O52" s="24">
        <f>IF(Q51&gt;0,MIN(ROUND(O$6+IF(O$5=$C52,$E$5+$E52,0),2),ROUND(Q51+P52,2)),0)</f>
        <v>0</v>
      </c>
      <c r="P52" s="24">
        <f>IF(Q51&gt;0,ROUND(ROUND(Q51*100,0)*ROUND(O$7*10000,0)/12000000,0)/100,0)</f>
        <v>0</v>
      </c>
      <c r="Q52" s="24">
        <f>IF(Q51&gt;0,ROUND(Q51+P52-O52,2),0)</f>
        <v>0</v>
      </c>
      <c r="R52" s="24">
        <f>IF(T51&gt;0,MIN(ROUND(R$6+IF(R$5=$C52,$E$5+$E52,0),2),ROUND(T51+S52,2)),0)</f>
        <v>0</v>
      </c>
      <c r="S52" s="24">
        <f>IF(T51&gt;0,ROUND(ROUND(T51*100,0)*ROUND(R$7*10000,0)/12000000,0)/100,0)</f>
        <v>0</v>
      </c>
      <c r="T52" s="24">
        <f>IF(T51&gt;0,ROUND(T51+S52-R52,2),0)</f>
        <v>0</v>
      </c>
      <c r="U52" s="24">
        <f>IF(W51&gt;0,MIN(ROUND(U$6+IF(U$5=$C52,$E$5+$E52,0),2),ROUND(W51+V52,2)),0)</f>
        <v>0</v>
      </c>
      <c r="V52" s="24">
        <f>IF(W51&gt;0,ROUND(ROUND(W51*100,0)*ROUND(U$7*10000,0)/12000000,0)/100,0)</f>
        <v>0</v>
      </c>
      <c r="W52" s="24">
        <f>IF(W51&gt;0,ROUND(W51+V52-U52,2),0)</f>
        <v>0</v>
      </c>
      <c r="X52" s="24">
        <f>IF(Z51&gt;0,MIN(ROUND(X$6+IF(X$5=$C52,$E$5+$E52,0),2),ROUND(Z51+Y52,2)),0)</f>
        <v>0</v>
      </c>
      <c r="Y52" s="24">
        <f>IF(Z51&gt;0,ROUND(ROUND(Z51*100,0)*ROUND(X$7*10000,0)/12000000,0)/100,0)</f>
        <v>0</v>
      </c>
      <c r="Z52" s="24">
        <f>IF(Z51&gt;0,ROUND(Z51+Y52-X52,2),0)</f>
        <v>0</v>
      </c>
      <c r="AA52" s="24">
        <f>IF(AC51&gt;0,MIN(ROUND(AA$6+IF(AA$5=$C52,$E$5+$E52,0),2),ROUND(AC51+AB52,2)),0)</f>
        <v>0</v>
      </c>
      <c r="AB52" s="24">
        <f>IF(AC51&gt;0,ROUND(ROUND(AC51*100,0)*ROUND(AA$7*10000,0)/12000000,0)/100,0)</f>
        <v>0</v>
      </c>
      <c r="AC52" s="24">
        <f>IF(AC51&gt;0,ROUND(AC51+AB52-AA52,2),0)</f>
        <v>0</v>
      </c>
      <c r="AD52" s="24">
        <f>IF(AF51&gt;0,MIN(ROUND(AD$6+IF(AD$5=$C52,$E$5+$E52,0),2),ROUND(AF51+AE52,2)),0)</f>
        <v>0</v>
      </c>
      <c r="AE52" s="24">
        <f>IF(AF51&gt;0,ROUND(ROUND(AF51*100,0)*ROUND(AD$7*10000,0)/12000000,0)/100,0)</f>
        <v>0</v>
      </c>
      <c r="AF52" s="24">
        <f>IF(AF51&gt;0,ROUND(AF51+AE52-AD52,2),0)</f>
        <v>0</v>
      </c>
      <c r="AG52" s="24">
        <f>IF(AI51&gt;0,MIN(ROUND(AG$6+IF(AG$5=$C52,$E$5+$E52,0),2),ROUND(AI51+AH52,2)),0)</f>
        <v>0</v>
      </c>
      <c r="AH52" s="24">
        <f>IF(AI51&gt;0,ROUND(ROUND(AI51*100,0)*ROUND(AG$7*10000,0)/12000000,0)/100,0)</f>
        <v>0</v>
      </c>
      <c r="AI52" s="24">
        <f>IF(AI51&gt;0,ROUND(AI51+AH52-AG52,2),0)</f>
        <v>0</v>
      </c>
      <c r="AJ52" s="24">
        <f>IF(AL51&gt;0,MIN(ROUND(AJ$6+IF(AJ$5=$C52,$E$5+$E52,0),2),ROUND(AL51+AK52,2)),0)</f>
        <v>0</v>
      </c>
      <c r="AK52" s="24">
        <f>IF(AL51&gt;0,ROUND(ROUND(AL51*100,0)*ROUND(AJ$7*10000,0)/12000000,0)/100,0)</f>
        <v>0</v>
      </c>
      <c r="AL52" s="24">
        <f>IF(AL51&gt;0,ROUND(AL51+AK52-AJ52,2),0)</f>
        <v>0</v>
      </c>
    </row>
    <row r="53" spans="1:38" x14ac:dyDescent="0.25">
      <c r="A53" s="17" t="str">
        <f>IF(F53&gt;0,43,"")</f>
        <v/>
      </c>
      <c r="B53" s="18" t="str">
        <f>IF(F53&gt;0,EDATE($E$6,43),"")</f>
        <v/>
      </c>
      <c r="C53" s="21">
        <f>IF(H52&gt;0,MIN(IF(K52&gt;0,I$5,99),IF(N52&gt;0,L$5,99),IF(Q52&gt;0,O$5,99),IF(T52&gt;0,R$5,99),IF(W52&gt;0,U$5,99),IF(Z52&gt;0,X$5,99),IF(AC52&gt;0,AA$5,99),IF(AF52&gt;0,AD$5,99),IF(AI52&gt;0,AG$5,99),IF(AL52&gt;0,AJ$5,99)),0)</f>
        <v>0</v>
      </c>
      <c r="D53" t="str">
        <f>IF(C53&gt;0,INDEX($I$4:$AL$4,1,MATCH(C53,$I$5:$AL$5,0)),"")</f>
        <v/>
      </c>
      <c r="E53" s="24">
        <f>ROUND(IF(AND(I$8&gt;0,K52=0),I$6,0)+IF(AND(L$8&gt;0,N52=0),L$6,0)+IF(AND(O$8&gt;0,Q52=0),O$6,0)+IF(AND(R$8&gt;0,T52=0),R$6,0)+IF(AND(U$8&gt;0,W52=0),U$6,0)+IF(AND(X$8&gt;0,Z52=0),X$6,0)+IF(AND(AA$8&gt;0,AC52=0),AA$6,0)+IF(AND(AD$8&gt;0,AF52=0),AD$6,0)+IF(AND(AG$8&gt;0,AI52=0),AG$6,0)+IF(AND(AJ$8&gt;0,AL52=0),AJ$6,0),2)</f>
        <v>330</v>
      </c>
      <c r="F53" s="24">
        <f>ROUND(I53+L53+O53+R53+U53+X53+AA53+AD53+AG53+AJ53,2)</f>
        <v>0</v>
      </c>
      <c r="G53" s="24">
        <f>ROUND(J53+M53+P53+S53+V53+Y53+AB53+AE53+AH53+AK53,2)</f>
        <v>0</v>
      </c>
      <c r="H53" s="24">
        <f>ROUND(K53+N53+Q53+T53+W53+Z53+AC53+AF53+AI53+AL53,2)</f>
        <v>0</v>
      </c>
      <c r="I53" s="24">
        <f>IF(K52&gt;0,MIN(ROUND(I$6+IF(I$5=$C53,$E$5+$E53,0),2),ROUND(K52+J53,2)),0)</f>
        <v>0</v>
      </c>
      <c r="J53" s="24">
        <f>IF(K52&gt;0,ROUND(ROUND(K52*100,0)*ROUND(I$7*10000,0)/12000000,0)/100,0)</f>
        <v>0</v>
      </c>
      <c r="K53" s="24">
        <f>IF(K52&gt;0,ROUND(K52+J53-I53,2),0)</f>
        <v>0</v>
      </c>
      <c r="L53" s="24">
        <f>IF(N52&gt;0,MIN(ROUND(L$6+IF(L$5=$C53,$E$5+$E53,0),2),ROUND(N52+M53,2)),0)</f>
        <v>0</v>
      </c>
      <c r="M53" s="24">
        <f>IF(N52&gt;0,ROUND(ROUND(N52*100,0)*ROUND(L$7*10000,0)/12000000,0)/100,0)</f>
        <v>0</v>
      </c>
      <c r="N53" s="24">
        <f>IF(N52&gt;0,ROUND(N52+M53-L53,2),0)</f>
        <v>0</v>
      </c>
      <c r="O53" s="24">
        <f>IF(Q52&gt;0,MIN(ROUND(O$6+IF(O$5=$C53,$E$5+$E53,0),2),ROUND(Q52+P53,2)),0)</f>
        <v>0</v>
      </c>
      <c r="P53" s="24">
        <f>IF(Q52&gt;0,ROUND(ROUND(Q52*100,0)*ROUND(O$7*10000,0)/12000000,0)/100,0)</f>
        <v>0</v>
      </c>
      <c r="Q53" s="24">
        <f>IF(Q52&gt;0,ROUND(Q52+P53-O53,2),0)</f>
        <v>0</v>
      </c>
      <c r="R53" s="24">
        <f>IF(T52&gt;0,MIN(ROUND(R$6+IF(R$5=$C53,$E$5+$E53,0),2),ROUND(T52+S53,2)),0)</f>
        <v>0</v>
      </c>
      <c r="S53" s="24">
        <f>IF(T52&gt;0,ROUND(ROUND(T52*100,0)*ROUND(R$7*10000,0)/12000000,0)/100,0)</f>
        <v>0</v>
      </c>
      <c r="T53" s="24">
        <f>IF(T52&gt;0,ROUND(T52+S53-R53,2),0)</f>
        <v>0</v>
      </c>
      <c r="U53" s="24">
        <f>IF(W52&gt;0,MIN(ROUND(U$6+IF(U$5=$C53,$E$5+$E53,0),2),ROUND(W52+V53,2)),0)</f>
        <v>0</v>
      </c>
      <c r="V53" s="24">
        <f>IF(W52&gt;0,ROUND(ROUND(W52*100,0)*ROUND(U$7*10000,0)/12000000,0)/100,0)</f>
        <v>0</v>
      </c>
      <c r="W53" s="24">
        <f>IF(W52&gt;0,ROUND(W52+V53-U53,2),0)</f>
        <v>0</v>
      </c>
      <c r="X53" s="24">
        <f>IF(Z52&gt;0,MIN(ROUND(X$6+IF(X$5=$C53,$E$5+$E53,0),2),ROUND(Z52+Y53,2)),0)</f>
        <v>0</v>
      </c>
      <c r="Y53" s="24">
        <f>IF(Z52&gt;0,ROUND(ROUND(Z52*100,0)*ROUND(X$7*10000,0)/12000000,0)/100,0)</f>
        <v>0</v>
      </c>
      <c r="Z53" s="24">
        <f>IF(Z52&gt;0,ROUND(Z52+Y53-X53,2),0)</f>
        <v>0</v>
      </c>
      <c r="AA53" s="24">
        <f>IF(AC52&gt;0,MIN(ROUND(AA$6+IF(AA$5=$C53,$E$5+$E53,0),2),ROUND(AC52+AB53,2)),0)</f>
        <v>0</v>
      </c>
      <c r="AB53" s="24">
        <f>IF(AC52&gt;0,ROUND(ROUND(AC52*100,0)*ROUND(AA$7*10000,0)/12000000,0)/100,0)</f>
        <v>0</v>
      </c>
      <c r="AC53" s="24">
        <f>IF(AC52&gt;0,ROUND(AC52+AB53-AA53,2),0)</f>
        <v>0</v>
      </c>
      <c r="AD53" s="24">
        <f>IF(AF52&gt;0,MIN(ROUND(AD$6+IF(AD$5=$C53,$E$5+$E53,0),2),ROUND(AF52+AE53,2)),0)</f>
        <v>0</v>
      </c>
      <c r="AE53" s="24">
        <f>IF(AF52&gt;0,ROUND(ROUND(AF52*100,0)*ROUND(AD$7*10000,0)/12000000,0)/100,0)</f>
        <v>0</v>
      </c>
      <c r="AF53" s="24">
        <f>IF(AF52&gt;0,ROUND(AF52+AE53-AD53,2),0)</f>
        <v>0</v>
      </c>
      <c r="AG53" s="24">
        <f>IF(AI52&gt;0,MIN(ROUND(AG$6+IF(AG$5=$C53,$E$5+$E53,0),2),ROUND(AI52+AH53,2)),0)</f>
        <v>0</v>
      </c>
      <c r="AH53" s="24">
        <f>IF(AI52&gt;0,ROUND(ROUND(AI52*100,0)*ROUND(AG$7*10000,0)/12000000,0)/100,0)</f>
        <v>0</v>
      </c>
      <c r="AI53" s="24">
        <f>IF(AI52&gt;0,ROUND(AI52+AH53-AG53,2),0)</f>
        <v>0</v>
      </c>
      <c r="AJ53" s="24">
        <f>IF(AL52&gt;0,MIN(ROUND(AJ$6+IF(AJ$5=$C53,$E$5+$E53,0),2),ROUND(AL52+AK53,2)),0)</f>
        <v>0</v>
      </c>
      <c r="AK53" s="24">
        <f>IF(AL52&gt;0,ROUND(ROUND(AL52*100,0)*ROUND(AJ$7*10000,0)/12000000,0)/100,0)</f>
        <v>0</v>
      </c>
      <c r="AL53" s="24">
        <f>IF(AL52&gt;0,ROUND(AL52+AK53-AJ53,2),0)</f>
        <v>0</v>
      </c>
    </row>
    <row r="54" spans="1:38" x14ac:dyDescent="0.25">
      <c r="A54" s="17" t="str">
        <f>IF(F54&gt;0,44,"")</f>
        <v/>
      </c>
      <c r="B54" s="18" t="str">
        <f>IF(F54&gt;0,EDATE($E$6,44),"")</f>
        <v/>
      </c>
      <c r="C54" s="21">
        <f>IF(H53&gt;0,MIN(IF(K53&gt;0,I$5,99),IF(N53&gt;0,L$5,99),IF(Q53&gt;0,O$5,99),IF(T53&gt;0,R$5,99),IF(W53&gt;0,U$5,99),IF(Z53&gt;0,X$5,99),IF(AC53&gt;0,AA$5,99),IF(AF53&gt;0,AD$5,99),IF(AI53&gt;0,AG$5,99),IF(AL53&gt;0,AJ$5,99)),0)</f>
        <v>0</v>
      </c>
      <c r="D54" t="str">
        <f>IF(C54&gt;0,INDEX($I$4:$AL$4,1,MATCH(C54,$I$5:$AL$5,0)),"")</f>
        <v/>
      </c>
      <c r="E54" s="24">
        <f>ROUND(IF(AND(I$8&gt;0,K53=0),I$6,0)+IF(AND(L$8&gt;0,N53=0),L$6,0)+IF(AND(O$8&gt;0,Q53=0),O$6,0)+IF(AND(R$8&gt;0,T53=0),R$6,0)+IF(AND(U$8&gt;0,W53=0),U$6,0)+IF(AND(X$8&gt;0,Z53=0),X$6,0)+IF(AND(AA$8&gt;0,AC53=0),AA$6,0)+IF(AND(AD$8&gt;0,AF53=0),AD$6,0)+IF(AND(AG$8&gt;0,AI53=0),AG$6,0)+IF(AND(AJ$8&gt;0,AL53=0),AJ$6,0),2)</f>
        <v>330</v>
      </c>
      <c r="F54" s="24">
        <f>ROUND(I54+L54+O54+R54+U54+X54+AA54+AD54+AG54+AJ54,2)</f>
        <v>0</v>
      </c>
      <c r="G54" s="24">
        <f>ROUND(J54+M54+P54+S54+V54+Y54+AB54+AE54+AH54+AK54,2)</f>
        <v>0</v>
      </c>
      <c r="H54" s="24">
        <f>ROUND(K54+N54+Q54+T54+W54+Z54+AC54+AF54+AI54+AL54,2)</f>
        <v>0</v>
      </c>
      <c r="I54" s="24">
        <f>IF(K53&gt;0,MIN(ROUND(I$6+IF(I$5=$C54,$E$5+$E54,0),2),ROUND(K53+J54,2)),0)</f>
        <v>0</v>
      </c>
      <c r="J54" s="24">
        <f>IF(K53&gt;0,ROUND(ROUND(K53*100,0)*ROUND(I$7*10000,0)/12000000,0)/100,0)</f>
        <v>0</v>
      </c>
      <c r="K54" s="24">
        <f>IF(K53&gt;0,ROUND(K53+J54-I54,2),0)</f>
        <v>0</v>
      </c>
      <c r="L54" s="24">
        <f>IF(N53&gt;0,MIN(ROUND(L$6+IF(L$5=$C54,$E$5+$E54,0),2),ROUND(N53+M54,2)),0)</f>
        <v>0</v>
      </c>
      <c r="M54" s="24">
        <f>IF(N53&gt;0,ROUND(ROUND(N53*100,0)*ROUND(L$7*10000,0)/12000000,0)/100,0)</f>
        <v>0</v>
      </c>
      <c r="N54" s="24">
        <f>IF(N53&gt;0,ROUND(N53+M54-L54,2),0)</f>
        <v>0</v>
      </c>
      <c r="O54" s="24">
        <f>IF(Q53&gt;0,MIN(ROUND(O$6+IF(O$5=$C54,$E$5+$E54,0),2),ROUND(Q53+P54,2)),0)</f>
        <v>0</v>
      </c>
      <c r="P54" s="24">
        <f>IF(Q53&gt;0,ROUND(ROUND(Q53*100,0)*ROUND(O$7*10000,0)/12000000,0)/100,0)</f>
        <v>0</v>
      </c>
      <c r="Q54" s="24">
        <f>IF(Q53&gt;0,ROUND(Q53+P54-O54,2),0)</f>
        <v>0</v>
      </c>
      <c r="R54" s="24">
        <f>IF(T53&gt;0,MIN(ROUND(R$6+IF(R$5=$C54,$E$5+$E54,0),2),ROUND(T53+S54,2)),0)</f>
        <v>0</v>
      </c>
      <c r="S54" s="24">
        <f>IF(T53&gt;0,ROUND(ROUND(T53*100,0)*ROUND(R$7*10000,0)/12000000,0)/100,0)</f>
        <v>0</v>
      </c>
      <c r="T54" s="24">
        <f>IF(T53&gt;0,ROUND(T53+S54-R54,2),0)</f>
        <v>0</v>
      </c>
      <c r="U54" s="24">
        <f>IF(W53&gt;0,MIN(ROUND(U$6+IF(U$5=$C54,$E$5+$E54,0),2),ROUND(W53+V54,2)),0)</f>
        <v>0</v>
      </c>
      <c r="V54" s="24">
        <f>IF(W53&gt;0,ROUND(ROUND(W53*100,0)*ROUND(U$7*10000,0)/12000000,0)/100,0)</f>
        <v>0</v>
      </c>
      <c r="W54" s="24">
        <f>IF(W53&gt;0,ROUND(W53+V54-U54,2),0)</f>
        <v>0</v>
      </c>
      <c r="X54" s="24">
        <f>IF(Z53&gt;0,MIN(ROUND(X$6+IF(X$5=$C54,$E$5+$E54,0),2),ROUND(Z53+Y54,2)),0)</f>
        <v>0</v>
      </c>
      <c r="Y54" s="24">
        <f>IF(Z53&gt;0,ROUND(ROUND(Z53*100,0)*ROUND(X$7*10000,0)/12000000,0)/100,0)</f>
        <v>0</v>
      </c>
      <c r="Z54" s="24">
        <f>IF(Z53&gt;0,ROUND(Z53+Y54-X54,2),0)</f>
        <v>0</v>
      </c>
      <c r="AA54" s="24">
        <f>IF(AC53&gt;0,MIN(ROUND(AA$6+IF(AA$5=$C54,$E$5+$E54,0),2),ROUND(AC53+AB54,2)),0)</f>
        <v>0</v>
      </c>
      <c r="AB54" s="24">
        <f>IF(AC53&gt;0,ROUND(ROUND(AC53*100,0)*ROUND(AA$7*10000,0)/12000000,0)/100,0)</f>
        <v>0</v>
      </c>
      <c r="AC54" s="24">
        <f>IF(AC53&gt;0,ROUND(AC53+AB54-AA54,2),0)</f>
        <v>0</v>
      </c>
      <c r="AD54" s="24">
        <f>IF(AF53&gt;0,MIN(ROUND(AD$6+IF(AD$5=$C54,$E$5+$E54,0),2),ROUND(AF53+AE54,2)),0)</f>
        <v>0</v>
      </c>
      <c r="AE54" s="24">
        <f>IF(AF53&gt;0,ROUND(ROUND(AF53*100,0)*ROUND(AD$7*10000,0)/12000000,0)/100,0)</f>
        <v>0</v>
      </c>
      <c r="AF54" s="24">
        <f>IF(AF53&gt;0,ROUND(AF53+AE54-AD54,2),0)</f>
        <v>0</v>
      </c>
      <c r="AG54" s="24">
        <f>IF(AI53&gt;0,MIN(ROUND(AG$6+IF(AG$5=$C54,$E$5+$E54,0),2),ROUND(AI53+AH54,2)),0)</f>
        <v>0</v>
      </c>
      <c r="AH54" s="24">
        <f>IF(AI53&gt;0,ROUND(ROUND(AI53*100,0)*ROUND(AG$7*10000,0)/12000000,0)/100,0)</f>
        <v>0</v>
      </c>
      <c r="AI54" s="24">
        <f>IF(AI53&gt;0,ROUND(AI53+AH54-AG54,2),0)</f>
        <v>0</v>
      </c>
      <c r="AJ54" s="24">
        <f>IF(AL53&gt;0,MIN(ROUND(AJ$6+IF(AJ$5=$C54,$E$5+$E54,0),2),ROUND(AL53+AK54,2)),0)</f>
        <v>0</v>
      </c>
      <c r="AK54" s="24">
        <f>IF(AL53&gt;0,ROUND(ROUND(AL53*100,0)*ROUND(AJ$7*10000,0)/12000000,0)/100,0)</f>
        <v>0</v>
      </c>
      <c r="AL54" s="24">
        <f>IF(AL53&gt;0,ROUND(AL53+AK54-AJ54,2),0)</f>
        <v>0</v>
      </c>
    </row>
    <row r="55" spans="1:38" x14ac:dyDescent="0.25">
      <c r="A55" s="17" t="str">
        <f>IF(F55&gt;0,45,"")</f>
        <v/>
      </c>
      <c r="B55" s="18" t="str">
        <f>IF(F55&gt;0,EDATE($E$6,45),"")</f>
        <v/>
      </c>
      <c r="C55" s="21">
        <f>IF(H54&gt;0,MIN(IF(K54&gt;0,I$5,99),IF(N54&gt;0,L$5,99),IF(Q54&gt;0,O$5,99),IF(T54&gt;0,R$5,99),IF(W54&gt;0,U$5,99),IF(Z54&gt;0,X$5,99),IF(AC54&gt;0,AA$5,99),IF(AF54&gt;0,AD$5,99),IF(AI54&gt;0,AG$5,99),IF(AL54&gt;0,AJ$5,99)),0)</f>
        <v>0</v>
      </c>
      <c r="D55" t="str">
        <f>IF(C55&gt;0,INDEX($I$4:$AL$4,1,MATCH(C55,$I$5:$AL$5,0)),"")</f>
        <v/>
      </c>
      <c r="E55" s="24">
        <f>ROUND(IF(AND(I$8&gt;0,K54=0),I$6,0)+IF(AND(L$8&gt;0,N54=0),L$6,0)+IF(AND(O$8&gt;0,Q54=0),O$6,0)+IF(AND(R$8&gt;0,T54=0),R$6,0)+IF(AND(U$8&gt;0,W54=0),U$6,0)+IF(AND(X$8&gt;0,Z54=0),X$6,0)+IF(AND(AA$8&gt;0,AC54=0),AA$6,0)+IF(AND(AD$8&gt;0,AF54=0),AD$6,0)+IF(AND(AG$8&gt;0,AI54=0),AG$6,0)+IF(AND(AJ$8&gt;0,AL54=0),AJ$6,0),2)</f>
        <v>330</v>
      </c>
      <c r="F55" s="24">
        <f>ROUND(I55+L55+O55+R55+U55+X55+AA55+AD55+AG55+AJ55,2)</f>
        <v>0</v>
      </c>
      <c r="G55" s="24">
        <f>ROUND(J55+M55+P55+S55+V55+Y55+AB55+AE55+AH55+AK55,2)</f>
        <v>0</v>
      </c>
      <c r="H55" s="24">
        <f>ROUND(K55+N55+Q55+T55+W55+Z55+AC55+AF55+AI55+AL55,2)</f>
        <v>0</v>
      </c>
      <c r="I55" s="24">
        <f>IF(K54&gt;0,MIN(ROUND(I$6+IF(I$5=$C55,$E$5+$E55,0),2),ROUND(K54+J55,2)),0)</f>
        <v>0</v>
      </c>
      <c r="J55" s="24">
        <f>IF(K54&gt;0,ROUND(ROUND(K54*100,0)*ROUND(I$7*10000,0)/12000000,0)/100,0)</f>
        <v>0</v>
      </c>
      <c r="K55" s="24">
        <f>IF(K54&gt;0,ROUND(K54+J55-I55,2),0)</f>
        <v>0</v>
      </c>
      <c r="L55" s="24">
        <f>IF(N54&gt;0,MIN(ROUND(L$6+IF(L$5=$C55,$E$5+$E55,0),2),ROUND(N54+M55,2)),0)</f>
        <v>0</v>
      </c>
      <c r="M55" s="24">
        <f>IF(N54&gt;0,ROUND(ROUND(N54*100,0)*ROUND(L$7*10000,0)/12000000,0)/100,0)</f>
        <v>0</v>
      </c>
      <c r="N55" s="24">
        <f>IF(N54&gt;0,ROUND(N54+M55-L55,2),0)</f>
        <v>0</v>
      </c>
      <c r="O55" s="24">
        <f>IF(Q54&gt;0,MIN(ROUND(O$6+IF(O$5=$C55,$E$5+$E55,0),2),ROUND(Q54+P55,2)),0)</f>
        <v>0</v>
      </c>
      <c r="P55" s="24">
        <f>IF(Q54&gt;0,ROUND(ROUND(Q54*100,0)*ROUND(O$7*10000,0)/12000000,0)/100,0)</f>
        <v>0</v>
      </c>
      <c r="Q55" s="24">
        <f>IF(Q54&gt;0,ROUND(Q54+P55-O55,2),0)</f>
        <v>0</v>
      </c>
      <c r="R55" s="24">
        <f>IF(T54&gt;0,MIN(ROUND(R$6+IF(R$5=$C55,$E$5+$E55,0),2),ROUND(T54+S55,2)),0)</f>
        <v>0</v>
      </c>
      <c r="S55" s="24">
        <f>IF(T54&gt;0,ROUND(ROUND(T54*100,0)*ROUND(R$7*10000,0)/12000000,0)/100,0)</f>
        <v>0</v>
      </c>
      <c r="T55" s="24">
        <f>IF(T54&gt;0,ROUND(T54+S55-R55,2),0)</f>
        <v>0</v>
      </c>
      <c r="U55" s="24">
        <f>IF(W54&gt;0,MIN(ROUND(U$6+IF(U$5=$C55,$E$5+$E55,0),2),ROUND(W54+V55,2)),0)</f>
        <v>0</v>
      </c>
      <c r="V55" s="24">
        <f>IF(W54&gt;0,ROUND(ROUND(W54*100,0)*ROUND(U$7*10000,0)/12000000,0)/100,0)</f>
        <v>0</v>
      </c>
      <c r="W55" s="24">
        <f>IF(W54&gt;0,ROUND(W54+V55-U55,2),0)</f>
        <v>0</v>
      </c>
      <c r="X55" s="24">
        <f>IF(Z54&gt;0,MIN(ROUND(X$6+IF(X$5=$C55,$E$5+$E55,0),2),ROUND(Z54+Y55,2)),0)</f>
        <v>0</v>
      </c>
      <c r="Y55" s="24">
        <f>IF(Z54&gt;0,ROUND(ROUND(Z54*100,0)*ROUND(X$7*10000,0)/12000000,0)/100,0)</f>
        <v>0</v>
      </c>
      <c r="Z55" s="24">
        <f>IF(Z54&gt;0,ROUND(Z54+Y55-X55,2),0)</f>
        <v>0</v>
      </c>
      <c r="AA55" s="24">
        <f>IF(AC54&gt;0,MIN(ROUND(AA$6+IF(AA$5=$C55,$E$5+$E55,0),2),ROUND(AC54+AB55,2)),0)</f>
        <v>0</v>
      </c>
      <c r="AB55" s="24">
        <f>IF(AC54&gt;0,ROUND(ROUND(AC54*100,0)*ROUND(AA$7*10000,0)/12000000,0)/100,0)</f>
        <v>0</v>
      </c>
      <c r="AC55" s="24">
        <f>IF(AC54&gt;0,ROUND(AC54+AB55-AA55,2),0)</f>
        <v>0</v>
      </c>
      <c r="AD55" s="24">
        <f>IF(AF54&gt;0,MIN(ROUND(AD$6+IF(AD$5=$C55,$E$5+$E55,0),2),ROUND(AF54+AE55,2)),0)</f>
        <v>0</v>
      </c>
      <c r="AE55" s="24">
        <f>IF(AF54&gt;0,ROUND(ROUND(AF54*100,0)*ROUND(AD$7*10000,0)/12000000,0)/100,0)</f>
        <v>0</v>
      </c>
      <c r="AF55" s="24">
        <f>IF(AF54&gt;0,ROUND(AF54+AE55-AD55,2),0)</f>
        <v>0</v>
      </c>
      <c r="AG55" s="24">
        <f>IF(AI54&gt;0,MIN(ROUND(AG$6+IF(AG$5=$C55,$E$5+$E55,0),2),ROUND(AI54+AH55,2)),0)</f>
        <v>0</v>
      </c>
      <c r="AH55" s="24">
        <f>IF(AI54&gt;0,ROUND(ROUND(AI54*100,0)*ROUND(AG$7*10000,0)/12000000,0)/100,0)</f>
        <v>0</v>
      </c>
      <c r="AI55" s="24">
        <f>IF(AI54&gt;0,ROUND(AI54+AH55-AG55,2),0)</f>
        <v>0</v>
      </c>
      <c r="AJ55" s="24">
        <f>IF(AL54&gt;0,MIN(ROUND(AJ$6+IF(AJ$5=$C55,$E$5+$E55,0),2),ROUND(AL54+AK55,2)),0)</f>
        <v>0</v>
      </c>
      <c r="AK55" s="24">
        <f>IF(AL54&gt;0,ROUND(ROUND(AL54*100,0)*ROUND(AJ$7*10000,0)/12000000,0)/100,0)</f>
        <v>0</v>
      </c>
      <c r="AL55" s="24">
        <f>IF(AL54&gt;0,ROUND(AL54+AK55-AJ55,2),0)</f>
        <v>0</v>
      </c>
    </row>
    <row r="56" spans="1:38" x14ac:dyDescent="0.25">
      <c r="A56" s="17" t="str">
        <f>IF(F56&gt;0,46,"")</f>
        <v/>
      </c>
      <c r="B56" s="18" t="str">
        <f>IF(F56&gt;0,EDATE($E$6,46),"")</f>
        <v/>
      </c>
      <c r="C56" s="21">
        <f>IF(H55&gt;0,MIN(IF(K55&gt;0,I$5,99),IF(N55&gt;0,L$5,99),IF(Q55&gt;0,O$5,99),IF(T55&gt;0,R$5,99),IF(W55&gt;0,U$5,99),IF(Z55&gt;0,X$5,99),IF(AC55&gt;0,AA$5,99),IF(AF55&gt;0,AD$5,99),IF(AI55&gt;0,AG$5,99),IF(AL55&gt;0,AJ$5,99)),0)</f>
        <v>0</v>
      </c>
      <c r="D56" t="str">
        <f>IF(C56&gt;0,INDEX($I$4:$AL$4,1,MATCH(C56,$I$5:$AL$5,0)),"")</f>
        <v/>
      </c>
      <c r="E56" s="24">
        <f>ROUND(IF(AND(I$8&gt;0,K55=0),I$6,0)+IF(AND(L$8&gt;0,N55=0),L$6,0)+IF(AND(O$8&gt;0,Q55=0),O$6,0)+IF(AND(R$8&gt;0,T55=0),R$6,0)+IF(AND(U$8&gt;0,W55=0),U$6,0)+IF(AND(X$8&gt;0,Z55=0),X$6,0)+IF(AND(AA$8&gt;0,AC55=0),AA$6,0)+IF(AND(AD$8&gt;0,AF55=0),AD$6,0)+IF(AND(AG$8&gt;0,AI55=0),AG$6,0)+IF(AND(AJ$8&gt;0,AL55=0),AJ$6,0),2)</f>
        <v>330</v>
      </c>
      <c r="F56" s="24">
        <f>ROUND(I56+L56+O56+R56+U56+X56+AA56+AD56+AG56+AJ56,2)</f>
        <v>0</v>
      </c>
      <c r="G56" s="24">
        <f>ROUND(J56+M56+P56+S56+V56+Y56+AB56+AE56+AH56+AK56,2)</f>
        <v>0</v>
      </c>
      <c r="H56" s="24">
        <f>ROUND(K56+N56+Q56+T56+W56+Z56+AC56+AF56+AI56+AL56,2)</f>
        <v>0</v>
      </c>
      <c r="I56" s="24">
        <f>IF(K55&gt;0,MIN(ROUND(I$6+IF(I$5=$C56,$E$5+$E56,0),2),ROUND(K55+J56,2)),0)</f>
        <v>0</v>
      </c>
      <c r="J56" s="24">
        <f>IF(K55&gt;0,ROUND(ROUND(K55*100,0)*ROUND(I$7*10000,0)/12000000,0)/100,0)</f>
        <v>0</v>
      </c>
      <c r="K56" s="24">
        <f>IF(K55&gt;0,ROUND(K55+J56-I56,2),0)</f>
        <v>0</v>
      </c>
      <c r="L56" s="24">
        <f>IF(N55&gt;0,MIN(ROUND(L$6+IF(L$5=$C56,$E$5+$E56,0),2),ROUND(N55+M56,2)),0)</f>
        <v>0</v>
      </c>
      <c r="M56" s="24">
        <f>IF(N55&gt;0,ROUND(ROUND(N55*100,0)*ROUND(L$7*10000,0)/12000000,0)/100,0)</f>
        <v>0</v>
      </c>
      <c r="N56" s="24">
        <f>IF(N55&gt;0,ROUND(N55+M56-L56,2),0)</f>
        <v>0</v>
      </c>
      <c r="O56" s="24">
        <f>IF(Q55&gt;0,MIN(ROUND(O$6+IF(O$5=$C56,$E$5+$E56,0),2),ROUND(Q55+P56,2)),0)</f>
        <v>0</v>
      </c>
      <c r="P56" s="24">
        <f>IF(Q55&gt;0,ROUND(ROUND(Q55*100,0)*ROUND(O$7*10000,0)/12000000,0)/100,0)</f>
        <v>0</v>
      </c>
      <c r="Q56" s="24">
        <f>IF(Q55&gt;0,ROUND(Q55+P56-O56,2),0)</f>
        <v>0</v>
      </c>
      <c r="R56" s="24">
        <f>IF(T55&gt;0,MIN(ROUND(R$6+IF(R$5=$C56,$E$5+$E56,0),2),ROUND(T55+S56,2)),0)</f>
        <v>0</v>
      </c>
      <c r="S56" s="24">
        <f>IF(T55&gt;0,ROUND(ROUND(T55*100,0)*ROUND(R$7*10000,0)/12000000,0)/100,0)</f>
        <v>0</v>
      </c>
      <c r="T56" s="24">
        <f>IF(T55&gt;0,ROUND(T55+S56-R56,2),0)</f>
        <v>0</v>
      </c>
      <c r="U56" s="24">
        <f>IF(W55&gt;0,MIN(ROUND(U$6+IF(U$5=$C56,$E$5+$E56,0),2),ROUND(W55+V56,2)),0)</f>
        <v>0</v>
      </c>
      <c r="V56" s="24">
        <f>IF(W55&gt;0,ROUND(ROUND(W55*100,0)*ROUND(U$7*10000,0)/12000000,0)/100,0)</f>
        <v>0</v>
      </c>
      <c r="W56" s="24">
        <f>IF(W55&gt;0,ROUND(W55+V56-U56,2),0)</f>
        <v>0</v>
      </c>
      <c r="X56" s="24">
        <f>IF(Z55&gt;0,MIN(ROUND(X$6+IF(X$5=$C56,$E$5+$E56,0),2),ROUND(Z55+Y56,2)),0)</f>
        <v>0</v>
      </c>
      <c r="Y56" s="24">
        <f>IF(Z55&gt;0,ROUND(ROUND(Z55*100,0)*ROUND(X$7*10000,0)/12000000,0)/100,0)</f>
        <v>0</v>
      </c>
      <c r="Z56" s="24">
        <f>IF(Z55&gt;0,ROUND(Z55+Y56-X56,2),0)</f>
        <v>0</v>
      </c>
      <c r="AA56" s="24">
        <f>IF(AC55&gt;0,MIN(ROUND(AA$6+IF(AA$5=$C56,$E$5+$E56,0),2),ROUND(AC55+AB56,2)),0)</f>
        <v>0</v>
      </c>
      <c r="AB56" s="24">
        <f>IF(AC55&gt;0,ROUND(ROUND(AC55*100,0)*ROUND(AA$7*10000,0)/12000000,0)/100,0)</f>
        <v>0</v>
      </c>
      <c r="AC56" s="24">
        <f>IF(AC55&gt;0,ROUND(AC55+AB56-AA56,2),0)</f>
        <v>0</v>
      </c>
      <c r="AD56" s="24">
        <f>IF(AF55&gt;0,MIN(ROUND(AD$6+IF(AD$5=$C56,$E$5+$E56,0),2),ROUND(AF55+AE56,2)),0)</f>
        <v>0</v>
      </c>
      <c r="AE56" s="24">
        <f>IF(AF55&gt;0,ROUND(ROUND(AF55*100,0)*ROUND(AD$7*10000,0)/12000000,0)/100,0)</f>
        <v>0</v>
      </c>
      <c r="AF56" s="24">
        <f>IF(AF55&gt;0,ROUND(AF55+AE56-AD56,2),0)</f>
        <v>0</v>
      </c>
      <c r="AG56" s="24">
        <f>IF(AI55&gt;0,MIN(ROUND(AG$6+IF(AG$5=$C56,$E$5+$E56,0),2),ROUND(AI55+AH56,2)),0)</f>
        <v>0</v>
      </c>
      <c r="AH56" s="24">
        <f>IF(AI55&gt;0,ROUND(ROUND(AI55*100,0)*ROUND(AG$7*10000,0)/12000000,0)/100,0)</f>
        <v>0</v>
      </c>
      <c r="AI56" s="24">
        <f>IF(AI55&gt;0,ROUND(AI55+AH56-AG56,2),0)</f>
        <v>0</v>
      </c>
      <c r="AJ56" s="24">
        <f>IF(AL55&gt;0,MIN(ROUND(AJ$6+IF(AJ$5=$C56,$E$5+$E56,0),2),ROUND(AL55+AK56,2)),0)</f>
        <v>0</v>
      </c>
      <c r="AK56" s="24">
        <f>IF(AL55&gt;0,ROUND(ROUND(AL55*100,0)*ROUND(AJ$7*10000,0)/12000000,0)/100,0)</f>
        <v>0</v>
      </c>
      <c r="AL56" s="24">
        <f>IF(AL55&gt;0,ROUND(AL55+AK56-AJ56,2),0)</f>
        <v>0</v>
      </c>
    </row>
    <row r="57" spans="1:38" x14ac:dyDescent="0.25">
      <c r="A57" s="17" t="str">
        <f>IF(F57&gt;0,47,"")</f>
        <v/>
      </c>
      <c r="B57" s="18" t="str">
        <f>IF(F57&gt;0,EDATE($E$6,47),"")</f>
        <v/>
      </c>
      <c r="C57" s="21">
        <f>IF(H56&gt;0,MIN(IF(K56&gt;0,I$5,99),IF(N56&gt;0,L$5,99),IF(Q56&gt;0,O$5,99),IF(T56&gt;0,R$5,99),IF(W56&gt;0,U$5,99),IF(Z56&gt;0,X$5,99),IF(AC56&gt;0,AA$5,99),IF(AF56&gt;0,AD$5,99),IF(AI56&gt;0,AG$5,99),IF(AL56&gt;0,AJ$5,99)),0)</f>
        <v>0</v>
      </c>
      <c r="D57" t="str">
        <f>IF(C57&gt;0,INDEX($I$4:$AL$4,1,MATCH(C57,$I$5:$AL$5,0)),"")</f>
        <v/>
      </c>
      <c r="E57" s="24">
        <f>ROUND(IF(AND(I$8&gt;0,K56=0),I$6,0)+IF(AND(L$8&gt;0,N56=0),L$6,0)+IF(AND(O$8&gt;0,Q56=0),O$6,0)+IF(AND(R$8&gt;0,T56=0),R$6,0)+IF(AND(U$8&gt;0,W56=0),U$6,0)+IF(AND(X$8&gt;0,Z56=0),X$6,0)+IF(AND(AA$8&gt;0,AC56=0),AA$6,0)+IF(AND(AD$8&gt;0,AF56=0),AD$6,0)+IF(AND(AG$8&gt;0,AI56=0),AG$6,0)+IF(AND(AJ$8&gt;0,AL56=0),AJ$6,0),2)</f>
        <v>330</v>
      </c>
      <c r="F57" s="24">
        <f>ROUND(I57+L57+O57+R57+U57+X57+AA57+AD57+AG57+AJ57,2)</f>
        <v>0</v>
      </c>
      <c r="G57" s="24">
        <f>ROUND(J57+M57+P57+S57+V57+Y57+AB57+AE57+AH57+AK57,2)</f>
        <v>0</v>
      </c>
      <c r="H57" s="24">
        <f>ROUND(K57+N57+Q57+T57+W57+Z57+AC57+AF57+AI57+AL57,2)</f>
        <v>0</v>
      </c>
      <c r="I57" s="24">
        <f>IF(K56&gt;0,MIN(ROUND(I$6+IF(I$5=$C57,$E$5+$E57,0),2),ROUND(K56+J57,2)),0)</f>
        <v>0</v>
      </c>
      <c r="J57" s="24">
        <f>IF(K56&gt;0,ROUND(ROUND(K56*100,0)*ROUND(I$7*10000,0)/12000000,0)/100,0)</f>
        <v>0</v>
      </c>
      <c r="K57" s="24">
        <f>IF(K56&gt;0,ROUND(K56+J57-I57,2),0)</f>
        <v>0</v>
      </c>
      <c r="L57" s="24">
        <f>IF(N56&gt;0,MIN(ROUND(L$6+IF(L$5=$C57,$E$5+$E57,0),2),ROUND(N56+M57,2)),0)</f>
        <v>0</v>
      </c>
      <c r="M57" s="24">
        <f>IF(N56&gt;0,ROUND(ROUND(N56*100,0)*ROUND(L$7*10000,0)/12000000,0)/100,0)</f>
        <v>0</v>
      </c>
      <c r="N57" s="24">
        <f>IF(N56&gt;0,ROUND(N56+M57-L57,2),0)</f>
        <v>0</v>
      </c>
      <c r="O57" s="24">
        <f>IF(Q56&gt;0,MIN(ROUND(O$6+IF(O$5=$C57,$E$5+$E57,0),2),ROUND(Q56+P57,2)),0)</f>
        <v>0</v>
      </c>
      <c r="P57" s="24">
        <f>IF(Q56&gt;0,ROUND(ROUND(Q56*100,0)*ROUND(O$7*10000,0)/12000000,0)/100,0)</f>
        <v>0</v>
      </c>
      <c r="Q57" s="24">
        <f>IF(Q56&gt;0,ROUND(Q56+P57-O57,2),0)</f>
        <v>0</v>
      </c>
      <c r="R57" s="24">
        <f>IF(T56&gt;0,MIN(ROUND(R$6+IF(R$5=$C57,$E$5+$E57,0),2),ROUND(T56+S57,2)),0)</f>
        <v>0</v>
      </c>
      <c r="S57" s="24">
        <f>IF(T56&gt;0,ROUND(ROUND(T56*100,0)*ROUND(R$7*10000,0)/12000000,0)/100,0)</f>
        <v>0</v>
      </c>
      <c r="T57" s="24">
        <f>IF(T56&gt;0,ROUND(T56+S57-R57,2),0)</f>
        <v>0</v>
      </c>
      <c r="U57" s="24">
        <f>IF(W56&gt;0,MIN(ROUND(U$6+IF(U$5=$C57,$E$5+$E57,0),2),ROUND(W56+V57,2)),0)</f>
        <v>0</v>
      </c>
      <c r="V57" s="24">
        <f>IF(W56&gt;0,ROUND(ROUND(W56*100,0)*ROUND(U$7*10000,0)/12000000,0)/100,0)</f>
        <v>0</v>
      </c>
      <c r="W57" s="24">
        <f>IF(W56&gt;0,ROUND(W56+V57-U57,2),0)</f>
        <v>0</v>
      </c>
      <c r="X57" s="24">
        <f>IF(Z56&gt;0,MIN(ROUND(X$6+IF(X$5=$C57,$E$5+$E57,0),2),ROUND(Z56+Y57,2)),0)</f>
        <v>0</v>
      </c>
      <c r="Y57" s="24">
        <f>IF(Z56&gt;0,ROUND(ROUND(Z56*100,0)*ROUND(X$7*10000,0)/12000000,0)/100,0)</f>
        <v>0</v>
      </c>
      <c r="Z57" s="24">
        <f>IF(Z56&gt;0,ROUND(Z56+Y57-X57,2),0)</f>
        <v>0</v>
      </c>
      <c r="AA57" s="24">
        <f>IF(AC56&gt;0,MIN(ROUND(AA$6+IF(AA$5=$C57,$E$5+$E57,0),2),ROUND(AC56+AB57,2)),0)</f>
        <v>0</v>
      </c>
      <c r="AB57" s="24">
        <f>IF(AC56&gt;0,ROUND(ROUND(AC56*100,0)*ROUND(AA$7*10000,0)/12000000,0)/100,0)</f>
        <v>0</v>
      </c>
      <c r="AC57" s="24">
        <f>IF(AC56&gt;0,ROUND(AC56+AB57-AA57,2),0)</f>
        <v>0</v>
      </c>
      <c r="AD57" s="24">
        <f>IF(AF56&gt;0,MIN(ROUND(AD$6+IF(AD$5=$C57,$E$5+$E57,0),2),ROUND(AF56+AE57,2)),0)</f>
        <v>0</v>
      </c>
      <c r="AE57" s="24">
        <f>IF(AF56&gt;0,ROUND(ROUND(AF56*100,0)*ROUND(AD$7*10000,0)/12000000,0)/100,0)</f>
        <v>0</v>
      </c>
      <c r="AF57" s="24">
        <f>IF(AF56&gt;0,ROUND(AF56+AE57-AD57,2),0)</f>
        <v>0</v>
      </c>
      <c r="AG57" s="24">
        <f>IF(AI56&gt;0,MIN(ROUND(AG$6+IF(AG$5=$C57,$E$5+$E57,0),2),ROUND(AI56+AH57,2)),0)</f>
        <v>0</v>
      </c>
      <c r="AH57" s="24">
        <f>IF(AI56&gt;0,ROUND(ROUND(AI56*100,0)*ROUND(AG$7*10000,0)/12000000,0)/100,0)</f>
        <v>0</v>
      </c>
      <c r="AI57" s="24">
        <f>IF(AI56&gt;0,ROUND(AI56+AH57-AG57,2),0)</f>
        <v>0</v>
      </c>
      <c r="AJ57" s="24">
        <f>IF(AL56&gt;0,MIN(ROUND(AJ$6+IF(AJ$5=$C57,$E$5+$E57,0),2),ROUND(AL56+AK57,2)),0)</f>
        <v>0</v>
      </c>
      <c r="AK57" s="24">
        <f>IF(AL56&gt;0,ROUND(ROUND(AL56*100,0)*ROUND(AJ$7*10000,0)/12000000,0)/100,0)</f>
        <v>0</v>
      </c>
      <c r="AL57" s="24">
        <f>IF(AL56&gt;0,ROUND(AL56+AK57-AJ57,2),0)</f>
        <v>0</v>
      </c>
    </row>
    <row r="58" spans="1:38" x14ac:dyDescent="0.25">
      <c r="A58" s="17" t="str">
        <f>IF(F58&gt;0,48,"")</f>
        <v/>
      </c>
      <c r="B58" s="18" t="str">
        <f>IF(F58&gt;0,EDATE($E$6,48),"")</f>
        <v/>
      </c>
      <c r="C58" s="21">
        <f>IF(H57&gt;0,MIN(IF(K57&gt;0,I$5,99),IF(N57&gt;0,L$5,99),IF(Q57&gt;0,O$5,99),IF(T57&gt;0,R$5,99),IF(W57&gt;0,U$5,99),IF(Z57&gt;0,X$5,99),IF(AC57&gt;0,AA$5,99),IF(AF57&gt;0,AD$5,99),IF(AI57&gt;0,AG$5,99),IF(AL57&gt;0,AJ$5,99)),0)</f>
        <v>0</v>
      </c>
      <c r="D58" t="str">
        <f>IF(C58&gt;0,INDEX($I$4:$AL$4,1,MATCH(C58,$I$5:$AL$5,0)),"")</f>
        <v/>
      </c>
      <c r="E58" s="24">
        <f>ROUND(IF(AND(I$8&gt;0,K57=0),I$6,0)+IF(AND(L$8&gt;0,N57=0),L$6,0)+IF(AND(O$8&gt;0,Q57=0),O$6,0)+IF(AND(R$8&gt;0,T57=0),R$6,0)+IF(AND(U$8&gt;0,W57=0),U$6,0)+IF(AND(X$8&gt;0,Z57=0),X$6,0)+IF(AND(AA$8&gt;0,AC57=0),AA$6,0)+IF(AND(AD$8&gt;0,AF57=0),AD$6,0)+IF(AND(AG$8&gt;0,AI57=0),AG$6,0)+IF(AND(AJ$8&gt;0,AL57=0),AJ$6,0),2)</f>
        <v>330</v>
      </c>
      <c r="F58" s="24">
        <f>ROUND(I58+L58+O58+R58+U58+X58+AA58+AD58+AG58+AJ58,2)</f>
        <v>0</v>
      </c>
      <c r="G58" s="24">
        <f>ROUND(J58+M58+P58+S58+V58+Y58+AB58+AE58+AH58+AK58,2)</f>
        <v>0</v>
      </c>
      <c r="H58" s="24">
        <f>ROUND(K58+N58+Q58+T58+W58+Z58+AC58+AF58+AI58+AL58,2)</f>
        <v>0</v>
      </c>
      <c r="I58" s="24">
        <f>IF(K57&gt;0,MIN(ROUND(I$6+IF(I$5=$C58,$E$5+$E58,0),2),ROUND(K57+J58,2)),0)</f>
        <v>0</v>
      </c>
      <c r="J58" s="24">
        <f>IF(K57&gt;0,ROUND(ROUND(K57*100,0)*ROUND(I$7*10000,0)/12000000,0)/100,0)</f>
        <v>0</v>
      </c>
      <c r="K58" s="24">
        <f>IF(K57&gt;0,ROUND(K57+J58-I58,2),0)</f>
        <v>0</v>
      </c>
      <c r="L58" s="24">
        <f>IF(N57&gt;0,MIN(ROUND(L$6+IF(L$5=$C58,$E$5+$E58,0),2),ROUND(N57+M58,2)),0)</f>
        <v>0</v>
      </c>
      <c r="M58" s="24">
        <f>IF(N57&gt;0,ROUND(ROUND(N57*100,0)*ROUND(L$7*10000,0)/12000000,0)/100,0)</f>
        <v>0</v>
      </c>
      <c r="N58" s="24">
        <f>IF(N57&gt;0,ROUND(N57+M58-L58,2),0)</f>
        <v>0</v>
      </c>
      <c r="O58" s="24">
        <f>IF(Q57&gt;0,MIN(ROUND(O$6+IF(O$5=$C58,$E$5+$E58,0),2),ROUND(Q57+P58,2)),0)</f>
        <v>0</v>
      </c>
      <c r="P58" s="24">
        <f>IF(Q57&gt;0,ROUND(ROUND(Q57*100,0)*ROUND(O$7*10000,0)/12000000,0)/100,0)</f>
        <v>0</v>
      </c>
      <c r="Q58" s="24">
        <f>IF(Q57&gt;0,ROUND(Q57+P58-O58,2),0)</f>
        <v>0</v>
      </c>
      <c r="R58" s="24">
        <f>IF(T57&gt;0,MIN(ROUND(R$6+IF(R$5=$C58,$E$5+$E58,0),2),ROUND(T57+S58,2)),0)</f>
        <v>0</v>
      </c>
      <c r="S58" s="24">
        <f>IF(T57&gt;0,ROUND(ROUND(T57*100,0)*ROUND(R$7*10000,0)/12000000,0)/100,0)</f>
        <v>0</v>
      </c>
      <c r="T58" s="24">
        <f>IF(T57&gt;0,ROUND(T57+S58-R58,2),0)</f>
        <v>0</v>
      </c>
      <c r="U58" s="24">
        <f>IF(W57&gt;0,MIN(ROUND(U$6+IF(U$5=$C58,$E$5+$E58,0),2),ROUND(W57+V58,2)),0)</f>
        <v>0</v>
      </c>
      <c r="V58" s="24">
        <f>IF(W57&gt;0,ROUND(ROUND(W57*100,0)*ROUND(U$7*10000,0)/12000000,0)/100,0)</f>
        <v>0</v>
      </c>
      <c r="W58" s="24">
        <f>IF(W57&gt;0,ROUND(W57+V58-U58,2),0)</f>
        <v>0</v>
      </c>
      <c r="X58" s="24">
        <f>IF(Z57&gt;0,MIN(ROUND(X$6+IF(X$5=$C58,$E$5+$E58,0),2),ROUND(Z57+Y58,2)),0)</f>
        <v>0</v>
      </c>
      <c r="Y58" s="24">
        <f>IF(Z57&gt;0,ROUND(ROUND(Z57*100,0)*ROUND(X$7*10000,0)/12000000,0)/100,0)</f>
        <v>0</v>
      </c>
      <c r="Z58" s="24">
        <f>IF(Z57&gt;0,ROUND(Z57+Y58-X58,2),0)</f>
        <v>0</v>
      </c>
      <c r="AA58" s="24">
        <f>IF(AC57&gt;0,MIN(ROUND(AA$6+IF(AA$5=$C58,$E$5+$E58,0),2),ROUND(AC57+AB58,2)),0)</f>
        <v>0</v>
      </c>
      <c r="AB58" s="24">
        <f>IF(AC57&gt;0,ROUND(ROUND(AC57*100,0)*ROUND(AA$7*10000,0)/12000000,0)/100,0)</f>
        <v>0</v>
      </c>
      <c r="AC58" s="24">
        <f>IF(AC57&gt;0,ROUND(AC57+AB58-AA58,2),0)</f>
        <v>0</v>
      </c>
      <c r="AD58" s="24">
        <f>IF(AF57&gt;0,MIN(ROUND(AD$6+IF(AD$5=$C58,$E$5+$E58,0),2),ROUND(AF57+AE58,2)),0)</f>
        <v>0</v>
      </c>
      <c r="AE58" s="24">
        <f>IF(AF57&gt;0,ROUND(ROUND(AF57*100,0)*ROUND(AD$7*10000,0)/12000000,0)/100,0)</f>
        <v>0</v>
      </c>
      <c r="AF58" s="24">
        <f>IF(AF57&gt;0,ROUND(AF57+AE58-AD58,2),0)</f>
        <v>0</v>
      </c>
      <c r="AG58" s="24">
        <f>IF(AI57&gt;0,MIN(ROUND(AG$6+IF(AG$5=$C58,$E$5+$E58,0),2),ROUND(AI57+AH58,2)),0)</f>
        <v>0</v>
      </c>
      <c r="AH58" s="24">
        <f>IF(AI57&gt;0,ROUND(ROUND(AI57*100,0)*ROUND(AG$7*10000,0)/12000000,0)/100,0)</f>
        <v>0</v>
      </c>
      <c r="AI58" s="24">
        <f>IF(AI57&gt;0,ROUND(AI57+AH58-AG58,2),0)</f>
        <v>0</v>
      </c>
      <c r="AJ58" s="24">
        <f>IF(AL57&gt;0,MIN(ROUND(AJ$6+IF(AJ$5=$C58,$E$5+$E58,0),2),ROUND(AL57+AK58,2)),0)</f>
        <v>0</v>
      </c>
      <c r="AK58" s="24">
        <f>IF(AL57&gt;0,ROUND(ROUND(AL57*100,0)*ROUND(AJ$7*10000,0)/12000000,0)/100,0)</f>
        <v>0</v>
      </c>
      <c r="AL58" s="24">
        <f>IF(AL57&gt;0,ROUND(AL57+AK58-AJ58,2),0)</f>
        <v>0</v>
      </c>
    </row>
    <row r="59" spans="1:38" x14ac:dyDescent="0.25">
      <c r="A59" s="17" t="str">
        <f>IF(F59&gt;0,49,"")</f>
        <v/>
      </c>
      <c r="B59" s="18" t="str">
        <f>IF(F59&gt;0,EDATE($E$6,49),"")</f>
        <v/>
      </c>
      <c r="C59" s="21">
        <f>IF(H58&gt;0,MIN(IF(K58&gt;0,I$5,99),IF(N58&gt;0,L$5,99),IF(Q58&gt;0,O$5,99),IF(T58&gt;0,R$5,99),IF(W58&gt;0,U$5,99),IF(Z58&gt;0,X$5,99),IF(AC58&gt;0,AA$5,99),IF(AF58&gt;0,AD$5,99),IF(AI58&gt;0,AG$5,99),IF(AL58&gt;0,AJ$5,99)),0)</f>
        <v>0</v>
      </c>
      <c r="D59" t="str">
        <f>IF(C59&gt;0,INDEX($I$4:$AL$4,1,MATCH(C59,$I$5:$AL$5,0)),"")</f>
        <v/>
      </c>
      <c r="E59" s="24">
        <f>ROUND(IF(AND(I$8&gt;0,K58=0),I$6,0)+IF(AND(L$8&gt;0,N58=0),L$6,0)+IF(AND(O$8&gt;0,Q58=0),O$6,0)+IF(AND(R$8&gt;0,T58=0),R$6,0)+IF(AND(U$8&gt;0,W58=0),U$6,0)+IF(AND(X$8&gt;0,Z58=0),X$6,0)+IF(AND(AA$8&gt;0,AC58=0),AA$6,0)+IF(AND(AD$8&gt;0,AF58=0),AD$6,0)+IF(AND(AG$8&gt;0,AI58=0),AG$6,0)+IF(AND(AJ$8&gt;0,AL58=0),AJ$6,0),2)</f>
        <v>330</v>
      </c>
      <c r="F59" s="24">
        <f>ROUND(I59+L59+O59+R59+U59+X59+AA59+AD59+AG59+AJ59,2)</f>
        <v>0</v>
      </c>
      <c r="G59" s="24">
        <f>ROUND(J59+M59+P59+S59+V59+Y59+AB59+AE59+AH59+AK59,2)</f>
        <v>0</v>
      </c>
      <c r="H59" s="24">
        <f>ROUND(K59+N59+Q59+T59+W59+Z59+AC59+AF59+AI59+AL59,2)</f>
        <v>0</v>
      </c>
      <c r="I59" s="24">
        <f>IF(K58&gt;0,MIN(ROUND(I$6+IF(I$5=$C59,$E$5+$E59,0),2),ROUND(K58+J59,2)),0)</f>
        <v>0</v>
      </c>
      <c r="J59" s="24">
        <f>IF(K58&gt;0,ROUND(ROUND(K58*100,0)*ROUND(I$7*10000,0)/12000000,0)/100,0)</f>
        <v>0</v>
      </c>
      <c r="K59" s="24">
        <f>IF(K58&gt;0,ROUND(K58+J59-I59,2),0)</f>
        <v>0</v>
      </c>
      <c r="L59" s="24">
        <f>IF(N58&gt;0,MIN(ROUND(L$6+IF(L$5=$C59,$E$5+$E59,0),2),ROUND(N58+M59,2)),0)</f>
        <v>0</v>
      </c>
      <c r="M59" s="24">
        <f>IF(N58&gt;0,ROUND(ROUND(N58*100,0)*ROUND(L$7*10000,0)/12000000,0)/100,0)</f>
        <v>0</v>
      </c>
      <c r="N59" s="24">
        <f>IF(N58&gt;0,ROUND(N58+M59-L59,2),0)</f>
        <v>0</v>
      </c>
      <c r="O59" s="24">
        <f>IF(Q58&gt;0,MIN(ROUND(O$6+IF(O$5=$C59,$E$5+$E59,0),2),ROUND(Q58+P59,2)),0)</f>
        <v>0</v>
      </c>
      <c r="P59" s="24">
        <f>IF(Q58&gt;0,ROUND(ROUND(Q58*100,0)*ROUND(O$7*10000,0)/12000000,0)/100,0)</f>
        <v>0</v>
      </c>
      <c r="Q59" s="24">
        <f>IF(Q58&gt;0,ROUND(Q58+P59-O59,2),0)</f>
        <v>0</v>
      </c>
      <c r="R59" s="24">
        <f>IF(T58&gt;0,MIN(ROUND(R$6+IF(R$5=$C59,$E$5+$E59,0),2),ROUND(T58+S59,2)),0)</f>
        <v>0</v>
      </c>
      <c r="S59" s="24">
        <f>IF(T58&gt;0,ROUND(ROUND(T58*100,0)*ROUND(R$7*10000,0)/12000000,0)/100,0)</f>
        <v>0</v>
      </c>
      <c r="T59" s="24">
        <f>IF(T58&gt;0,ROUND(T58+S59-R59,2),0)</f>
        <v>0</v>
      </c>
      <c r="U59" s="24">
        <f>IF(W58&gt;0,MIN(ROUND(U$6+IF(U$5=$C59,$E$5+$E59,0),2),ROUND(W58+V59,2)),0)</f>
        <v>0</v>
      </c>
      <c r="V59" s="24">
        <f>IF(W58&gt;0,ROUND(ROUND(W58*100,0)*ROUND(U$7*10000,0)/12000000,0)/100,0)</f>
        <v>0</v>
      </c>
      <c r="W59" s="24">
        <f>IF(W58&gt;0,ROUND(W58+V59-U59,2),0)</f>
        <v>0</v>
      </c>
      <c r="X59" s="24">
        <f>IF(Z58&gt;0,MIN(ROUND(X$6+IF(X$5=$C59,$E$5+$E59,0),2),ROUND(Z58+Y59,2)),0)</f>
        <v>0</v>
      </c>
      <c r="Y59" s="24">
        <f>IF(Z58&gt;0,ROUND(ROUND(Z58*100,0)*ROUND(X$7*10000,0)/12000000,0)/100,0)</f>
        <v>0</v>
      </c>
      <c r="Z59" s="24">
        <f>IF(Z58&gt;0,ROUND(Z58+Y59-X59,2),0)</f>
        <v>0</v>
      </c>
      <c r="AA59" s="24">
        <f>IF(AC58&gt;0,MIN(ROUND(AA$6+IF(AA$5=$C59,$E$5+$E59,0),2),ROUND(AC58+AB59,2)),0)</f>
        <v>0</v>
      </c>
      <c r="AB59" s="24">
        <f>IF(AC58&gt;0,ROUND(ROUND(AC58*100,0)*ROUND(AA$7*10000,0)/12000000,0)/100,0)</f>
        <v>0</v>
      </c>
      <c r="AC59" s="24">
        <f>IF(AC58&gt;0,ROUND(AC58+AB59-AA59,2),0)</f>
        <v>0</v>
      </c>
      <c r="AD59" s="24">
        <f>IF(AF58&gt;0,MIN(ROUND(AD$6+IF(AD$5=$C59,$E$5+$E59,0),2),ROUND(AF58+AE59,2)),0)</f>
        <v>0</v>
      </c>
      <c r="AE59" s="24">
        <f>IF(AF58&gt;0,ROUND(ROUND(AF58*100,0)*ROUND(AD$7*10000,0)/12000000,0)/100,0)</f>
        <v>0</v>
      </c>
      <c r="AF59" s="24">
        <f>IF(AF58&gt;0,ROUND(AF58+AE59-AD59,2),0)</f>
        <v>0</v>
      </c>
      <c r="AG59" s="24">
        <f>IF(AI58&gt;0,MIN(ROUND(AG$6+IF(AG$5=$C59,$E$5+$E59,0),2),ROUND(AI58+AH59,2)),0)</f>
        <v>0</v>
      </c>
      <c r="AH59" s="24">
        <f>IF(AI58&gt;0,ROUND(ROUND(AI58*100,0)*ROUND(AG$7*10000,0)/12000000,0)/100,0)</f>
        <v>0</v>
      </c>
      <c r="AI59" s="24">
        <f>IF(AI58&gt;0,ROUND(AI58+AH59-AG59,2),0)</f>
        <v>0</v>
      </c>
      <c r="AJ59" s="24">
        <f>IF(AL58&gt;0,MIN(ROUND(AJ$6+IF(AJ$5=$C59,$E$5+$E59,0),2),ROUND(AL58+AK59,2)),0)</f>
        <v>0</v>
      </c>
      <c r="AK59" s="24">
        <f>IF(AL58&gt;0,ROUND(ROUND(AL58*100,0)*ROUND(AJ$7*10000,0)/12000000,0)/100,0)</f>
        <v>0</v>
      </c>
      <c r="AL59" s="24">
        <f>IF(AL58&gt;0,ROUND(AL58+AK59-AJ59,2),0)</f>
        <v>0</v>
      </c>
    </row>
    <row r="60" spans="1:38" x14ac:dyDescent="0.25">
      <c r="A60" s="17" t="str">
        <f>IF(F60&gt;0,50,"")</f>
        <v/>
      </c>
      <c r="B60" s="18" t="str">
        <f>IF(F60&gt;0,EDATE($E$6,50),"")</f>
        <v/>
      </c>
      <c r="C60" s="21">
        <f>IF(H59&gt;0,MIN(IF(K59&gt;0,I$5,99),IF(N59&gt;0,L$5,99),IF(Q59&gt;0,O$5,99),IF(T59&gt;0,R$5,99),IF(W59&gt;0,U$5,99),IF(Z59&gt;0,X$5,99),IF(AC59&gt;0,AA$5,99),IF(AF59&gt;0,AD$5,99),IF(AI59&gt;0,AG$5,99),IF(AL59&gt;0,AJ$5,99)),0)</f>
        <v>0</v>
      </c>
      <c r="D60" t="str">
        <f>IF(C60&gt;0,INDEX($I$4:$AL$4,1,MATCH(C60,$I$5:$AL$5,0)),"")</f>
        <v/>
      </c>
      <c r="E60" s="24">
        <f>ROUND(IF(AND(I$8&gt;0,K59=0),I$6,0)+IF(AND(L$8&gt;0,N59=0),L$6,0)+IF(AND(O$8&gt;0,Q59=0),O$6,0)+IF(AND(R$8&gt;0,T59=0),R$6,0)+IF(AND(U$8&gt;0,W59=0),U$6,0)+IF(AND(X$8&gt;0,Z59=0),X$6,0)+IF(AND(AA$8&gt;0,AC59=0),AA$6,0)+IF(AND(AD$8&gt;0,AF59=0),AD$6,0)+IF(AND(AG$8&gt;0,AI59=0),AG$6,0)+IF(AND(AJ$8&gt;0,AL59=0),AJ$6,0),2)</f>
        <v>330</v>
      </c>
      <c r="F60" s="24">
        <f>ROUND(I60+L60+O60+R60+U60+X60+AA60+AD60+AG60+AJ60,2)</f>
        <v>0</v>
      </c>
      <c r="G60" s="24">
        <f>ROUND(J60+M60+P60+S60+V60+Y60+AB60+AE60+AH60+AK60,2)</f>
        <v>0</v>
      </c>
      <c r="H60" s="24">
        <f>ROUND(K60+N60+Q60+T60+W60+Z60+AC60+AF60+AI60+AL60,2)</f>
        <v>0</v>
      </c>
      <c r="I60" s="24">
        <f>IF(K59&gt;0,MIN(ROUND(I$6+IF(I$5=$C60,$E$5+$E60,0),2),ROUND(K59+J60,2)),0)</f>
        <v>0</v>
      </c>
      <c r="J60" s="24">
        <f>IF(K59&gt;0,ROUND(ROUND(K59*100,0)*ROUND(I$7*10000,0)/12000000,0)/100,0)</f>
        <v>0</v>
      </c>
      <c r="K60" s="24">
        <f>IF(K59&gt;0,ROUND(K59+J60-I60,2),0)</f>
        <v>0</v>
      </c>
      <c r="L60" s="24">
        <f>IF(N59&gt;0,MIN(ROUND(L$6+IF(L$5=$C60,$E$5+$E60,0),2),ROUND(N59+M60,2)),0)</f>
        <v>0</v>
      </c>
      <c r="M60" s="24">
        <f>IF(N59&gt;0,ROUND(ROUND(N59*100,0)*ROUND(L$7*10000,0)/12000000,0)/100,0)</f>
        <v>0</v>
      </c>
      <c r="N60" s="24">
        <f>IF(N59&gt;0,ROUND(N59+M60-L60,2),0)</f>
        <v>0</v>
      </c>
      <c r="O60" s="24">
        <f>IF(Q59&gt;0,MIN(ROUND(O$6+IF(O$5=$C60,$E$5+$E60,0),2),ROUND(Q59+P60,2)),0)</f>
        <v>0</v>
      </c>
      <c r="P60" s="24">
        <f>IF(Q59&gt;0,ROUND(ROUND(Q59*100,0)*ROUND(O$7*10000,0)/12000000,0)/100,0)</f>
        <v>0</v>
      </c>
      <c r="Q60" s="24">
        <f>IF(Q59&gt;0,ROUND(Q59+P60-O60,2),0)</f>
        <v>0</v>
      </c>
      <c r="R60" s="24">
        <f>IF(T59&gt;0,MIN(ROUND(R$6+IF(R$5=$C60,$E$5+$E60,0),2),ROUND(T59+S60,2)),0)</f>
        <v>0</v>
      </c>
      <c r="S60" s="24">
        <f>IF(T59&gt;0,ROUND(ROUND(T59*100,0)*ROUND(R$7*10000,0)/12000000,0)/100,0)</f>
        <v>0</v>
      </c>
      <c r="T60" s="24">
        <f>IF(T59&gt;0,ROUND(T59+S60-R60,2),0)</f>
        <v>0</v>
      </c>
      <c r="U60" s="24">
        <f>IF(W59&gt;0,MIN(ROUND(U$6+IF(U$5=$C60,$E$5+$E60,0),2),ROUND(W59+V60,2)),0)</f>
        <v>0</v>
      </c>
      <c r="V60" s="24">
        <f>IF(W59&gt;0,ROUND(ROUND(W59*100,0)*ROUND(U$7*10000,0)/12000000,0)/100,0)</f>
        <v>0</v>
      </c>
      <c r="W60" s="24">
        <f>IF(W59&gt;0,ROUND(W59+V60-U60,2),0)</f>
        <v>0</v>
      </c>
      <c r="X60" s="24">
        <f>IF(Z59&gt;0,MIN(ROUND(X$6+IF(X$5=$C60,$E$5+$E60,0),2),ROUND(Z59+Y60,2)),0)</f>
        <v>0</v>
      </c>
      <c r="Y60" s="24">
        <f>IF(Z59&gt;0,ROUND(ROUND(Z59*100,0)*ROUND(X$7*10000,0)/12000000,0)/100,0)</f>
        <v>0</v>
      </c>
      <c r="Z60" s="24">
        <f>IF(Z59&gt;0,ROUND(Z59+Y60-X60,2),0)</f>
        <v>0</v>
      </c>
      <c r="AA60" s="24">
        <f>IF(AC59&gt;0,MIN(ROUND(AA$6+IF(AA$5=$C60,$E$5+$E60,0),2),ROUND(AC59+AB60,2)),0)</f>
        <v>0</v>
      </c>
      <c r="AB60" s="24">
        <f>IF(AC59&gt;0,ROUND(ROUND(AC59*100,0)*ROUND(AA$7*10000,0)/12000000,0)/100,0)</f>
        <v>0</v>
      </c>
      <c r="AC60" s="24">
        <f>IF(AC59&gt;0,ROUND(AC59+AB60-AA60,2),0)</f>
        <v>0</v>
      </c>
      <c r="AD60" s="24">
        <f>IF(AF59&gt;0,MIN(ROUND(AD$6+IF(AD$5=$C60,$E$5+$E60,0),2),ROUND(AF59+AE60,2)),0)</f>
        <v>0</v>
      </c>
      <c r="AE60" s="24">
        <f>IF(AF59&gt;0,ROUND(ROUND(AF59*100,0)*ROUND(AD$7*10000,0)/12000000,0)/100,0)</f>
        <v>0</v>
      </c>
      <c r="AF60" s="24">
        <f>IF(AF59&gt;0,ROUND(AF59+AE60-AD60,2),0)</f>
        <v>0</v>
      </c>
      <c r="AG60" s="24">
        <f>IF(AI59&gt;0,MIN(ROUND(AG$6+IF(AG$5=$C60,$E$5+$E60,0),2),ROUND(AI59+AH60,2)),0)</f>
        <v>0</v>
      </c>
      <c r="AH60" s="24">
        <f>IF(AI59&gt;0,ROUND(ROUND(AI59*100,0)*ROUND(AG$7*10000,0)/12000000,0)/100,0)</f>
        <v>0</v>
      </c>
      <c r="AI60" s="24">
        <f>IF(AI59&gt;0,ROUND(AI59+AH60-AG60,2),0)</f>
        <v>0</v>
      </c>
      <c r="AJ60" s="24">
        <f>IF(AL59&gt;0,MIN(ROUND(AJ$6+IF(AJ$5=$C60,$E$5+$E60,0),2),ROUND(AL59+AK60,2)),0)</f>
        <v>0</v>
      </c>
      <c r="AK60" s="24">
        <f>IF(AL59&gt;0,ROUND(ROUND(AL59*100,0)*ROUND(AJ$7*10000,0)/12000000,0)/100,0)</f>
        <v>0</v>
      </c>
      <c r="AL60" s="24">
        <f>IF(AL59&gt;0,ROUND(AL59+AK60-AJ60,2),0)</f>
        <v>0</v>
      </c>
    </row>
    <row r="61" spans="1:38" x14ac:dyDescent="0.25">
      <c r="A61" s="17" t="str">
        <f>IF(F61&gt;0,51,"")</f>
        <v/>
      </c>
      <c r="B61" s="18" t="str">
        <f>IF(F61&gt;0,EDATE($E$6,51),"")</f>
        <v/>
      </c>
      <c r="C61" s="21">
        <f>IF(H60&gt;0,MIN(IF(K60&gt;0,I$5,99),IF(N60&gt;0,L$5,99),IF(Q60&gt;0,O$5,99),IF(T60&gt;0,R$5,99),IF(W60&gt;0,U$5,99),IF(Z60&gt;0,X$5,99),IF(AC60&gt;0,AA$5,99),IF(AF60&gt;0,AD$5,99),IF(AI60&gt;0,AG$5,99),IF(AL60&gt;0,AJ$5,99)),0)</f>
        <v>0</v>
      </c>
      <c r="D61" t="str">
        <f>IF(C61&gt;0,INDEX($I$4:$AL$4,1,MATCH(C61,$I$5:$AL$5,0)),"")</f>
        <v/>
      </c>
      <c r="E61" s="24">
        <f>ROUND(IF(AND(I$8&gt;0,K60=0),I$6,0)+IF(AND(L$8&gt;0,N60=0),L$6,0)+IF(AND(O$8&gt;0,Q60=0),O$6,0)+IF(AND(R$8&gt;0,T60=0),R$6,0)+IF(AND(U$8&gt;0,W60=0),U$6,0)+IF(AND(X$8&gt;0,Z60=0),X$6,0)+IF(AND(AA$8&gt;0,AC60=0),AA$6,0)+IF(AND(AD$8&gt;0,AF60=0),AD$6,0)+IF(AND(AG$8&gt;0,AI60=0),AG$6,0)+IF(AND(AJ$8&gt;0,AL60=0),AJ$6,0),2)</f>
        <v>330</v>
      </c>
      <c r="F61" s="24">
        <f>ROUND(I61+L61+O61+R61+U61+X61+AA61+AD61+AG61+AJ61,2)</f>
        <v>0</v>
      </c>
      <c r="G61" s="24">
        <f>ROUND(J61+M61+P61+S61+V61+Y61+AB61+AE61+AH61+AK61,2)</f>
        <v>0</v>
      </c>
      <c r="H61" s="24">
        <f>ROUND(K61+N61+Q61+T61+W61+Z61+AC61+AF61+AI61+AL61,2)</f>
        <v>0</v>
      </c>
      <c r="I61" s="24">
        <f>IF(K60&gt;0,MIN(ROUND(I$6+IF(I$5=$C61,$E$5+$E61,0),2),ROUND(K60+J61,2)),0)</f>
        <v>0</v>
      </c>
      <c r="J61" s="24">
        <f>IF(K60&gt;0,ROUND(ROUND(K60*100,0)*ROUND(I$7*10000,0)/12000000,0)/100,0)</f>
        <v>0</v>
      </c>
      <c r="K61" s="24">
        <f>IF(K60&gt;0,ROUND(K60+J61-I61,2),0)</f>
        <v>0</v>
      </c>
      <c r="L61" s="24">
        <f>IF(N60&gt;0,MIN(ROUND(L$6+IF(L$5=$C61,$E$5+$E61,0),2),ROUND(N60+M61,2)),0)</f>
        <v>0</v>
      </c>
      <c r="M61" s="24">
        <f>IF(N60&gt;0,ROUND(ROUND(N60*100,0)*ROUND(L$7*10000,0)/12000000,0)/100,0)</f>
        <v>0</v>
      </c>
      <c r="N61" s="24">
        <f>IF(N60&gt;0,ROUND(N60+M61-L61,2),0)</f>
        <v>0</v>
      </c>
      <c r="O61" s="24">
        <f>IF(Q60&gt;0,MIN(ROUND(O$6+IF(O$5=$C61,$E$5+$E61,0),2),ROUND(Q60+P61,2)),0)</f>
        <v>0</v>
      </c>
      <c r="P61" s="24">
        <f>IF(Q60&gt;0,ROUND(ROUND(Q60*100,0)*ROUND(O$7*10000,0)/12000000,0)/100,0)</f>
        <v>0</v>
      </c>
      <c r="Q61" s="24">
        <f>IF(Q60&gt;0,ROUND(Q60+P61-O61,2),0)</f>
        <v>0</v>
      </c>
      <c r="R61" s="24">
        <f>IF(T60&gt;0,MIN(ROUND(R$6+IF(R$5=$C61,$E$5+$E61,0),2),ROUND(T60+S61,2)),0)</f>
        <v>0</v>
      </c>
      <c r="S61" s="24">
        <f>IF(T60&gt;0,ROUND(ROUND(T60*100,0)*ROUND(R$7*10000,0)/12000000,0)/100,0)</f>
        <v>0</v>
      </c>
      <c r="T61" s="24">
        <f>IF(T60&gt;0,ROUND(T60+S61-R61,2),0)</f>
        <v>0</v>
      </c>
      <c r="U61" s="24">
        <f>IF(W60&gt;0,MIN(ROUND(U$6+IF(U$5=$C61,$E$5+$E61,0),2),ROUND(W60+V61,2)),0)</f>
        <v>0</v>
      </c>
      <c r="V61" s="24">
        <f>IF(W60&gt;0,ROUND(ROUND(W60*100,0)*ROUND(U$7*10000,0)/12000000,0)/100,0)</f>
        <v>0</v>
      </c>
      <c r="W61" s="24">
        <f>IF(W60&gt;0,ROUND(W60+V61-U61,2),0)</f>
        <v>0</v>
      </c>
      <c r="X61" s="24">
        <f>IF(Z60&gt;0,MIN(ROUND(X$6+IF(X$5=$C61,$E$5+$E61,0),2),ROUND(Z60+Y61,2)),0)</f>
        <v>0</v>
      </c>
      <c r="Y61" s="24">
        <f>IF(Z60&gt;0,ROUND(ROUND(Z60*100,0)*ROUND(X$7*10000,0)/12000000,0)/100,0)</f>
        <v>0</v>
      </c>
      <c r="Z61" s="24">
        <f>IF(Z60&gt;0,ROUND(Z60+Y61-X61,2),0)</f>
        <v>0</v>
      </c>
      <c r="AA61" s="24">
        <f>IF(AC60&gt;0,MIN(ROUND(AA$6+IF(AA$5=$C61,$E$5+$E61,0),2),ROUND(AC60+AB61,2)),0)</f>
        <v>0</v>
      </c>
      <c r="AB61" s="24">
        <f>IF(AC60&gt;0,ROUND(ROUND(AC60*100,0)*ROUND(AA$7*10000,0)/12000000,0)/100,0)</f>
        <v>0</v>
      </c>
      <c r="AC61" s="24">
        <f>IF(AC60&gt;0,ROUND(AC60+AB61-AA61,2),0)</f>
        <v>0</v>
      </c>
      <c r="AD61" s="24">
        <f>IF(AF60&gt;0,MIN(ROUND(AD$6+IF(AD$5=$C61,$E$5+$E61,0),2),ROUND(AF60+AE61,2)),0)</f>
        <v>0</v>
      </c>
      <c r="AE61" s="24">
        <f>IF(AF60&gt;0,ROUND(ROUND(AF60*100,0)*ROUND(AD$7*10000,0)/12000000,0)/100,0)</f>
        <v>0</v>
      </c>
      <c r="AF61" s="24">
        <f>IF(AF60&gt;0,ROUND(AF60+AE61-AD61,2),0)</f>
        <v>0</v>
      </c>
      <c r="AG61" s="24">
        <f>IF(AI60&gt;0,MIN(ROUND(AG$6+IF(AG$5=$C61,$E$5+$E61,0),2),ROUND(AI60+AH61,2)),0)</f>
        <v>0</v>
      </c>
      <c r="AH61" s="24">
        <f>IF(AI60&gt;0,ROUND(ROUND(AI60*100,0)*ROUND(AG$7*10000,0)/12000000,0)/100,0)</f>
        <v>0</v>
      </c>
      <c r="AI61" s="24">
        <f>IF(AI60&gt;0,ROUND(AI60+AH61-AG61,2),0)</f>
        <v>0</v>
      </c>
      <c r="AJ61" s="24">
        <f>IF(AL60&gt;0,MIN(ROUND(AJ$6+IF(AJ$5=$C61,$E$5+$E61,0),2),ROUND(AL60+AK61,2)),0)</f>
        <v>0</v>
      </c>
      <c r="AK61" s="24">
        <f>IF(AL60&gt;0,ROUND(ROUND(AL60*100,0)*ROUND(AJ$7*10000,0)/12000000,0)/100,0)</f>
        <v>0</v>
      </c>
      <c r="AL61" s="24">
        <f>IF(AL60&gt;0,ROUND(AL60+AK61-AJ61,2),0)</f>
        <v>0</v>
      </c>
    </row>
    <row r="62" spans="1:38" x14ac:dyDescent="0.25">
      <c r="A62" s="17" t="str">
        <f>IF(F62&gt;0,52,"")</f>
        <v/>
      </c>
      <c r="B62" s="18" t="str">
        <f>IF(F62&gt;0,EDATE($E$6,52),"")</f>
        <v/>
      </c>
      <c r="C62" s="21">
        <f>IF(H61&gt;0,MIN(IF(K61&gt;0,I$5,99),IF(N61&gt;0,L$5,99),IF(Q61&gt;0,O$5,99),IF(T61&gt;0,R$5,99),IF(W61&gt;0,U$5,99),IF(Z61&gt;0,X$5,99),IF(AC61&gt;0,AA$5,99),IF(AF61&gt;0,AD$5,99),IF(AI61&gt;0,AG$5,99),IF(AL61&gt;0,AJ$5,99)),0)</f>
        <v>0</v>
      </c>
      <c r="D62" t="str">
        <f>IF(C62&gt;0,INDEX($I$4:$AL$4,1,MATCH(C62,$I$5:$AL$5,0)),"")</f>
        <v/>
      </c>
      <c r="E62" s="24">
        <f>ROUND(IF(AND(I$8&gt;0,K61=0),I$6,0)+IF(AND(L$8&gt;0,N61=0),L$6,0)+IF(AND(O$8&gt;0,Q61=0),O$6,0)+IF(AND(R$8&gt;0,T61=0),R$6,0)+IF(AND(U$8&gt;0,W61=0),U$6,0)+IF(AND(X$8&gt;0,Z61=0),X$6,0)+IF(AND(AA$8&gt;0,AC61=0),AA$6,0)+IF(AND(AD$8&gt;0,AF61=0),AD$6,0)+IF(AND(AG$8&gt;0,AI61=0),AG$6,0)+IF(AND(AJ$8&gt;0,AL61=0),AJ$6,0),2)</f>
        <v>330</v>
      </c>
      <c r="F62" s="24">
        <f>ROUND(I62+L62+O62+R62+U62+X62+AA62+AD62+AG62+AJ62,2)</f>
        <v>0</v>
      </c>
      <c r="G62" s="24">
        <f>ROUND(J62+M62+P62+S62+V62+Y62+AB62+AE62+AH62+AK62,2)</f>
        <v>0</v>
      </c>
      <c r="H62" s="24">
        <f>ROUND(K62+N62+Q62+T62+W62+Z62+AC62+AF62+AI62+AL62,2)</f>
        <v>0</v>
      </c>
      <c r="I62" s="24">
        <f>IF(K61&gt;0,MIN(ROUND(I$6+IF(I$5=$C62,$E$5+$E62,0),2),ROUND(K61+J62,2)),0)</f>
        <v>0</v>
      </c>
      <c r="J62" s="24">
        <f>IF(K61&gt;0,ROUND(ROUND(K61*100,0)*ROUND(I$7*10000,0)/12000000,0)/100,0)</f>
        <v>0</v>
      </c>
      <c r="K62" s="24">
        <f>IF(K61&gt;0,ROUND(K61+J62-I62,2),0)</f>
        <v>0</v>
      </c>
      <c r="L62" s="24">
        <f>IF(N61&gt;0,MIN(ROUND(L$6+IF(L$5=$C62,$E$5+$E62,0),2),ROUND(N61+M62,2)),0)</f>
        <v>0</v>
      </c>
      <c r="M62" s="24">
        <f>IF(N61&gt;0,ROUND(ROUND(N61*100,0)*ROUND(L$7*10000,0)/12000000,0)/100,0)</f>
        <v>0</v>
      </c>
      <c r="N62" s="24">
        <f>IF(N61&gt;0,ROUND(N61+M62-L62,2),0)</f>
        <v>0</v>
      </c>
      <c r="O62" s="24">
        <f>IF(Q61&gt;0,MIN(ROUND(O$6+IF(O$5=$C62,$E$5+$E62,0),2),ROUND(Q61+P62,2)),0)</f>
        <v>0</v>
      </c>
      <c r="P62" s="24">
        <f>IF(Q61&gt;0,ROUND(ROUND(Q61*100,0)*ROUND(O$7*10000,0)/12000000,0)/100,0)</f>
        <v>0</v>
      </c>
      <c r="Q62" s="24">
        <f>IF(Q61&gt;0,ROUND(Q61+P62-O62,2),0)</f>
        <v>0</v>
      </c>
      <c r="R62" s="24">
        <f>IF(T61&gt;0,MIN(ROUND(R$6+IF(R$5=$C62,$E$5+$E62,0),2),ROUND(T61+S62,2)),0)</f>
        <v>0</v>
      </c>
      <c r="S62" s="24">
        <f>IF(T61&gt;0,ROUND(ROUND(T61*100,0)*ROUND(R$7*10000,0)/12000000,0)/100,0)</f>
        <v>0</v>
      </c>
      <c r="T62" s="24">
        <f>IF(T61&gt;0,ROUND(T61+S62-R62,2),0)</f>
        <v>0</v>
      </c>
      <c r="U62" s="24">
        <f>IF(W61&gt;0,MIN(ROUND(U$6+IF(U$5=$C62,$E$5+$E62,0),2),ROUND(W61+V62,2)),0)</f>
        <v>0</v>
      </c>
      <c r="V62" s="24">
        <f>IF(W61&gt;0,ROUND(ROUND(W61*100,0)*ROUND(U$7*10000,0)/12000000,0)/100,0)</f>
        <v>0</v>
      </c>
      <c r="W62" s="24">
        <f>IF(W61&gt;0,ROUND(W61+V62-U62,2),0)</f>
        <v>0</v>
      </c>
      <c r="X62" s="24">
        <f>IF(Z61&gt;0,MIN(ROUND(X$6+IF(X$5=$C62,$E$5+$E62,0),2),ROUND(Z61+Y62,2)),0)</f>
        <v>0</v>
      </c>
      <c r="Y62" s="24">
        <f>IF(Z61&gt;0,ROUND(ROUND(Z61*100,0)*ROUND(X$7*10000,0)/12000000,0)/100,0)</f>
        <v>0</v>
      </c>
      <c r="Z62" s="24">
        <f>IF(Z61&gt;0,ROUND(Z61+Y62-X62,2),0)</f>
        <v>0</v>
      </c>
      <c r="AA62" s="24">
        <f>IF(AC61&gt;0,MIN(ROUND(AA$6+IF(AA$5=$C62,$E$5+$E62,0),2),ROUND(AC61+AB62,2)),0)</f>
        <v>0</v>
      </c>
      <c r="AB62" s="24">
        <f>IF(AC61&gt;0,ROUND(ROUND(AC61*100,0)*ROUND(AA$7*10000,0)/12000000,0)/100,0)</f>
        <v>0</v>
      </c>
      <c r="AC62" s="24">
        <f>IF(AC61&gt;0,ROUND(AC61+AB62-AA62,2),0)</f>
        <v>0</v>
      </c>
      <c r="AD62" s="24">
        <f>IF(AF61&gt;0,MIN(ROUND(AD$6+IF(AD$5=$C62,$E$5+$E62,0),2),ROUND(AF61+AE62,2)),0)</f>
        <v>0</v>
      </c>
      <c r="AE62" s="24">
        <f>IF(AF61&gt;0,ROUND(ROUND(AF61*100,0)*ROUND(AD$7*10000,0)/12000000,0)/100,0)</f>
        <v>0</v>
      </c>
      <c r="AF62" s="24">
        <f>IF(AF61&gt;0,ROUND(AF61+AE62-AD62,2),0)</f>
        <v>0</v>
      </c>
      <c r="AG62" s="24">
        <f>IF(AI61&gt;0,MIN(ROUND(AG$6+IF(AG$5=$C62,$E$5+$E62,0),2),ROUND(AI61+AH62,2)),0)</f>
        <v>0</v>
      </c>
      <c r="AH62" s="24">
        <f>IF(AI61&gt;0,ROUND(ROUND(AI61*100,0)*ROUND(AG$7*10000,0)/12000000,0)/100,0)</f>
        <v>0</v>
      </c>
      <c r="AI62" s="24">
        <f>IF(AI61&gt;0,ROUND(AI61+AH62-AG62,2),0)</f>
        <v>0</v>
      </c>
      <c r="AJ62" s="24">
        <f>IF(AL61&gt;0,MIN(ROUND(AJ$6+IF(AJ$5=$C62,$E$5+$E62,0),2),ROUND(AL61+AK62,2)),0)</f>
        <v>0</v>
      </c>
      <c r="AK62" s="24">
        <f>IF(AL61&gt;0,ROUND(ROUND(AL61*100,0)*ROUND(AJ$7*10000,0)/12000000,0)/100,0)</f>
        <v>0</v>
      </c>
      <c r="AL62" s="24">
        <f>IF(AL61&gt;0,ROUND(AL61+AK62-AJ62,2),0)</f>
        <v>0</v>
      </c>
    </row>
    <row r="63" spans="1:38" x14ac:dyDescent="0.25">
      <c r="A63" s="17" t="str">
        <f>IF(F63&gt;0,53,"")</f>
        <v/>
      </c>
      <c r="B63" s="18" t="str">
        <f>IF(F63&gt;0,EDATE($E$6,53),"")</f>
        <v/>
      </c>
      <c r="C63" s="21">
        <f>IF(H62&gt;0,MIN(IF(K62&gt;0,I$5,99),IF(N62&gt;0,L$5,99),IF(Q62&gt;0,O$5,99),IF(T62&gt;0,R$5,99),IF(W62&gt;0,U$5,99),IF(Z62&gt;0,X$5,99),IF(AC62&gt;0,AA$5,99),IF(AF62&gt;0,AD$5,99),IF(AI62&gt;0,AG$5,99),IF(AL62&gt;0,AJ$5,99)),0)</f>
        <v>0</v>
      </c>
      <c r="D63" t="str">
        <f>IF(C63&gt;0,INDEX($I$4:$AL$4,1,MATCH(C63,$I$5:$AL$5,0)),"")</f>
        <v/>
      </c>
      <c r="E63" s="24">
        <f>ROUND(IF(AND(I$8&gt;0,K62=0),I$6,0)+IF(AND(L$8&gt;0,N62=0),L$6,0)+IF(AND(O$8&gt;0,Q62=0),O$6,0)+IF(AND(R$8&gt;0,T62=0),R$6,0)+IF(AND(U$8&gt;0,W62=0),U$6,0)+IF(AND(X$8&gt;0,Z62=0),X$6,0)+IF(AND(AA$8&gt;0,AC62=0),AA$6,0)+IF(AND(AD$8&gt;0,AF62=0),AD$6,0)+IF(AND(AG$8&gt;0,AI62=0),AG$6,0)+IF(AND(AJ$8&gt;0,AL62=0),AJ$6,0),2)</f>
        <v>330</v>
      </c>
      <c r="F63" s="24">
        <f>ROUND(I63+L63+O63+R63+U63+X63+AA63+AD63+AG63+AJ63,2)</f>
        <v>0</v>
      </c>
      <c r="G63" s="24">
        <f>ROUND(J63+M63+P63+S63+V63+Y63+AB63+AE63+AH63+AK63,2)</f>
        <v>0</v>
      </c>
      <c r="H63" s="24">
        <f>ROUND(K63+N63+Q63+T63+W63+Z63+AC63+AF63+AI63+AL63,2)</f>
        <v>0</v>
      </c>
      <c r="I63" s="24">
        <f>IF(K62&gt;0,MIN(ROUND(I$6+IF(I$5=$C63,$E$5+$E63,0),2),ROUND(K62+J63,2)),0)</f>
        <v>0</v>
      </c>
      <c r="J63" s="24">
        <f>IF(K62&gt;0,ROUND(ROUND(K62*100,0)*ROUND(I$7*10000,0)/12000000,0)/100,0)</f>
        <v>0</v>
      </c>
      <c r="K63" s="24">
        <f>IF(K62&gt;0,ROUND(K62+J63-I63,2),0)</f>
        <v>0</v>
      </c>
      <c r="L63" s="24">
        <f>IF(N62&gt;0,MIN(ROUND(L$6+IF(L$5=$C63,$E$5+$E63,0),2),ROUND(N62+M63,2)),0)</f>
        <v>0</v>
      </c>
      <c r="M63" s="24">
        <f>IF(N62&gt;0,ROUND(ROUND(N62*100,0)*ROUND(L$7*10000,0)/12000000,0)/100,0)</f>
        <v>0</v>
      </c>
      <c r="N63" s="24">
        <f>IF(N62&gt;0,ROUND(N62+M63-L63,2),0)</f>
        <v>0</v>
      </c>
      <c r="O63" s="24">
        <f>IF(Q62&gt;0,MIN(ROUND(O$6+IF(O$5=$C63,$E$5+$E63,0),2),ROUND(Q62+P63,2)),0)</f>
        <v>0</v>
      </c>
      <c r="P63" s="24">
        <f>IF(Q62&gt;0,ROUND(ROUND(Q62*100,0)*ROUND(O$7*10000,0)/12000000,0)/100,0)</f>
        <v>0</v>
      </c>
      <c r="Q63" s="24">
        <f>IF(Q62&gt;0,ROUND(Q62+P63-O63,2),0)</f>
        <v>0</v>
      </c>
      <c r="R63" s="24">
        <f>IF(T62&gt;0,MIN(ROUND(R$6+IF(R$5=$C63,$E$5+$E63,0),2),ROUND(T62+S63,2)),0)</f>
        <v>0</v>
      </c>
      <c r="S63" s="24">
        <f>IF(T62&gt;0,ROUND(ROUND(T62*100,0)*ROUND(R$7*10000,0)/12000000,0)/100,0)</f>
        <v>0</v>
      </c>
      <c r="T63" s="24">
        <f>IF(T62&gt;0,ROUND(T62+S63-R63,2),0)</f>
        <v>0</v>
      </c>
      <c r="U63" s="24">
        <f>IF(W62&gt;0,MIN(ROUND(U$6+IF(U$5=$C63,$E$5+$E63,0),2),ROUND(W62+V63,2)),0)</f>
        <v>0</v>
      </c>
      <c r="V63" s="24">
        <f>IF(W62&gt;0,ROUND(ROUND(W62*100,0)*ROUND(U$7*10000,0)/12000000,0)/100,0)</f>
        <v>0</v>
      </c>
      <c r="W63" s="24">
        <f>IF(W62&gt;0,ROUND(W62+V63-U63,2),0)</f>
        <v>0</v>
      </c>
      <c r="X63" s="24">
        <f>IF(Z62&gt;0,MIN(ROUND(X$6+IF(X$5=$C63,$E$5+$E63,0),2),ROUND(Z62+Y63,2)),0)</f>
        <v>0</v>
      </c>
      <c r="Y63" s="24">
        <f>IF(Z62&gt;0,ROUND(ROUND(Z62*100,0)*ROUND(X$7*10000,0)/12000000,0)/100,0)</f>
        <v>0</v>
      </c>
      <c r="Z63" s="24">
        <f>IF(Z62&gt;0,ROUND(Z62+Y63-X63,2),0)</f>
        <v>0</v>
      </c>
      <c r="AA63" s="24">
        <f>IF(AC62&gt;0,MIN(ROUND(AA$6+IF(AA$5=$C63,$E$5+$E63,0),2),ROUND(AC62+AB63,2)),0)</f>
        <v>0</v>
      </c>
      <c r="AB63" s="24">
        <f>IF(AC62&gt;0,ROUND(ROUND(AC62*100,0)*ROUND(AA$7*10000,0)/12000000,0)/100,0)</f>
        <v>0</v>
      </c>
      <c r="AC63" s="24">
        <f>IF(AC62&gt;0,ROUND(AC62+AB63-AA63,2),0)</f>
        <v>0</v>
      </c>
      <c r="AD63" s="24">
        <f>IF(AF62&gt;0,MIN(ROUND(AD$6+IF(AD$5=$C63,$E$5+$E63,0),2),ROUND(AF62+AE63,2)),0)</f>
        <v>0</v>
      </c>
      <c r="AE63" s="24">
        <f>IF(AF62&gt;0,ROUND(ROUND(AF62*100,0)*ROUND(AD$7*10000,0)/12000000,0)/100,0)</f>
        <v>0</v>
      </c>
      <c r="AF63" s="24">
        <f>IF(AF62&gt;0,ROUND(AF62+AE63-AD63,2),0)</f>
        <v>0</v>
      </c>
      <c r="AG63" s="24">
        <f>IF(AI62&gt;0,MIN(ROUND(AG$6+IF(AG$5=$C63,$E$5+$E63,0),2),ROUND(AI62+AH63,2)),0)</f>
        <v>0</v>
      </c>
      <c r="AH63" s="24">
        <f>IF(AI62&gt;0,ROUND(ROUND(AI62*100,0)*ROUND(AG$7*10000,0)/12000000,0)/100,0)</f>
        <v>0</v>
      </c>
      <c r="AI63" s="24">
        <f>IF(AI62&gt;0,ROUND(AI62+AH63-AG63,2),0)</f>
        <v>0</v>
      </c>
      <c r="AJ63" s="24">
        <f>IF(AL62&gt;0,MIN(ROUND(AJ$6+IF(AJ$5=$C63,$E$5+$E63,0),2),ROUND(AL62+AK63,2)),0)</f>
        <v>0</v>
      </c>
      <c r="AK63" s="24">
        <f>IF(AL62&gt;0,ROUND(ROUND(AL62*100,0)*ROUND(AJ$7*10000,0)/12000000,0)/100,0)</f>
        <v>0</v>
      </c>
      <c r="AL63" s="24">
        <f>IF(AL62&gt;0,ROUND(AL62+AK63-AJ63,2),0)</f>
        <v>0</v>
      </c>
    </row>
    <row r="64" spans="1:38" x14ac:dyDescent="0.25">
      <c r="A64" s="17" t="str">
        <f>IF(F64&gt;0,54,"")</f>
        <v/>
      </c>
      <c r="B64" s="18" t="str">
        <f>IF(F64&gt;0,EDATE($E$6,54),"")</f>
        <v/>
      </c>
      <c r="C64" s="21">
        <f>IF(H63&gt;0,MIN(IF(K63&gt;0,I$5,99),IF(N63&gt;0,L$5,99),IF(Q63&gt;0,O$5,99),IF(T63&gt;0,R$5,99),IF(W63&gt;0,U$5,99),IF(Z63&gt;0,X$5,99),IF(AC63&gt;0,AA$5,99),IF(AF63&gt;0,AD$5,99),IF(AI63&gt;0,AG$5,99),IF(AL63&gt;0,AJ$5,99)),0)</f>
        <v>0</v>
      </c>
      <c r="D64" t="str">
        <f>IF(C64&gt;0,INDEX($I$4:$AL$4,1,MATCH(C64,$I$5:$AL$5,0)),"")</f>
        <v/>
      </c>
      <c r="E64" s="24">
        <f>ROUND(IF(AND(I$8&gt;0,K63=0),I$6,0)+IF(AND(L$8&gt;0,N63=0),L$6,0)+IF(AND(O$8&gt;0,Q63=0),O$6,0)+IF(AND(R$8&gt;0,T63=0),R$6,0)+IF(AND(U$8&gt;0,W63=0),U$6,0)+IF(AND(X$8&gt;0,Z63=0),X$6,0)+IF(AND(AA$8&gt;0,AC63=0),AA$6,0)+IF(AND(AD$8&gt;0,AF63=0),AD$6,0)+IF(AND(AG$8&gt;0,AI63=0),AG$6,0)+IF(AND(AJ$8&gt;0,AL63=0),AJ$6,0),2)</f>
        <v>330</v>
      </c>
      <c r="F64" s="24">
        <f>ROUND(I64+L64+O64+R64+U64+X64+AA64+AD64+AG64+AJ64,2)</f>
        <v>0</v>
      </c>
      <c r="G64" s="24">
        <f>ROUND(J64+M64+P64+S64+V64+Y64+AB64+AE64+AH64+AK64,2)</f>
        <v>0</v>
      </c>
      <c r="H64" s="24">
        <f>ROUND(K64+N64+Q64+T64+W64+Z64+AC64+AF64+AI64+AL64,2)</f>
        <v>0</v>
      </c>
      <c r="I64" s="24">
        <f>IF(K63&gt;0,MIN(ROUND(I$6+IF(I$5=$C64,$E$5+$E64,0),2),ROUND(K63+J64,2)),0)</f>
        <v>0</v>
      </c>
      <c r="J64" s="24">
        <f>IF(K63&gt;0,ROUND(ROUND(K63*100,0)*ROUND(I$7*10000,0)/12000000,0)/100,0)</f>
        <v>0</v>
      </c>
      <c r="K64" s="24">
        <f>IF(K63&gt;0,ROUND(K63+J64-I64,2),0)</f>
        <v>0</v>
      </c>
      <c r="L64" s="24">
        <f>IF(N63&gt;0,MIN(ROUND(L$6+IF(L$5=$C64,$E$5+$E64,0),2),ROUND(N63+M64,2)),0)</f>
        <v>0</v>
      </c>
      <c r="M64" s="24">
        <f>IF(N63&gt;0,ROUND(ROUND(N63*100,0)*ROUND(L$7*10000,0)/12000000,0)/100,0)</f>
        <v>0</v>
      </c>
      <c r="N64" s="24">
        <f>IF(N63&gt;0,ROUND(N63+M64-L64,2),0)</f>
        <v>0</v>
      </c>
      <c r="O64" s="24">
        <f>IF(Q63&gt;0,MIN(ROUND(O$6+IF(O$5=$C64,$E$5+$E64,0),2),ROUND(Q63+P64,2)),0)</f>
        <v>0</v>
      </c>
      <c r="P64" s="24">
        <f>IF(Q63&gt;0,ROUND(ROUND(Q63*100,0)*ROUND(O$7*10000,0)/12000000,0)/100,0)</f>
        <v>0</v>
      </c>
      <c r="Q64" s="24">
        <f>IF(Q63&gt;0,ROUND(Q63+P64-O64,2),0)</f>
        <v>0</v>
      </c>
      <c r="R64" s="24">
        <f>IF(T63&gt;0,MIN(ROUND(R$6+IF(R$5=$C64,$E$5+$E64,0),2),ROUND(T63+S64,2)),0)</f>
        <v>0</v>
      </c>
      <c r="S64" s="24">
        <f>IF(T63&gt;0,ROUND(ROUND(T63*100,0)*ROUND(R$7*10000,0)/12000000,0)/100,0)</f>
        <v>0</v>
      </c>
      <c r="T64" s="24">
        <f>IF(T63&gt;0,ROUND(T63+S64-R64,2),0)</f>
        <v>0</v>
      </c>
      <c r="U64" s="24">
        <f>IF(W63&gt;0,MIN(ROUND(U$6+IF(U$5=$C64,$E$5+$E64,0),2),ROUND(W63+V64,2)),0)</f>
        <v>0</v>
      </c>
      <c r="V64" s="24">
        <f>IF(W63&gt;0,ROUND(ROUND(W63*100,0)*ROUND(U$7*10000,0)/12000000,0)/100,0)</f>
        <v>0</v>
      </c>
      <c r="W64" s="24">
        <f>IF(W63&gt;0,ROUND(W63+V64-U64,2),0)</f>
        <v>0</v>
      </c>
      <c r="X64" s="24">
        <f>IF(Z63&gt;0,MIN(ROUND(X$6+IF(X$5=$C64,$E$5+$E64,0),2),ROUND(Z63+Y64,2)),0)</f>
        <v>0</v>
      </c>
      <c r="Y64" s="24">
        <f>IF(Z63&gt;0,ROUND(ROUND(Z63*100,0)*ROUND(X$7*10000,0)/12000000,0)/100,0)</f>
        <v>0</v>
      </c>
      <c r="Z64" s="24">
        <f>IF(Z63&gt;0,ROUND(Z63+Y64-X64,2),0)</f>
        <v>0</v>
      </c>
      <c r="AA64" s="24">
        <f>IF(AC63&gt;0,MIN(ROUND(AA$6+IF(AA$5=$C64,$E$5+$E64,0),2),ROUND(AC63+AB64,2)),0)</f>
        <v>0</v>
      </c>
      <c r="AB64" s="24">
        <f>IF(AC63&gt;0,ROUND(ROUND(AC63*100,0)*ROUND(AA$7*10000,0)/12000000,0)/100,0)</f>
        <v>0</v>
      </c>
      <c r="AC64" s="24">
        <f>IF(AC63&gt;0,ROUND(AC63+AB64-AA64,2),0)</f>
        <v>0</v>
      </c>
      <c r="AD64" s="24">
        <f>IF(AF63&gt;0,MIN(ROUND(AD$6+IF(AD$5=$C64,$E$5+$E64,0),2),ROUND(AF63+AE64,2)),0)</f>
        <v>0</v>
      </c>
      <c r="AE64" s="24">
        <f>IF(AF63&gt;0,ROUND(ROUND(AF63*100,0)*ROUND(AD$7*10000,0)/12000000,0)/100,0)</f>
        <v>0</v>
      </c>
      <c r="AF64" s="24">
        <f>IF(AF63&gt;0,ROUND(AF63+AE64-AD64,2),0)</f>
        <v>0</v>
      </c>
      <c r="AG64" s="24">
        <f>IF(AI63&gt;0,MIN(ROUND(AG$6+IF(AG$5=$C64,$E$5+$E64,0),2),ROUND(AI63+AH64,2)),0)</f>
        <v>0</v>
      </c>
      <c r="AH64" s="24">
        <f>IF(AI63&gt;0,ROUND(ROUND(AI63*100,0)*ROUND(AG$7*10000,0)/12000000,0)/100,0)</f>
        <v>0</v>
      </c>
      <c r="AI64" s="24">
        <f>IF(AI63&gt;0,ROUND(AI63+AH64-AG64,2),0)</f>
        <v>0</v>
      </c>
      <c r="AJ64" s="24">
        <f>IF(AL63&gt;0,MIN(ROUND(AJ$6+IF(AJ$5=$C64,$E$5+$E64,0),2),ROUND(AL63+AK64,2)),0)</f>
        <v>0</v>
      </c>
      <c r="AK64" s="24">
        <f>IF(AL63&gt;0,ROUND(ROUND(AL63*100,0)*ROUND(AJ$7*10000,0)/12000000,0)/100,0)</f>
        <v>0</v>
      </c>
      <c r="AL64" s="24">
        <f>IF(AL63&gt;0,ROUND(AL63+AK64-AJ64,2),0)</f>
        <v>0</v>
      </c>
    </row>
    <row r="65" spans="1:38" x14ac:dyDescent="0.25">
      <c r="A65" s="17" t="str">
        <f>IF(F65&gt;0,55,"")</f>
        <v/>
      </c>
      <c r="B65" s="18" t="str">
        <f>IF(F65&gt;0,EDATE($E$6,55),"")</f>
        <v/>
      </c>
      <c r="C65" s="21">
        <f>IF(H64&gt;0,MIN(IF(K64&gt;0,I$5,99),IF(N64&gt;0,L$5,99),IF(Q64&gt;0,O$5,99),IF(T64&gt;0,R$5,99),IF(W64&gt;0,U$5,99),IF(Z64&gt;0,X$5,99),IF(AC64&gt;0,AA$5,99),IF(AF64&gt;0,AD$5,99),IF(AI64&gt;0,AG$5,99),IF(AL64&gt;0,AJ$5,99)),0)</f>
        <v>0</v>
      </c>
      <c r="D65" t="str">
        <f>IF(C65&gt;0,INDEX($I$4:$AL$4,1,MATCH(C65,$I$5:$AL$5,0)),"")</f>
        <v/>
      </c>
      <c r="E65" s="24">
        <f>ROUND(IF(AND(I$8&gt;0,K64=0),I$6,0)+IF(AND(L$8&gt;0,N64=0),L$6,0)+IF(AND(O$8&gt;0,Q64=0),O$6,0)+IF(AND(R$8&gt;0,T64=0),R$6,0)+IF(AND(U$8&gt;0,W64=0),U$6,0)+IF(AND(X$8&gt;0,Z64=0),X$6,0)+IF(AND(AA$8&gt;0,AC64=0),AA$6,0)+IF(AND(AD$8&gt;0,AF64=0),AD$6,0)+IF(AND(AG$8&gt;0,AI64=0),AG$6,0)+IF(AND(AJ$8&gt;0,AL64=0),AJ$6,0),2)</f>
        <v>330</v>
      </c>
      <c r="F65" s="24">
        <f>ROUND(I65+L65+O65+R65+U65+X65+AA65+AD65+AG65+AJ65,2)</f>
        <v>0</v>
      </c>
      <c r="G65" s="24">
        <f>ROUND(J65+M65+P65+S65+V65+Y65+AB65+AE65+AH65+AK65,2)</f>
        <v>0</v>
      </c>
      <c r="H65" s="24">
        <f>ROUND(K65+N65+Q65+T65+W65+Z65+AC65+AF65+AI65+AL65,2)</f>
        <v>0</v>
      </c>
      <c r="I65" s="24">
        <f>IF(K64&gt;0,MIN(ROUND(I$6+IF(I$5=$C65,$E$5+$E65,0),2),ROUND(K64+J65,2)),0)</f>
        <v>0</v>
      </c>
      <c r="J65" s="24">
        <f>IF(K64&gt;0,ROUND(ROUND(K64*100,0)*ROUND(I$7*10000,0)/12000000,0)/100,0)</f>
        <v>0</v>
      </c>
      <c r="K65" s="24">
        <f>IF(K64&gt;0,ROUND(K64+J65-I65,2),0)</f>
        <v>0</v>
      </c>
      <c r="L65" s="24">
        <f>IF(N64&gt;0,MIN(ROUND(L$6+IF(L$5=$C65,$E$5+$E65,0),2),ROUND(N64+M65,2)),0)</f>
        <v>0</v>
      </c>
      <c r="M65" s="24">
        <f>IF(N64&gt;0,ROUND(ROUND(N64*100,0)*ROUND(L$7*10000,0)/12000000,0)/100,0)</f>
        <v>0</v>
      </c>
      <c r="N65" s="24">
        <f>IF(N64&gt;0,ROUND(N64+M65-L65,2),0)</f>
        <v>0</v>
      </c>
      <c r="O65" s="24">
        <f>IF(Q64&gt;0,MIN(ROUND(O$6+IF(O$5=$C65,$E$5+$E65,0),2),ROUND(Q64+P65,2)),0)</f>
        <v>0</v>
      </c>
      <c r="P65" s="24">
        <f>IF(Q64&gt;0,ROUND(ROUND(Q64*100,0)*ROUND(O$7*10000,0)/12000000,0)/100,0)</f>
        <v>0</v>
      </c>
      <c r="Q65" s="24">
        <f>IF(Q64&gt;0,ROUND(Q64+P65-O65,2),0)</f>
        <v>0</v>
      </c>
      <c r="R65" s="24">
        <f>IF(T64&gt;0,MIN(ROUND(R$6+IF(R$5=$C65,$E$5+$E65,0),2),ROUND(T64+S65,2)),0)</f>
        <v>0</v>
      </c>
      <c r="S65" s="24">
        <f>IF(T64&gt;0,ROUND(ROUND(T64*100,0)*ROUND(R$7*10000,0)/12000000,0)/100,0)</f>
        <v>0</v>
      </c>
      <c r="T65" s="24">
        <f>IF(T64&gt;0,ROUND(T64+S65-R65,2),0)</f>
        <v>0</v>
      </c>
      <c r="U65" s="24">
        <f>IF(W64&gt;0,MIN(ROUND(U$6+IF(U$5=$C65,$E$5+$E65,0),2),ROUND(W64+V65,2)),0)</f>
        <v>0</v>
      </c>
      <c r="V65" s="24">
        <f>IF(W64&gt;0,ROUND(ROUND(W64*100,0)*ROUND(U$7*10000,0)/12000000,0)/100,0)</f>
        <v>0</v>
      </c>
      <c r="W65" s="24">
        <f>IF(W64&gt;0,ROUND(W64+V65-U65,2),0)</f>
        <v>0</v>
      </c>
      <c r="X65" s="24">
        <f>IF(Z64&gt;0,MIN(ROUND(X$6+IF(X$5=$C65,$E$5+$E65,0),2),ROUND(Z64+Y65,2)),0)</f>
        <v>0</v>
      </c>
      <c r="Y65" s="24">
        <f>IF(Z64&gt;0,ROUND(ROUND(Z64*100,0)*ROUND(X$7*10000,0)/12000000,0)/100,0)</f>
        <v>0</v>
      </c>
      <c r="Z65" s="24">
        <f>IF(Z64&gt;0,ROUND(Z64+Y65-X65,2),0)</f>
        <v>0</v>
      </c>
      <c r="AA65" s="24">
        <f>IF(AC64&gt;0,MIN(ROUND(AA$6+IF(AA$5=$C65,$E$5+$E65,0),2),ROUND(AC64+AB65,2)),0)</f>
        <v>0</v>
      </c>
      <c r="AB65" s="24">
        <f>IF(AC64&gt;0,ROUND(ROUND(AC64*100,0)*ROUND(AA$7*10000,0)/12000000,0)/100,0)</f>
        <v>0</v>
      </c>
      <c r="AC65" s="24">
        <f>IF(AC64&gt;0,ROUND(AC64+AB65-AA65,2),0)</f>
        <v>0</v>
      </c>
      <c r="AD65" s="24">
        <f>IF(AF64&gt;0,MIN(ROUND(AD$6+IF(AD$5=$C65,$E$5+$E65,0),2),ROUND(AF64+AE65,2)),0)</f>
        <v>0</v>
      </c>
      <c r="AE65" s="24">
        <f>IF(AF64&gt;0,ROUND(ROUND(AF64*100,0)*ROUND(AD$7*10000,0)/12000000,0)/100,0)</f>
        <v>0</v>
      </c>
      <c r="AF65" s="24">
        <f>IF(AF64&gt;0,ROUND(AF64+AE65-AD65,2),0)</f>
        <v>0</v>
      </c>
      <c r="AG65" s="24">
        <f>IF(AI64&gt;0,MIN(ROUND(AG$6+IF(AG$5=$C65,$E$5+$E65,0),2),ROUND(AI64+AH65,2)),0)</f>
        <v>0</v>
      </c>
      <c r="AH65" s="24">
        <f>IF(AI64&gt;0,ROUND(ROUND(AI64*100,0)*ROUND(AG$7*10000,0)/12000000,0)/100,0)</f>
        <v>0</v>
      </c>
      <c r="AI65" s="24">
        <f>IF(AI64&gt;0,ROUND(AI64+AH65-AG65,2),0)</f>
        <v>0</v>
      </c>
      <c r="AJ65" s="24">
        <f>IF(AL64&gt;0,MIN(ROUND(AJ$6+IF(AJ$5=$C65,$E$5+$E65,0),2),ROUND(AL64+AK65,2)),0)</f>
        <v>0</v>
      </c>
      <c r="AK65" s="24">
        <f>IF(AL64&gt;0,ROUND(ROUND(AL64*100,0)*ROUND(AJ$7*10000,0)/12000000,0)/100,0)</f>
        <v>0</v>
      </c>
      <c r="AL65" s="24">
        <f>IF(AL64&gt;0,ROUND(AL64+AK65-AJ65,2),0)</f>
        <v>0</v>
      </c>
    </row>
    <row r="66" spans="1:38" x14ac:dyDescent="0.25">
      <c r="A66" s="17" t="str">
        <f>IF(F66&gt;0,56,"")</f>
        <v/>
      </c>
      <c r="B66" s="18" t="str">
        <f>IF(F66&gt;0,EDATE($E$6,56),"")</f>
        <v/>
      </c>
      <c r="C66" s="21">
        <f>IF(H65&gt;0,MIN(IF(K65&gt;0,I$5,99),IF(N65&gt;0,L$5,99),IF(Q65&gt;0,O$5,99),IF(T65&gt;0,R$5,99),IF(W65&gt;0,U$5,99),IF(Z65&gt;0,X$5,99),IF(AC65&gt;0,AA$5,99),IF(AF65&gt;0,AD$5,99),IF(AI65&gt;0,AG$5,99),IF(AL65&gt;0,AJ$5,99)),0)</f>
        <v>0</v>
      </c>
      <c r="D66" t="str">
        <f>IF(C66&gt;0,INDEX($I$4:$AL$4,1,MATCH(C66,$I$5:$AL$5,0)),"")</f>
        <v/>
      </c>
      <c r="E66" s="24">
        <f>ROUND(IF(AND(I$8&gt;0,K65=0),I$6,0)+IF(AND(L$8&gt;0,N65=0),L$6,0)+IF(AND(O$8&gt;0,Q65=0),O$6,0)+IF(AND(R$8&gt;0,T65=0),R$6,0)+IF(AND(U$8&gt;0,W65=0),U$6,0)+IF(AND(X$8&gt;0,Z65=0),X$6,0)+IF(AND(AA$8&gt;0,AC65=0),AA$6,0)+IF(AND(AD$8&gt;0,AF65=0),AD$6,0)+IF(AND(AG$8&gt;0,AI65=0),AG$6,0)+IF(AND(AJ$8&gt;0,AL65=0),AJ$6,0),2)</f>
        <v>330</v>
      </c>
      <c r="F66" s="24">
        <f>ROUND(I66+L66+O66+R66+U66+X66+AA66+AD66+AG66+AJ66,2)</f>
        <v>0</v>
      </c>
      <c r="G66" s="24">
        <f>ROUND(J66+M66+P66+S66+V66+Y66+AB66+AE66+AH66+AK66,2)</f>
        <v>0</v>
      </c>
      <c r="H66" s="24">
        <f>ROUND(K66+N66+Q66+T66+W66+Z66+AC66+AF66+AI66+AL66,2)</f>
        <v>0</v>
      </c>
      <c r="I66" s="24">
        <f>IF(K65&gt;0,MIN(ROUND(I$6+IF(I$5=$C66,$E$5+$E66,0),2),ROUND(K65+J66,2)),0)</f>
        <v>0</v>
      </c>
      <c r="J66" s="24">
        <f>IF(K65&gt;0,ROUND(ROUND(K65*100,0)*ROUND(I$7*10000,0)/12000000,0)/100,0)</f>
        <v>0</v>
      </c>
      <c r="K66" s="24">
        <f>IF(K65&gt;0,ROUND(K65+J66-I66,2),0)</f>
        <v>0</v>
      </c>
      <c r="L66" s="24">
        <f>IF(N65&gt;0,MIN(ROUND(L$6+IF(L$5=$C66,$E$5+$E66,0),2),ROUND(N65+M66,2)),0)</f>
        <v>0</v>
      </c>
      <c r="M66" s="24">
        <f>IF(N65&gt;0,ROUND(ROUND(N65*100,0)*ROUND(L$7*10000,0)/12000000,0)/100,0)</f>
        <v>0</v>
      </c>
      <c r="N66" s="24">
        <f>IF(N65&gt;0,ROUND(N65+M66-L66,2),0)</f>
        <v>0</v>
      </c>
      <c r="O66" s="24">
        <f>IF(Q65&gt;0,MIN(ROUND(O$6+IF(O$5=$C66,$E$5+$E66,0),2),ROUND(Q65+P66,2)),0)</f>
        <v>0</v>
      </c>
      <c r="P66" s="24">
        <f>IF(Q65&gt;0,ROUND(ROUND(Q65*100,0)*ROUND(O$7*10000,0)/12000000,0)/100,0)</f>
        <v>0</v>
      </c>
      <c r="Q66" s="24">
        <f>IF(Q65&gt;0,ROUND(Q65+P66-O66,2),0)</f>
        <v>0</v>
      </c>
      <c r="R66" s="24">
        <f>IF(T65&gt;0,MIN(ROUND(R$6+IF(R$5=$C66,$E$5+$E66,0),2),ROUND(T65+S66,2)),0)</f>
        <v>0</v>
      </c>
      <c r="S66" s="24">
        <f>IF(T65&gt;0,ROUND(ROUND(T65*100,0)*ROUND(R$7*10000,0)/12000000,0)/100,0)</f>
        <v>0</v>
      </c>
      <c r="T66" s="24">
        <f>IF(T65&gt;0,ROUND(T65+S66-R66,2),0)</f>
        <v>0</v>
      </c>
      <c r="U66" s="24">
        <f>IF(W65&gt;0,MIN(ROUND(U$6+IF(U$5=$C66,$E$5+$E66,0),2),ROUND(W65+V66,2)),0)</f>
        <v>0</v>
      </c>
      <c r="V66" s="24">
        <f>IF(W65&gt;0,ROUND(ROUND(W65*100,0)*ROUND(U$7*10000,0)/12000000,0)/100,0)</f>
        <v>0</v>
      </c>
      <c r="W66" s="24">
        <f>IF(W65&gt;0,ROUND(W65+V66-U66,2),0)</f>
        <v>0</v>
      </c>
      <c r="X66" s="24">
        <f>IF(Z65&gt;0,MIN(ROUND(X$6+IF(X$5=$C66,$E$5+$E66,0),2),ROUND(Z65+Y66,2)),0)</f>
        <v>0</v>
      </c>
      <c r="Y66" s="24">
        <f>IF(Z65&gt;0,ROUND(ROUND(Z65*100,0)*ROUND(X$7*10000,0)/12000000,0)/100,0)</f>
        <v>0</v>
      </c>
      <c r="Z66" s="24">
        <f>IF(Z65&gt;0,ROUND(Z65+Y66-X66,2),0)</f>
        <v>0</v>
      </c>
      <c r="AA66" s="24">
        <f>IF(AC65&gt;0,MIN(ROUND(AA$6+IF(AA$5=$C66,$E$5+$E66,0),2),ROUND(AC65+AB66,2)),0)</f>
        <v>0</v>
      </c>
      <c r="AB66" s="24">
        <f>IF(AC65&gt;0,ROUND(ROUND(AC65*100,0)*ROUND(AA$7*10000,0)/12000000,0)/100,0)</f>
        <v>0</v>
      </c>
      <c r="AC66" s="24">
        <f>IF(AC65&gt;0,ROUND(AC65+AB66-AA66,2),0)</f>
        <v>0</v>
      </c>
      <c r="AD66" s="24">
        <f>IF(AF65&gt;0,MIN(ROUND(AD$6+IF(AD$5=$C66,$E$5+$E66,0),2),ROUND(AF65+AE66,2)),0)</f>
        <v>0</v>
      </c>
      <c r="AE66" s="24">
        <f>IF(AF65&gt;0,ROUND(ROUND(AF65*100,0)*ROUND(AD$7*10000,0)/12000000,0)/100,0)</f>
        <v>0</v>
      </c>
      <c r="AF66" s="24">
        <f>IF(AF65&gt;0,ROUND(AF65+AE66-AD66,2),0)</f>
        <v>0</v>
      </c>
      <c r="AG66" s="24">
        <f>IF(AI65&gt;0,MIN(ROUND(AG$6+IF(AG$5=$C66,$E$5+$E66,0),2),ROUND(AI65+AH66,2)),0)</f>
        <v>0</v>
      </c>
      <c r="AH66" s="24">
        <f>IF(AI65&gt;0,ROUND(ROUND(AI65*100,0)*ROUND(AG$7*10000,0)/12000000,0)/100,0)</f>
        <v>0</v>
      </c>
      <c r="AI66" s="24">
        <f>IF(AI65&gt;0,ROUND(AI65+AH66-AG66,2),0)</f>
        <v>0</v>
      </c>
      <c r="AJ66" s="24">
        <f>IF(AL65&gt;0,MIN(ROUND(AJ$6+IF(AJ$5=$C66,$E$5+$E66,0),2),ROUND(AL65+AK66,2)),0)</f>
        <v>0</v>
      </c>
      <c r="AK66" s="24">
        <f>IF(AL65&gt;0,ROUND(ROUND(AL65*100,0)*ROUND(AJ$7*10000,0)/12000000,0)/100,0)</f>
        <v>0</v>
      </c>
      <c r="AL66" s="24">
        <f>IF(AL65&gt;0,ROUND(AL65+AK66-AJ66,2),0)</f>
        <v>0</v>
      </c>
    </row>
    <row r="67" spans="1:38" x14ac:dyDescent="0.25">
      <c r="A67" s="17" t="str">
        <f>IF(F67&gt;0,57,"")</f>
        <v/>
      </c>
      <c r="B67" s="18" t="str">
        <f>IF(F67&gt;0,EDATE($E$6,57),"")</f>
        <v/>
      </c>
      <c r="C67" s="21">
        <f>IF(H66&gt;0,MIN(IF(K66&gt;0,I$5,99),IF(N66&gt;0,L$5,99),IF(Q66&gt;0,O$5,99),IF(T66&gt;0,R$5,99),IF(W66&gt;0,U$5,99),IF(Z66&gt;0,X$5,99),IF(AC66&gt;0,AA$5,99),IF(AF66&gt;0,AD$5,99),IF(AI66&gt;0,AG$5,99),IF(AL66&gt;0,AJ$5,99)),0)</f>
        <v>0</v>
      </c>
      <c r="D67" t="str">
        <f>IF(C67&gt;0,INDEX($I$4:$AL$4,1,MATCH(C67,$I$5:$AL$5,0)),"")</f>
        <v/>
      </c>
      <c r="E67" s="24">
        <f>ROUND(IF(AND(I$8&gt;0,K66=0),I$6,0)+IF(AND(L$8&gt;0,N66=0),L$6,0)+IF(AND(O$8&gt;0,Q66=0),O$6,0)+IF(AND(R$8&gt;0,T66=0),R$6,0)+IF(AND(U$8&gt;0,W66=0),U$6,0)+IF(AND(X$8&gt;0,Z66=0),X$6,0)+IF(AND(AA$8&gt;0,AC66=0),AA$6,0)+IF(AND(AD$8&gt;0,AF66=0),AD$6,0)+IF(AND(AG$8&gt;0,AI66=0),AG$6,0)+IF(AND(AJ$8&gt;0,AL66=0),AJ$6,0),2)</f>
        <v>330</v>
      </c>
      <c r="F67" s="24">
        <f>ROUND(I67+L67+O67+R67+U67+X67+AA67+AD67+AG67+AJ67,2)</f>
        <v>0</v>
      </c>
      <c r="G67" s="24">
        <f>ROUND(J67+M67+P67+S67+V67+Y67+AB67+AE67+AH67+AK67,2)</f>
        <v>0</v>
      </c>
      <c r="H67" s="24">
        <f>ROUND(K67+N67+Q67+T67+W67+Z67+AC67+AF67+AI67+AL67,2)</f>
        <v>0</v>
      </c>
      <c r="I67" s="24">
        <f>IF(K66&gt;0,MIN(ROUND(I$6+IF(I$5=$C67,$E$5+$E67,0),2),ROUND(K66+J67,2)),0)</f>
        <v>0</v>
      </c>
      <c r="J67" s="24">
        <f>IF(K66&gt;0,ROUND(ROUND(K66*100,0)*ROUND(I$7*10000,0)/12000000,0)/100,0)</f>
        <v>0</v>
      </c>
      <c r="K67" s="24">
        <f>IF(K66&gt;0,ROUND(K66+J67-I67,2),0)</f>
        <v>0</v>
      </c>
      <c r="L67" s="24">
        <f>IF(N66&gt;0,MIN(ROUND(L$6+IF(L$5=$C67,$E$5+$E67,0),2),ROUND(N66+M67,2)),0)</f>
        <v>0</v>
      </c>
      <c r="M67" s="24">
        <f>IF(N66&gt;0,ROUND(ROUND(N66*100,0)*ROUND(L$7*10000,0)/12000000,0)/100,0)</f>
        <v>0</v>
      </c>
      <c r="N67" s="24">
        <f>IF(N66&gt;0,ROUND(N66+M67-L67,2),0)</f>
        <v>0</v>
      </c>
      <c r="O67" s="24">
        <f>IF(Q66&gt;0,MIN(ROUND(O$6+IF(O$5=$C67,$E$5+$E67,0),2),ROUND(Q66+P67,2)),0)</f>
        <v>0</v>
      </c>
      <c r="P67" s="24">
        <f>IF(Q66&gt;0,ROUND(ROUND(Q66*100,0)*ROUND(O$7*10000,0)/12000000,0)/100,0)</f>
        <v>0</v>
      </c>
      <c r="Q67" s="24">
        <f>IF(Q66&gt;0,ROUND(Q66+P67-O67,2),0)</f>
        <v>0</v>
      </c>
      <c r="R67" s="24">
        <f>IF(T66&gt;0,MIN(ROUND(R$6+IF(R$5=$C67,$E$5+$E67,0),2),ROUND(T66+S67,2)),0)</f>
        <v>0</v>
      </c>
      <c r="S67" s="24">
        <f>IF(T66&gt;0,ROUND(ROUND(T66*100,0)*ROUND(R$7*10000,0)/12000000,0)/100,0)</f>
        <v>0</v>
      </c>
      <c r="T67" s="24">
        <f>IF(T66&gt;0,ROUND(T66+S67-R67,2),0)</f>
        <v>0</v>
      </c>
      <c r="U67" s="24">
        <f>IF(W66&gt;0,MIN(ROUND(U$6+IF(U$5=$C67,$E$5+$E67,0),2),ROUND(W66+V67,2)),0)</f>
        <v>0</v>
      </c>
      <c r="V67" s="24">
        <f>IF(W66&gt;0,ROUND(ROUND(W66*100,0)*ROUND(U$7*10000,0)/12000000,0)/100,0)</f>
        <v>0</v>
      </c>
      <c r="W67" s="24">
        <f>IF(W66&gt;0,ROUND(W66+V67-U67,2),0)</f>
        <v>0</v>
      </c>
      <c r="X67" s="24">
        <f>IF(Z66&gt;0,MIN(ROUND(X$6+IF(X$5=$C67,$E$5+$E67,0),2),ROUND(Z66+Y67,2)),0)</f>
        <v>0</v>
      </c>
      <c r="Y67" s="24">
        <f>IF(Z66&gt;0,ROUND(ROUND(Z66*100,0)*ROUND(X$7*10000,0)/12000000,0)/100,0)</f>
        <v>0</v>
      </c>
      <c r="Z67" s="24">
        <f>IF(Z66&gt;0,ROUND(Z66+Y67-X67,2),0)</f>
        <v>0</v>
      </c>
      <c r="AA67" s="24">
        <f>IF(AC66&gt;0,MIN(ROUND(AA$6+IF(AA$5=$C67,$E$5+$E67,0),2),ROUND(AC66+AB67,2)),0)</f>
        <v>0</v>
      </c>
      <c r="AB67" s="24">
        <f>IF(AC66&gt;0,ROUND(ROUND(AC66*100,0)*ROUND(AA$7*10000,0)/12000000,0)/100,0)</f>
        <v>0</v>
      </c>
      <c r="AC67" s="24">
        <f>IF(AC66&gt;0,ROUND(AC66+AB67-AA67,2),0)</f>
        <v>0</v>
      </c>
      <c r="AD67" s="24">
        <f>IF(AF66&gt;0,MIN(ROUND(AD$6+IF(AD$5=$C67,$E$5+$E67,0),2),ROUND(AF66+AE67,2)),0)</f>
        <v>0</v>
      </c>
      <c r="AE67" s="24">
        <f>IF(AF66&gt;0,ROUND(ROUND(AF66*100,0)*ROUND(AD$7*10000,0)/12000000,0)/100,0)</f>
        <v>0</v>
      </c>
      <c r="AF67" s="24">
        <f>IF(AF66&gt;0,ROUND(AF66+AE67-AD67,2),0)</f>
        <v>0</v>
      </c>
      <c r="AG67" s="24">
        <f>IF(AI66&gt;0,MIN(ROUND(AG$6+IF(AG$5=$C67,$E$5+$E67,0),2),ROUND(AI66+AH67,2)),0)</f>
        <v>0</v>
      </c>
      <c r="AH67" s="24">
        <f>IF(AI66&gt;0,ROUND(ROUND(AI66*100,0)*ROUND(AG$7*10000,0)/12000000,0)/100,0)</f>
        <v>0</v>
      </c>
      <c r="AI67" s="24">
        <f>IF(AI66&gt;0,ROUND(AI66+AH67-AG67,2),0)</f>
        <v>0</v>
      </c>
      <c r="AJ67" s="24">
        <f>IF(AL66&gt;0,MIN(ROUND(AJ$6+IF(AJ$5=$C67,$E$5+$E67,0),2),ROUND(AL66+AK67,2)),0)</f>
        <v>0</v>
      </c>
      <c r="AK67" s="24">
        <f>IF(AL66&gt;0,ROUND(ROUND(AL66*100,0)*ROUND(AJ$7*10000,0)/12000000,0)/100,0)</f>
        <v>0</v>
      </c>
      <c r="AL67" s="24">
        <f>IF(AL66&gt;0,ROUND(AL66+AK67-AJ67,2),0)</f>
        <v>0</v>
      </c>
    </row>
    <row r="68" spans="1:38" x14ac:dyDescent="0.25">
      <c r="A68" s="17" t="str">
        <f>IF(F68&gt;0,58,"")</f>
        <v/>
      </c>
      <c r="B68" s="18" t="str">
        <f>IF(F68&gt;0,EDATE($E$6,58),"")</f>
        <v/>
      </c>
      <c r="C68" s="21">
        <f>IF(H67&gt;0,MIN(IF(K67&gt;0,I$5,99),IF(N67&gt;0,L$5,99),IF(Q67&gt;0,O$5,99),IF(T67&gt;0,R$5,99),IF(W67&gt;0,U$5,99),IF(Z67&gt;0,X$5,99),IF(AC67&gt;0,AA$5,99),IF(AF67&gt;0,AD$5,99),IF(AI67&gt;0,AG$5,99),IF(AL67&gt;0,AJ$5,99)),0)</f>
        <v>0</v>
      </c>
      <c r="D68" t="str">
        <f>IF(C68&gt;0,INDEX($I$4:$AL$4,1,MATCH(C68,$I$5:$AL$5,0)),"")</f>
        <v/>
      </c>
      <c r="E68" s="24">
        <f>ROUND(IF(AND(I$8&gt;0,K67=0),I$6,0)+IF(AND(L$8&gt;0,N67=0),L$6,0)+IF(AND(O$8&gt;0,Q67=0),O$6,0)+IF(AND(R$8&gt;0,T67=0),R$6,0)+IF(AND(U$8&gt;0,W67=0),U$6,0)+IF(AND(X$8&gt;0,Z67=0),X$6,0)+IF(AND(AA$8&gt;0,AC67=0),AA$6,0)+IF(AND(AD$8&gt;0,AF67=0),AD$6,0)+IF(AND(AG$8&gt;0,AI67=0),AG$6,0)+IF(AND(AJ$8&gt;0,AL67=0),AJ$6,0),2)</f>
        <v>330</v>
      </c>
      <c r="F68" s="24">
        <f>ROUND(I68+L68+O68+R68+U68+X68+AA68+AD68+AG68+AJ68,2)</f>
        <v>0</v>
      </c>
      <c r="G68" s="24">
        <f>ROUND(J68+M68+P68+S68+V68+Y68+AB68+AE68+AH68+AK68,2)</f>
        <v>0</v>
      </c>
      <c r="H68" s="24">
        <f>ROUND(K68+N68+Q68+T68+W68+Z68+AC68+AF68+AI68+AL68,2)</f>
        <v>0</v>
      </c>
      <c r="I68" s="24">
        <f>IF(K67&gt;0,MIN(ROUND(I$6+IF(I$5=$C68,$E$5+$E68,0),2),ROUND(K67+J68,2)),0)</f>
        <v>0</v>
      </c>
      <c r="J68" s="24">
        <f>IF(K67&gt;0,ROUND(ROUND(K67*100,0)*ROUND(I$7*10000,0)/12000000,0)/100,0)</f>
        <v>0</v>
      </c>
      <c r="K68" s="24">
        <f>IF(K67&gt;0,ROUND(K67+J68-I68,2),0)</f>
        <v>0</v>
      </c>
      <c r="L68" s="24">
        <f>IF(N67&gt;0,MIN(ROUND(L$6+IF(L$5=$C68,$E$5+$E68,0),2),ROUND(N67+M68,2)),0)</f>
        <v>0</v>
      </c>
      <c r="M68" s="24">
        <f>IF(N67&gt;0,ROUND(ROUND(N67*100,0)*ROUND(L$7*10000,0)/12000000,0)/100,0)</f>
        <v>0</v>
      </c>
      <c r="N68" s="24">
        <f>IF(N67&gt;0,ROUND(N67+M68-L68,2),0)</f>
        <v>0</v>
      </c>
      <c r="O68" s="24">
        <f>IF(Q67&gt;0,MIN(ROUND(O$6+IF(O$5=$C68,$E$5+$E68,0),2),ROUND(Q67+P68,2)),0)</f>
        <v>0</v>
      </c>
      <c r="P68" s="24">
        <f>IF(Q67&gt;0,ROUND(ROUND(Q67*100,0)*ROUND(O$7*10000,0)/12000000,0)/100,0)</f>
        <v>0</v>
      </c>
      <c r="Q68" s="24">
        <f>IF(Q67&gt;0,ROUND(Q67+P68-O68,2),0)</f>
        <v>0</v>
      </c>
      <c r="R68" s="24">
        <f>IF(T67&gt;0,MIN(ROUND(R$6+IF(R$5=$C68,$E$5+$E68,0),2),ROUND(T67+S68,2)),0)</f>
        <v>0</v>
      </c>
      <c r="S68" s="24">
        <f>IF(T67&gt;0,ROUND(ROUND(T67*100,0)*ROUND(R$7*10000,0)/12000000,0)/100,0)</f>
        <v>0</v>
      </c>
      <c r="T68" s="24">
        <f>IF(T67&gt;0,ROUND(T67+S68-R68,2),0)</f>
        <v>0</v>
      </c>
      <c r="U68" s="24">
        <f>IF(W67&gt;0,MIN(ROUND(U$6+IF(U$5=$C68,$E$5+$E68,0),2),ROUND(W67+V68,2)),0)</f>
        <v>0</v>
      </c>
      <c r="V68" s="24">
        <f>IF(W67&gt;0,ROUND(ROUND(W67*100,0)*ROUND(U$7*10000,0)/12000000,0)/100,0)</f>
        <v>0</v>
      </c>
      <c r="W68" s="24">
        <f>IF(W67&gt;0,ROUND(W67+V68-U68,2),0)</f>
        <v>0</v>
      </c>
      <c r="X68" s="24">
        <f>IF(Z67&gt;0,MIN(ROUND(X$6+IF(X$5=$C68,$E$5+$E68,0),2),ROUND(Z67+Y68,2)),0)</f>
        <v>0</v>
      </c>
      <c r="Y68" s="24">
        <f>IF(Z67&gt;0,ROUND(ROUND(Z67*100,0)*ROUND(X$7*10000,0)/12000000,0)/100,0)</f>
        <v>0</v>
      </c>
      <c r="Z68" s="24">
        <f>IF(Z67&gt;0,ROUND(Z67+Y68-X68,2),0)</f>
        <v>0</v>
      </c>
      <c r="AA68" s="24">
        <f>IF(AC67&gt;0,MIN(ROUND(AA$6+IF(AA$5=$C68,$E$5+$E68,0),2),ROUND(AC67+AB68,2)),0)</f>
        <v>0</v>
      </c>
      <c r="AB68" s="24">
        <f>IF(AC67&gt;0,ROUND(ROUND(AC67*100,0)*ROUND(AA$7*10000,0)/12000000,0)/100,0)</f>
        <v>0</v>
      </c>
      <c r="AC68" s="24">
        <f>IF(AC67&gt;0,ROUND(AC67+AB68-AA68,2),0)</f>
        <v>0</v>
      </c>
      <c r="AD68" s="24">
        <f>IF(AF67&gt;0,MIN(ROUND(AD$6+IF(AD$5=$C68,$E$5+$E68,0),2),ROUND(AF67+AE68,2)),0)</f>
        <v>0</v>
      </c>
      <c r="AE68" s="24">
        <f>IF(AF67&gt;0,ROUND(ROUND(AF67*100,0)*ROUND(AD$7*10000,0)/12000000,0)/100,0)</f>
        <v>0</v>
      </c>
      <c r="AF68" s="24">
        <f>IF(AF67&gt;0,ROUND(AF67+AE68-AD68,2),0)</f>
        <v>0</v>
      </c>
      <c r="AG68" s="24">
        <f>IF(AI67&gt;0,MIN(ROUND(AG$6+IF(AG$5=$C68,$E$5+$E68,0),2),ROUND(AI67+AH68,2)),0)</f>
        <v>0</v>
      </c>
      <c r="AH68" s="24">
        <f>IF(AI67&gt;0,ROUND(ROUND(AI67*100,0)*ROUND(AG$7*10000,0)/12000000,0)/100,0)</f>
        <v>0</v>
      </c>
      <c r="AI68" s="24">
        <f>IF(AI67&gt;0,ROUND(AI67+AH68-AG68,2),0)</f>
        <v>0</v>
      </c>
      <c r="AJ68" s="24">
        <f>IF(AL67&gt;0,MIN(ROUND(AJ$6+IF(AJ$5=$C68,$E$5+$E68,0),2),ROUND(AL67+AK68,2)),0)</f>
        <v>0</v>
      </c>
      <c r="AK68" s="24">
        <f>IF(AL67&gt;0,ROUND(ROUND(AL67*100,0)*ROUND(AJ$7*10000,0)/12000000,0)/100,0)</f>
        <v>0</v>
      </c>
      <c r="AL68" s="24">
        <f>IF(AL67&gt;0,ROUND(AL67+AK68-AJ68,2),0)</f>
        <v>0</v>
      </c>
    </row>
    <row r="69" spans="1:38" x14ac:dyDescent="0.25">
      <c r="A69" s="17" t="str">
        <f>IF(F69&gt;0,59,"")</f>
        <v/>
      </c>
      <c r="B69" s="18" t="str">
        <f>IF(F69&gt;0,EDATE($E$6,59),"")</f>
        <v/>
      </c>
      <c r="C69" s="21">
        <f>IF(H68&gt;0,MIN(IF(K68&gt;0,I$5,99),IF(N68&gt;0,L$5,99),IF(Q68&gt;0,O$5,99),IF(T68&gt;0,R$5,99),IF(W68&gt;0,U$5,99),IF(Z68&gt;0,X$5,99),IF(AC68&gt;0,AA$5,99),IF(AF68&gt;0,AD$5,99),IF(AI68&gt;0,AG$5,99),IF(AL68&gt;0,AJ$5,99)),0)</f>
        <v>0</v>
      </c>
      <c r="D69" t="str">
        <f>IF(C69&gt;0,INDEX($I$4:$AL$4,1,MATCH(C69,$I$5:$AL$5,0)),"")</f>
        <v/>
      </c>
      <c r="E69" s="24">
        <f>ROUND(IF(AND(I$8&gt;0,K68=0),I$6,0)+IF(AND(L$8&gt;0,N68=0),L$6,0)+IF(AND(O$8&gt;0,Q68=0),O$6,0)+IF(AND(R$8&gt;0,T68=0),R$6,0)+IF(AND(U$8&gt;0,W68=0),U$6,0)+IF(AND(X$8&gt;0,Z68=0),X$6,0)+IF(AND(AA$8&gt;0,AC68=0),AA$6,0)+IF(AND(AD$8&gt;0,AF68=0),AD$6,0)+IF(AND(AG$8&gt;0,AI68=0),AG$6,0)+IF(AND(AJ$8&gt;0,AL68=0),AJ$6,0),2)</f>
        <v>330</v>
      </c>
      <c r="F69" s="24">
        <f>ROUND(I69+L69+O69+R69+U69+X69+AA69+AD69+AG69+AJ69,2)</f>
        <v>0</v>
      </c>
      <c r="G69" s="24">
        <f>ROUND(J69+M69+P69+S69+V69+Y69+AB69+AE69+AH69+AK69,2)</f>
        <v>0</v>
      </c>
      <c r="H69" s="24">
        <f>ROUND(K69+N69+Q69+T69+W69+Z69+AC69+AF69+AI69+AL69,2)</f>
        <v>0</v>
      </c>
      <c r="I69" s="24">
        <f>IF(K68&gt;0,MIN(ROUND(I$6+IF(I$5=$C69,$E$5+$E69,0),2),ROUND(K68+J69,2)),0)</f>
        <v>0</v>
      </c>
      <c r="J69" s="24">
        <f>IF(K68&gt;0,ROUND(ROUND(K68*100,0)*ROUND(I$7*10000,0)/12000000,0)/100,0)</f>
        <v>0</v>
      </c>
      <c r="K69" s="24">
        <f>IF(K68&gt;0,ROUND(K68+J69-I69,2),0)</f>
        <v>0</v>
      </c>
      <c r="L69" s="24">
        <f>IF(N68&gt;0,MIN(ROUND(L$6+IF(L$5=$C69,$E$5+$E69,0),2),ROUND(N68+M69,2)),0)</f>
        <v>0</v>
      </c>
      <c r="M69" s="24">
        <f>IF(N68&gt;0,ROUND(ROUND(N68*100,0)*ROUND(L$7*10000,0)/12000000,0)/100,0)</f>
        <v>0</v>
      </c>
      <c r="N69" s="24">
        <f>IF(N68&gt;0,ROUND(N68+M69-L69,2),0)</f>
        <v>0</v>
      </c>
      <c r="O69" s="24">
        <f>IF(Q68&gt;0,MIN(ROUND(O$6+IF(O$5=$C69,$E$5+$E69,0),2),ROUND(Q68+P69,2)),0)</f>
        <v>0</v>
      </c>
      <c r="P69" s="24">
        <f>IF(Q68&gt;0,ROUND(ROUND(Q68*100,0)*ROUND(O$7*10000,0)/12000000,0)/100,0)</f>
        <v>0</v>
      </c>
      <c r="Q69" s="24">
        <f>IF(Q68&gt;0,ROUND(Q68+P69-O69,2),0)</f>
        <v>0</v>
      </c>
      <c r="R69" s="24">
        <f>IF(T68&gt;0,MIN(ROUND(R$6+IF(R$5=$C69,$E$5+$E69,0),2),ROUND(T68+S69,2)),0)</f>
        <v>0</v>
      </c>
      <c r="S69" s="24">
        <f>IF(T68&gt;0,ROUND(ROUND(T68*100,0)*ROUND(R$7*10000,0)/12000000,0)/100,0)</f>
        <v>0</v>
      </c>
      <c r="T69" s="24">
        <f>IF(T68&gt;0,ROUND(T68+S69-R69,2),0)</f>
        <v>0</v>
      </c>
      <c r="U69" s="24">
        <f>IF(W68&gt;0,MIN(ROUND(U$6+IF(U$5=$C69,$E$5+$E69,0),2),ROUND(W68+V69,2)),0)</f>
        <v>0</v>
      </c>
      <c r="V69" s="24">
        <f>IF(W68&gt;0,ROUND(ROUND(W68*100,0)*ROUND(U$7*10000,0)/12000000,0)/100,0)</f>
        <v>0</v>
      </c>
      <c r="W69" s="24">
        <f>IF(W68&gt;0,ROUND(W68+V69-U69,2),0)</f>
        <v>0</v>
      </c>
      <c r="X69" s="24">
        <f>IF(Z68&gt;0,MIN(ROUND(X$6+IF(X$5=$C69,$E$5+$E69,0),2),ROUND(Z68+Y69,2)),0)</f>
        <v>0</v>
      </c>
      <c r="Y69" s="24">
        <f>IF(Z68&gt;0,ROUND(ROUND(Z68*100,0)*ROUND(X$7*10000,0)/12000000,0)/100,0)</f>
        <v>0</v>
      </c>
      <c r="Z69" s="24">
        <f>IF(Z68&gt;0,ROUND(Z68+Y69-X69,2),0)</f>
        <v>0</v>
      </c>
      <c r="AA69" s="24">
        <f>IF(AC68&gt;0,MIN(ROUND(AA$6+IF(AA$5=$C69,$E$5+$E69,0),2),ROUND(AC68+AB69,2)),0)</f>
        <v>0</v>
      </c>
      <c r="AB69" s="24">
        <f>IF(AC68&gt;0,ROUND(ROUND(AC68*100,0)*ROUND(AA$7*10000,0)/12000000,0)/100,0)</f>
        <v>0</v>
      </c>
      <c r="AC69" s="24">
        <f>IF(AC68&gt;0,ROUND(AC68+AB69-AA69,2),0)</f>
        <v>0</v>
      </c>
      <c r="AD69" s="24">
        <f>IF(AF68&gt;0,MIN(ROUND(AD$6+IF(AD$5=$C69,$E$5+$E69,0),2),ROUND(AF68+AE69,2)),0)</f>
        <v>0</v>
      </c>
      <c r="AE69" s="24">
        <f>IF(AF68&gt;0,ROUND(ROUND(AF68*100,0)*ROUND(AD$7*10000,0)/12000000,0)/100,0)</f>
        <v>0</v>
      </c>
      <c r="AF69" s="24">
        <f>IF(AF68&gt;0,ROUND(AF68+AE69-AD69,2),0)</f>
        <v>0</v>
      </c>
      <c r="AG69" s="24">
        <f>IF(AI68&gt;0,MIN(ROUND(AG$6+IF(AG$5=$C69,$E$5+$E69,0),2),ROUND(AI68+AH69,2)),0)</f>
        <v>0</v>
      </c>
      <c r="AH69" s="24">
        <f>IF(AI68&gt;0,ROUND(ROUND(AI68*100,0)*ROUND(AG$7*10000,0)/12000000,0)/100,0)</f>
        <v>0</v>
      </c>
      <c r="AI69" s="24">
        <f>IF(AI68&gt;0,ROUND(AI68+AH69-AG69,2),0)</f>
        <v>0</v>
      </c>
      <c r="AJ69" s="24">
        <f>IF(AL68&gt;0,MIN(ROUND(AJ$6+IF(AJ$5=$C69,$E$5+$E69,0),2),ROUND(AL68+AK69,2)),0)</f>
        <v>0</v>
      </c>
      <c r="AK69" s="24">
        <f>IF(AL68&gt;0,ROUND(ROUND(AL68*100,0)*ROUND(AJ$7*10000,0)/12000000,0)/100,0)</f>
        <v>0</v>
      </c>
      <c r="AL69" s="24">
        <f>IF(AL68&gt;0,ROUND(AL68+AK69-AJ69,2),0)</f>
        <v>0</v>
      </c>
    </row>
    <row r="70" spans="1:38" x14ac:dyDescent="0.25">
      <c r="A70" s="17" t="str">
        <f>IF(F70&gt;0,60,"")</f>
        <v/>
      </c>
      <c r="B70" s="18" t="str">
        <f>IF(F70&gt;0,EDATE($E$6,60),"")</f>
        <v/>
      </c>
      <c r="C70" s="21">
        <f>IF(H69&gt;0,MIN(IF(K69&gt;0,I$5,99),IF(N69&gt;0,L$5,99),IF(Q69&gt;0,O$5,99),IF(T69&gt;0,R$5,99),IF(W69&gt;0,U$5,99),IF(Z69&gt;0,X$5,99),IF(AC69&gt;0,AA$5,99),IF(AF69&gt;0,AD$5,99),IF(AI69&gt;0,AG$5,99),IF(AL69&gt;0,AJ$5,99)),0)</f>
        <v>0</v>
      </c>
      <c r="D70" t="str">
        <f>IF(C70&gt;0,INDEX($I$4:$AL$4,1,MATCH(C70,$I$5:$AL$5,0)),"")</f>
        <v/>
      </c>
      <c r="E70" s="24">
        <f>ROUND(IF(AND(I$8&gt;0,K69=0),I$6,0)+IF(AND(L$8&gt;0,N69=0),L$6,0)+IF(AND(O$8&gt;0,Q69=0),O$6,0)+IF(AND(R$8&gt;0,T69=0),R$6,0)+IF(AND(U$8&gt;0,W69=0),U$6,0)+IF(AND(X$8&gt;0,Z69=0),X$6,0)+IF(AND(AA$8&gt;0,AC69=0),AA$6,0)+IF(AND(AD$8&gt;0,AF69=0),AD$6,0)+IF(AND(AG$8&gt;0,AI69=0),AG$6,0)+IF(AND(AJ$8&gt;0,AL69=0),AJ$6,0),2)</f>
        <v>330</v>
      </c>
      <c r="F70" s="24">
        <f>ROUND(I70+L70+O70+R70+U70+X70+AA70+AD70+AG70+AJ70,2)</f>
        <v>0</v>
      </c>
      <c r="G70" s="24">
        <f>ROUND(J70+M70+P70+S70+V70+Y70+AB70+AE70+AH70+AK70,2)</f>
        <v>0</v>
      </c>
      <c r="H70" s="24">
        <f>ROUND(K70+N70+Q70+T70+W70+Z70+AC70+AF70+AI70+AL70,2)</f>
        <v>0</v>
      </c>
      <c r="I70" s="24">
        <f>IF(K69&gt;0,MIN(ROUND(I$6+IF(I$5=$C70,$E$5+$E70,0),2),ROUND(K69+J70,2)),0)</f>
        <v>0</v>
      </c>
      <c r="J70" s="24">
        <f>IF(K69&gt;0,ROUND(ROUND(K69*100,0)*ROUND(I$7*10000,0)/12000000,0)/100,0)</f>
        <v>0</v>
      </c>
      <c r="K70" s="24">
        <f>IF(K69&gt;0,ROUND(K69+J70-I70,2),0)</f>
        <v>0</v>
      </c>
      <c r="L70" s="24">
        <f>IF(N69&gt;0,MIN(ROUND(L$6+IF(L$5=$C70,$E$5+$E70,0),2),ROUND(N69+M70,2)),0)</f>
        <v>0</v>
      </c>
      <c r="M70" s="24">
        <f>IF(N69&gt;0,ROUND(ROUND(N69*100,0)*ROUND(L$7*10000,0)/12000000,0)/100,0)</f>
        <v>0</v>
      </c>
      <c r="N70" s="24">
        <f>IF(N69&gt;0,ROUND(N69+M70-L70,2),0)</f>
        <v>0</v>
      </c>
      <c r="O70" s="24">
        <f>IF(Q69&gt;0,MIN(ROUND(O$6+IF(O$5=$C70,$E$5+$E70,0),2),ROUND(Q69+P70,2)),0)</f>
        <v>0</v>
      </c>
      <c r="P70" s="24">
        <f>IF(Q69&gt;0,ROUND(ROUND(Q69*100,0)*ROUND(O$7*10000,0)/12000000,0)/100,0)</f>
        <v>0</v>
      </c>
      <c r="Q70" s="24">
        <f>IF(Q69&gt;0,ROUND(Q69+P70-O70,2),0)</f>
        <v>0</v>
      </c>
      <c r="R70" s="24">
        <f>IF(T69&gt;0,MIN(ROUND(R$6+IF(R$5=$C70,$E$5+$E70,0),2),ROUND(T69+S70,2)),0)</f>
        <v>0</v>
      </c>
      <c r="S70" s="24">
        <f>IF(T69&gt;0,ROUND(ROUND(T69*100,0)*ROUND(R$7*10000,0)/12000000,0)/100,0)</f>
        <v>0</v>
      </c>
      <c r="T70" s="24">
        <f>IF(T69&gt;0,ROUND(T69+S70-R70,2),0)</f>
        <v>0</v>
      </c>
      <c r="U70" s="24">
        <f>IF(W69&gt;0,MIN(ROUND(U$6+IF(U$5=$C70,$E$5+$E70,0),2),ROUND(W69+V70,2)),0)</f>
        <v>0</v>
      </c>
      <c r="V70" s="24">
        <f>IF(W69&gt;0,ROUND(ROUND(W69*100,0)*ROUND(U$7*10000,0)/12000000,0)/100,0)</f>
        <v>0</v>
      </c>
      <c r="W70" s="24">
        <f>IF(W69&gt;0,ROUND(W69+V70-U70,2),0)</f>
        <v>0</v>
      </c>
      <c r="X70" s="24">
        <f>IF(Z69&gt;0,MIN(ROUND(X$6+IF(X$5=$C70,$E$5+$E70,0),2),ROUND(Z69+Y70,2)),0)</f>
        <v>0</v>
      </c>
      <c r="Y70" s="24">
        <f>IF(Z69&gt;0,ROUND(ROUND(Z69*100,0)*ROUND(X$7*10000,0)/12000000,0)/100,0)</f>
        <v>0</v>
      </c>
      <c r="Z70" s="24">
        <f>IF(Z69&gt;0,ROUND(Z69+Y70-X70,2),0)</f>
        <v>0</v>
      </c>
      <c r="AA70" s="24">
        <f>IF(AC69&gt;0,MIN(ROUND(AA$6+IF(AA$5=$C70,$E$5+$E70,0),2),ROUND(AC69+AB70,2)),0)</f>
        <v>0</v>
      </c>
      <c r="AB70" s="24">
        <f>IF(AC69&gt;0,ROUND(ROUND(AC69*100,0)*ROUND(AA$7*10000,0)/12000000,0)/100,0)</f>
        <v>0</v>
      </c>
      <c r="AC70" s="24">
        <f>IF(AC69&gt;0,ROUND(AC69+AB70-AA70,2),0)</f>
        <v>0</v>
      </c>
      <c r="AD70" s="24">
        <f>IF(AF69&gt;0,MIN(ROUND(AD$6+IF(AD$5=$C70,$E$5+$E70,0),2),ROUND(AF69+AE70,2)),0)</f>
        <v>0</v>
      </c>
      <c r="AE70" s="24">
        <f>IF(AF69&gt;0,ROUND(ROUND(AF69*100,0)*ROUND(AD$7*10000,0)/12000000,0)/100,0)</f>
        <v>0</v>
      </c>
      <c r="AF70" s="24">
        <f>IF(AF69&gt;0,ROUND(AF69+AE70-AD70,2),0)</f>
        <v>0</v>
      </c>
      <c r="AG70" s="24">
        <f>IF(AI69&gt;0,MIN(ROUND(AG$6+IF(AG$5=$C70,$E$5+$E70,0),2),ROUND(AI69+AH70,2)),0)</f>
        <v>0</v>
      </c>
      <c r="AH70" s="24">
        <f>IF(AI69&gt;0,ROUND(ROUND(AI69*100,0)*ROUND(AG$7*10000,0)/12000000,0)/100,0)</f>
        <v>0</v>
      </c>
      <c r="AI70" s="24">
        <f>IF(AI69&gt;0,ROUND(AI69+AH70-AG70,2),0)</f>
        <v>0</v>
      </c>
      <c r="AJ70" s="24">
        <f>IF(AL69&gt;0,MIN(ROUND(AJ$6+IF(AJ$5=$C70,$E$5+$E70,0),2),ROUND(AL69+AK70,2)),0)</f>
        <v>0</v>
      </c>
      <c r="AK70" s="24">
        <f>IF(AL69&gt;0,ROUND(ROUND(AL69*100,0)*ROUND(AJ$7*10000,0)/12000000,0)/100,0)</f>
        <v>0</v>
      </c>
      <c r="AL70" s="24">
        <f>IF(AL69&gt;0,ROUND(AL69+AK70-AJ70,2),0)</f>
        <v>0</v>
      </c>
    </row>
    <row r="71" spans="1:38" x14ac:dyDescent="0.25">
      <c r="A71" s="17" t="str">
        <f>IF(F71&gt;0,61,"")</f>
        <v/>
      </c>
      <c r="B71" s="18" t="str">
        <f>IF(F71&gt;0,EDATE($E$6,61),"")</f>
        <v/>
      </c>
      <c r="C71" s="21">
        <f>IF(H70&gt;0,MIN(IF(K70&gt;0,I$5,99),IF(N70&gt;0,L$5,99),IF(Q70&gt;0,O$5,99),IF(T70&gt;0,R$5,99),IF(W70&gt;0,U$5,99),IF(Z70&gt;0,X$5,99),IF(AC70&gt;0,AA$5,99),IF(AF70&gt;0,AD$5,99),IF(AI70&gt;0,AG$5,99),IF(AL70&gt;0,AJ$5,99)),0)</f>
        <v>0</v>
      </c>
      <c r="D71" t="str">
        <f>IF(C71&gt;0,INDEX($I$4:$AL$4,1,MATCH(C71,$I$5:$AL$5,0)),"")</f>
        <v/>
      </c>
      <c r="E71" s="24">
        <f>ROUND(IF(AND(I$8&gt;0,K70=0),I$6,0)+IF(AND(L$8&gt;0,N70=0),L$6,0)+IF(AND(O$8&gt;0,Q70=0),O$6,0)+IF(AND(R$8&gt;0,T70=0),R$6,0)+IF(AND(U$8&gt;0,W70=0),U$6,0)+IF(AND(X$8&gt;0,Z70=0),X$6,0)+IF(AND(AA$8&gt;0,AC70=0),AA$6,0)+IF(AND(AD$8&gt;0,AF70=0),AD$6,0)+IF(AND(AG$8&gt;0,AI70=0),AG$6,0)+IF(AND(AJ$8&gt;0,AL70=0),AJ$6,0),2)</f>
        <v>330</v>
      </c>
      <c r="F71" s="24">
        <f>ROUND(I71+L71+O71+R71+U71+X71+AA71+AD71+AG71+AJ71,2)</f>
        <v>0</v>
      </c>
      <c r="G71" s="24">
        <f>ROUND(J71+M71+P71+S71+V71+Y71+AB71+AE71+AH71+AK71,2)</f>
        <v>0</v>
      </c>
      <c r="H71" s="24">
        <f>ROUND(K71+N71+Q71+T71+W71+Z71+AC71+AF71+AI71+AL71,2)</f>
        <v>0</v>
      </c>
      <c r="I71" s="24">
        <f>IF(K70&gt;0,MIN(ROUND(I$6+IF(I$5=$C71,$E$5+$E71,0),2),ROUND(K70+J71,2)),0)</f>
        <v>0</v>
      </c>
      <c r="J71" s="24">
        <f>IF(K70&gt;0,ROUND(ROUND(K70*100,0)*ROUND(I$7*10000,0)/12000000,0)/100,0)</f>
        <v>0</v>
      </c>
      <c r="K71" s="24">
        <f>IF(K70&gt;0,ROUND(K70+J71-I71,2),0)</f>
        <v>0</v>
      </c>
      <c r="L71" s="24">
        <f>IF(N70&gt;0,MIN(ROUND(L$6+IF(L$5=$C71,$E$5+$E71,0),2),ROUND(N70+M71,2)),0)</f>
        <v>0</v>
      </c>
      <c r="M71" s="24">
        <f>IF(N70&gt;0,ROUND(ROUND(N70*100,0)*ROUND(L$7*10000,0)/12000000,0)/100,0)</f>
        <v>0</v>
      </c>
      <c r="N71" s="24">
        <f>IF(N70&gt;0,ROUND(N70+M71-L71,2),0)</f>
        <v>0</v>
      </c>
      <c r="O71" s="24">
        <f>IF(Q70&gt;0,MIN(ROUND(O$6+IF(O$5=$C71,$E$5+$E71,0),2),ROUND(Q70+P71,2)),0)</f>
        <v>0</v>
      </c>
      <c r="P71" s="24">
        <f>IF(Q70&gt;0,ROUND(ROUND(Q70*100,0)*ROUND(O$7*10000,0)/12000000,0)/100,0)</f>
        <v>0</v>
      </c>
      <c r="Q71" s="24">
        <f>IF(Q70&gt;0,ROUND(Q70+P71-O71,2),0)</f>
        <v>0</v>
      </c>
      <c r="R71" s="24">
        <f>IF(T70&gt;0,MIN(ROUND(R$6+IF(R$5=$C71,$E$5+$E71,0),2),ROUND(T70+S71,2)),0)</f>
        <v>0</v>
      </c>
      <c r="S71" s="24">
        <f>IF(T70&gt;0,ROUND(ROUND(T70*100,0)*ROUND(R$7*10000,0)/12000000,0)/100,0)</f>
        <v>0</v>
      </c>
      <c r="T71" s="24">
        <f>IF(T70&gt;0,ROUND(T70+S71-R71,2),0)</f>
        <v>0</v>
      </c>
      <c r="U71" s="24">
        <f>IF(W70&gt;0,MIN(ROUND(U$6+IF(U$5=$C71,$E$5+$E71,0),2),ROUND(W70+V71,2)),0)</f>
        <v>0</v>
      </c>
      <c r="V71" s="24">
        <f>IF(W70&gt;0,ROUND(ROUND(W70*100,0)*ROUND(U$7*10000,0)/12000000,0)/100,0)</f>
        <v>0</v>
      </c>
      <c r="W71" s="24">
        <f>IF(W70&gt;0,ROUND(W70+V71-U71,2),0)</f>
        <v>0</v>
      </c>
      <c r="X71" s="24">
        <f>IF(Z70&gt;0,MIN(ROUND(X$6+IF(X$5=$C71,$E$5+$E71,0),2),ROUND(Z70+Y71,2)),0)</f>
        <v>0</v>
      </c>
      <c r="Y71" s="24">
        <f>IF(Z70&gt;0,ROUND(ROUND(Z70*100,0)*ROUND(X$7*10000,0)/12000000,0)/100,0)</f>
        <v>0</v>
      </c>
      <c r="Z71" s="24">
        <f>IF(Z70&gt;0,ROUND(Z70+Y71-X71,2),0)</f>
        <v>0</v>
      </c>
      <c r="AA71" s="24">
        <f>IF(AC70&gt;0,MIN(ROUND(AA$6+IF(AA$5=$C71,$E$5+$E71,0),2),ROUND(AC70+AB71,2)),0)</f>
        <v>0</v>
      </c>
      <c r="AB71" s="24">
        <f>IF(AC70&gt;0,ROUND(ROUND(AC70*100,0)*ROUND(AA$7*10000,0)/12000000,0)/100,0)</f>
        <v>0</v>
      </c>
      <c r="AC71" s="24">
        <f>IF(AC70&gt;0,ROUND(AC70+AB71-AA71,2),0)</f>
        <v>0</v>
      </c>
      <c r="AD71" s="24">
        <f>IF(AF70&gt;0,MIN(ROUND(AD$6+IF(AD$5=$C71,$E$5+$E71,0),2),ROUND(AF70+AE71,2)),0)</f>
        <v>0</v>
      </c>
      <c r="AE71" s="24">
        <f>IF(AF70&gt;0,ROUND(ROUND(AF70*100,0)*ROUND(AD$7*10000,0)/12000000,0)/100,0)</f>
        <v>0</v>
      </c>
      <c r="AF71" s="24">
        <f>IF(AF70&gt;0,ROUND(AF70+AE71-AD71,2),0)</f>
        <v>0</v>
      </c>
      <c r="AG71" s="24">
        <f>IF(AI70&gt;0,MIN(ROUND(AG$6+IF(AG$5=$C71,$E$5+$E71,0),2),ROUND(AI70+AH71,2)),0)</f>
        <v>0</v>
      </c>
      <c r="AH71" s="24">
        <f>IF(AI70&gt;0,ROUND(ROUND(AI70*100,0)*ROUND(AG$7*10000,0)/12000000,0)/100,0)</f>
        <v>0</v>
      </c>
      <c r="AI71" s="24">
        <f>IF(AI70&gt;0,ROUND(AI70+AH71-AG71,2),0)</f>
        <v>0</v>
      </c>
      <c r="AJ71" s="24">
        <f>IF(AL70&gt;0,MIN(ROUND(AJ$6+IF(AJ$5=$C71,$E$5+$E71,0),2),ROUND(AL70+AK71,2)),0)</f>
        <v>0</v>
      </c>
      <c r="AK71" s="24">
        <f>IF(AL70&gt;0,ROUND(ROUND(AL70*100,0)*ROUND(AJ$7*10000,0)/12000000,0)/100,0)</f>
        <v>0</v>
      </c>
      <c r="AL71" s="24">
        <f>IF(AL70&gt;0,ROUND(AL70+AK71-AJ71,2),0)</f>
        <v>0</v>
      </c>
    </row>
    <row r="72" spans="1:38" x14ac:dyDescent="0.25">
      <c r="A72" s="17" t="str">
        <f>IF(F72&gt;0,62,"")</f>
        <v/>
      </c>
      <c r="B72" s="18" t="str">
        <f>IF(F72&gt;0,EDATE($E$6,62),"")</f>
        <v/>
      </c>
      <c r="C72" s="21">
        <f>IF(H71&gt;0,MIN(IF(K71&gt;0,I$5,99),IF(N71&gt;0,L$5,99),IF(Q71&gt;0,O$5,99),IF(T71&gt;0,R$5,99),IF(W71&gt;0,U$5,99),IF(Z71&gt;0,X$5,99),IF(AC71&gt;0,AA$5,99),IF(AF71&gt;0,AD$5,99),IF(AI71&gt;0,AG$5,99),IF(AL71&gt;0,AJ$5,99)),0)</f>
        <v>0</v>
      </c>
      <c r="D72" t="str">
        <f>IF(C72&gt;0,INDEX($I$4:$AL$4,1,MATCH(C72,$I$5:$AL$5,0)),"")</f>
        <v/>
      </c>
      <c r="E72" s="24">
        <f>ROUND(IF(AND(I$8&gt;0,K71=0),I$6,0)+IF(AND(L$8&gt;0,N71=0),L$6,0)+IF(AND(O$8&gt;0,Q71=0),O$6,0)+IF(AND(R$8&gt;0,T71=0),R$6,0)+IF(AND(U$8&gt;0,W71=0),U$6,0)+IF(AND(X$8&gt;0,Z71=0),X$6,0)+IF(AND(AA$8&gt;0,AC71=0),AA$6,0)+IF(AND(AD$8&gt;0,AF71=0),AD$6,0)+IF(AND(AG$8&gt;0,AI71=0),AG$6,0)+IF(AND(AJ$8&gt;0,AL71=0),AJ$6,0),2)</f>
        <v>330</v>
      </c>
      <c r="F72" s="24">
        <f>ROUND(I72+L72+O72+R72+U72+X72+AA72+AD72+AG72+AJ72,2)</f>
        <v>0</v>
      </c>
      <c r="G72" s="24">
        <f>ROUND(J72+M72+P72+S72+V72+Y72+AB72+AE72+AH72+AK72,2)</f>
        <v>0</v>
      </c>
      <c r="H72" s="24">
        <f>ROUND(K72+N72+Q72+T72+W72+Z72+AC72+AF72+AI72+AL72,2)</f>
        <v>0</v>
      </c>
      <c r="I72" s="24">
        <f>IF(K71&gt;0,MIN(ROUND(I$6+IF(I$5=$C72,$E$5+$E72,0),2),ROUND(K71+J72,2)),0)</f>
        <v>0</v>
      </c>
      <c r="J72" s="24">
        <f>IF(K71&gt;0,ROUND(ROUND(K71*100,0)*ROUND(I$7*10000,0)/12000000,0)/100,0)</f>
        <v>0</v>
      </c>
      <c r="K72" s="24">
        <f>IF(K71&gt;0,ROUND(K71+J72-I72,2),0)</f>
        <v>0</v>
      </c>
      <c r="L72" s="24">
        <f>IF(N71&gt;0,MIN(ROUND(L$6+IF(L$5=$C72,$E$5+$E72,0),2),ROUND(N71+M72,2)),0)</f>
        <v>0</v>
      </c>
      <c r="M72" s="24">
        <f>IF(N71&gt;0,ROUND(ROUND(N71*100,0)*ROUND(L$7*10000,0)/12000000,0)/100,0)</f>
        <v>0</v>
      </c>
      <c r="N72" s="24">
        <f>IF(N71&gt;0,ROUND(N71+M72-L72,2),0)</f>
        <v>0</v>
      </c>
      <c r="O72" s="24">
        <f>IF(Q71&gt;0,MIN(ROUND(O$6+IF(O$5=$C72,$E$5+$E72,0),2),ROUND(Q71+P72,2)),0)</f>
        <v>0</v>
      </c>
      <c r="P72" s="24">
        <f>IF(Q71&gt;0,ROUND(ROUND(Q71*100,0)*ROUND(O$7*10000,0)/12000000,0)/100,0)</f>
        <v>0</v>
      </c>
      <c r="Q72" s="24">
        <f>IF(Q71&gt;0,ROUND(Q71+P72-O72,2),0)</f>
        <v>0</v>
      </c>
      <c r="R72" s="24">
        <f>IF(T71&gt;0,MIN(ROUND(R$6+IF(R$5=$C72,$E$5+$E72,0),2),ROUND(T71+S72,2)),0)</f>
        <v>0</v>
      </c>
      <c r="S72" s="24">
        <f>IF(T71&gt;0,ROUND(ROUND(T71*100,0)*ROUND(R$7*10000,0)/12000000,0)/100,0)</f>
        <v>0</v>
      </c>
      <c r="T72" s="24">
        <f>IF(T71&gt;0,ROUND(T71+S72-R72,2),0)</f>
        <v>0</v>
      </c>
      <c r="U72" s="24">
        <f>IF(W71&gt;0,MIN(ROUND(U$6+IF(U$5=$C72,$E$5+$E72,0),2),ROUND(W71+V72,2)),0)</f>
        <v>0</v>
      </c>
      <c r="V72" s="24">
        <f>IF(W71&gt;0,ROUND(ROUND(W71*100,0)*ROUND(U$7*10000,0)/12000000,0)/100,0)</f>
        <v>0</v>
      </c>
      <c r="W72" s="24">
        <f>IF(W71&gt;0,ROUND(W71+V72-U72,2),0)</f>
        <v>0</v>
      </c>
      <c r="X72" s="24">
        <f>IF(Z71&gt;0,MIN(ROUND(X$6+IF(X$5=$C72,$E$5+$E72,0),2),ROUND(Z71+Y72,2)),0)</f>
        <v>0</v>
      </c>
      <c r="Y72" s="24">
        <f>IF(Z71&gt;0,ROUND(ROUND(Z71*100,0)*ROUND(X$7*10000,0)/12000000,0)/100,0)</f>
        <v>0</v>
      </c>
      <c r="Z72" s="24">
        <f>IF(Z71&gt;0,ROUND(Z71+Y72-X72,2),0)</f>
        <v>0</v>
      </c>
      <c r="AA72" s="24">
        <f>IF(AC71&gt;0,MIN(ROUND(AA$6+IF(AA$5=$C72,$E$5+$E72,0),2),ROUND(AC71+AB72,2)),0)</f>
        <v>0</v>
      </c>
      <c r="AB72" s="24">
        <f>IF(AC71&gt;0,ROUND(ROUND(AC71*100,0)*ROUND(AA$7*10000,0)/12000000,0)/100,0)</f>
        <v>0</v>
      </c>
      <c r="AC72" s="24">
        <f>IF(AC71&gt;0,ROUND(AC71+AB72-AA72,2),0)</f>
        <v>0</v>
      </c>
      <c r="AD72" s="24">
        <f>IF(AF71&gt;0,MIN(ROUND(AD$6+IF(AD$5=$C72,$E$5+$E72,0),2),ROUND(AF71+AE72,2)),0)</f>
        <v>0</v>
      </c>
      <c r="AE72" s="24">
        <f>IF(AF71&gt;0,ROUND(ROUND(AF71*100,0)*ROUND(AD$7*10000,0)/12000000,0)/100,0)</f>
        <v>0</v>
      </c>
      <c r="AF72" s="24">
        <f>IF(AF71&gt;0,ROUND(AF71+AE72-AD72,2),0)</f>
        <v>0</v>
      </c>
      <c r="AG72" s="24">
        <f>IF(AI71&gt;0,MIN(ROUND(AG$6+IF(AG$5=$C72,$E$5+$E72,0),2),ROUND(AI71+AH72,2)),0)</f>
        <v>0</v>
      </c>
      <c r="AH72" s="24">
        <f>IF(AI71&gt;0,ROUND(ROUND(AI71*100,0)*ROUND(AG$7*10000,0)/12000000,0)/100,0)</f>
        <v>0</v>
      </c>
      <c r="AI72" s="24">
        <f>IF(AI71&gt;0,ROUND(AI71+AH72-AG72,2),0)</f>
        <v>0</v>
      </c>
      <c r="AJ72" s="24">
        <f>IF(AL71&gt;0,MIN(ROUND(AJ$6+IF(AJ$5=$C72,$E$5+$E72,0),2),ROUND(AL71+AK72,2)),0)</f>
        <v>0</v>
      </c>
      <c r="AK72" s="24">
        <f>IF(AL71&gt;0,ROUND(ROUND(AL71*100,0)*ROUND(AJ$7*10000,0)/12000000,0)/100,0)</f>
        <v>0</v>
      </c>
      <c r="AL72" s="24">
        <f>IF(AL71&gt;0,ROUND(AL71+AK72-AJ72,2),0)</f>
        <v>0</v>
      </c>
    </row>
    <row r="73" spans="1:38" x14ac:dyDescent="0.25">
      <c r="A73" s="17" t="str">
        <f>IF(F73&gt;0,63,"")</f>
        <v/>
      </c>
      <c r="B73" s="18" t="str">
        <f>IF(F73&gt;0,EDATE($E$6,63),"")</f>
        <v/>
      </c>
      <c r="C73" s="21">
        <f>IF(H72&gt;0,MIN(IF(K72&gt;0,I$5,99),IF(N72&gt;0,L$5,99),IF(Q72&gt;0,O$5,99),IF(T72&gt;0,R$5,99),IF(W72&gt;0,U$5,99),IF(Z72&gt;0,X$5,99),IF(AC72&gt;0,AA$5,99),IF(AF72&gt;0,AD$5,99),IF(AI72&gt;0,AG$5,99),IF(AL72&gt;0,AJ$5,99)),0)</f>
        <v>0</v>
      </c>
      <c r="D73" t="str">
        <f>IF(C73&gt;0,INDEX($I$4:$AL$4,1,MATCH(C73,$I$5:$AL$5,0)),"")</f>
        <v/>
      </c>
      <c r="E73" s="24">
        <f>ROUND(IF(AND(I$8&gt;0,K72=0),I$6,0)+IF(AND(L$8&gt;0,N72=0),L$6,0)+IF(AND(O$8&gt;0,Q72=0),O$6,0)+IF(AND(R$8&gt;0,T72=0),R$6,0)+IF(AND(U$8&gt;0,W72=0),U$6,0)+IF(AND(X$8&gt;0,Z72=0),X$6,0)+IF(AND(AA$8&gt;0,AC72=0),AA$6,0)+IF(AND(AD$8&gt;0,AF72=0),AD$6,0)+IF(AND(AG$8&gt;0,AI72=0),AG$6,0)+IF(AND(AJ$8&gt;0,AL72=0),AJ$6,0),2)</f>
        <v>330</v>
      </c>
      <c r="F73" s="24">
        <f>ROUND(I73+L73+O73+R73+U73+X73+AA73+AD73+AG73+AJ73,2)</f>
        <v>0</v>
      </c>
      <c r="G73" s="24">
        <f>ROUND(J73+M73+P73+S73+V73+Y73+AB73+AE73+AH73+AK73,2)</f>
        <v>0</v>
      </c>
      <c r="H73" s="24">
        <f>ROUND(K73+N73+Q73+T73+W73+Z73+AC73+AF73+AI73+AL73,2)</f>
        <v>0</v>
      </c>
      <c r="I73" s="24">
        <f>IF(K72&gt;0,MIN(ROUND(I$6+IF(I$5=$C73,$E$5+$E73,0),2),ROUND(K72+J73,2)),0)</f>
        <v>0</v>
      </c>
      <c r="J73" s="24">
        <f>IF(K72&gt;0,ROUND(ROUND(K72*100,0)*ROUND(I$7*10000,0)/12000000,0)/100,0)</f>
        <v>0</v>
      </c>
      <c r="K73" s="24">
        <f>IF(K72&gt;0,ROUND(K72+J73-I73,2),0)</f>
        <v>0</v>
      </c>
      <c r="L73" s="24">
        <f>IF(N72&gt;0,MIN(ROUND(L$6+IF(L$5=$C73,$E$5+$E73,0),2),ROUND(N72+M73,2)),0)</f>
        <v>0</v>
      </c>
      <c r="M73" s="24">
        <f>IF(N72&gt;0,ROUND(ROUND(N72*100,0)*ROUND(L$7*10000,0)/12000000,0)/100,0)</f>
        <v>0</v>
      </c>
      <c r="N73" s="24">
        <f>IF(N72&gt;0,ROUND(N72+M73-L73,2),0)</f>
        <v>0</v>
      </c>
      <c r="O73" s="24">
        <f>IF(Q72&gt;0,MIN(ROUND(O$6+IF(O$5=$C73,$E$5+$E73,0),2),ROUND(Q72+P73,2)),0)</f>
        <v>0</v>
      </c>
      <c r="P73" s="24">
        <f>IF(Q72&gt;0,ROUND(ROUND(Q72*100,0)*ROUND(O$7*10000,0)/12000000,0)/100,0)</f>
        <v>0</v>
      </c>
      <c r="Q73" s="24">
        <f>IF(Q72&gt;0,ROUND(Q72+P73-O73,2),0)</f>
        <v>0</v>
      </c>
      <c r="R73" s="24">
        <f>IF(T72&gt;0,MIN(ROUND(R$6+IF(R$5=$C73,$E$5+$E73,0),2),ROUND(T72+S73,2)),0)</f>
        <v>0</v>
      </c>
      <c r="S73" s="24">
        <f>IF(T72&gt;0,ROUND(ROUND(T72*100,0)*ROUND(R$7*10000,0)/12000000,0)/100,0)</f>
        <v>0</v>
      </c>
      <c r="T73" s="24">
        <f>IF(T72&gt;0,ROUND(T72+S73-R73,2),0)</f>
        <v>0</v>
      </c>
      <c r="U73" s="24">
        <f>IF(W72&gt;0,MIN(ROUND(U$6+IF(U$5=$C73,$E$5+$E73,0),2),ROUND(W72+V73,2)),0)</f>
        <v>0</v>
      </c>
      <c r="V73" s="24">
        <f>IF(W72&gt;0,ROUND(ROUND(W72*100,0)*ROUND(U$7*10000,0)/12000000,0)/100,0)</f>
        <v>0</v>
      </c>
      <c r="W73" s="24">
        <f>IF(W72&gt;0,ROUND(W72+V73-U73,2),0)</f>
        <v>0</v>
      </c>
      <c r="X73" s="24">
        <f>IF(Z72&gt;0,MIN(ROUND(X$6+IF(X$5=$C73,$E$5+$E73,0),2),ROUND(Z72+Y73,2)),0)</f>
        <v>0</v>
      </c>
      <c r="Y73" s="24">
        <f>IF(Z72&gt;0,ROUND(ROUND(Z72*100,0)*ROUND(X$7*10000,0)/12000000,0)/100,0)</f>
        <v>0</v>
      </c>
      <c r="Z73" s="24">
        <f>IF(Z72&gt;0,ROUND(Z72+Y73-X73,2),0)</f>
        <v>0</v>
      </c>
      <c r="AA73" s="24">
        <f>IF(AC72&gt;0,MIN(ROUND(AA$6+IF(AA$5=$C73,$E$5+$E73,0),2),ROUND(AC72+AB73,2)),0)</f>
        <v>0</v>
      </c>
      <c r="AB73" s="24">
        <f>IF(AC72&gt;0,ROUND(ROUND(AC72*100,0)*ROUND(AA$7*10000,0)/12000000,0)/100,0)</f>
        <v>0</v>
      </c>
      <c r="AC73" s="24">
        <f>IF(AC72&gt;0,ROUND(AC72+AB73-AA73,2),0)</f>
        <v>0</v>
      </c>
      <c r="AD73" s="24">
        <f>IF(AF72&gt;0,MIN(ROUND(AD$6+IF(AD$5=$C73,$E$5+$E73,0),2),ROUND(AF72+AE73,2)),0)</f>
        <v>0</v>
      </c>
      <c r="AE73" s="24">
        <f>IF(AF72&gt;0,ROUND(ROUND(AF72*100,0)*ROUND(AD$7*10000,0)/12000000,0)/100,0)</f>
        <v>0</v>
      </c>
      <c r="AF73" s="24">
        <f>IF(AF72&gt;0,ROUND(AF72+AE73-AD73,2),0)</f>
        <v>0</v>
      </c>
      <c r="AG73" s="24">
        <f>IF(AI72&gt;0,MIN(ROUND(AG$6+IF(AG$5=$C73,$E$5+$E73,0),2),ROUND(AI72+AH73,2)),0)</f>
        <v>0</v>
      </c>
      <c r="AH73" s="24">
        <f>IF(AI72&gt;0,ROUND(ROUND(AI72*100,0)*ROUND(AG$7*10000,0)/12000000,0)/100,0)</f>
        <v>0</v>
      </c>
      <c r="AI73" s="24">
        <f>IF(AI72&gt;0,ROUND(AI72+AH73-AG73,2),0)</f>
        <v>0</v>
      </c>
      <c r="AJ73" s="24">
        <f>IF(AL72&gt;0,MIN(ROUND(AJ$6+IF(AJ$5=$C73,$E$5+$E73,0),2),ROUND(AL72+AK73,2)),0)</f>
        <v>0</v>
      </c>
      <c r="AK73" s="24">
        <f>IF(AL72&gt;0,ROUND(ROUND(AL72*100,0)*ROUND(AJ$7*10000,0)/12000000,0)/100,0)</f>
        <v>0</v>
      </c>
      <c r="AL73" s="24">
        <f>IF(AL72&gt;0,ROUND(AL72+AK73-AJ73,2),0)</f>
        <v>0</v>
      </c>
    </row>
    <row r="74" spans="1:38" x14ac:dyDescent="0.25">
      <c r="A74" s="17" t="str">
        <f>IF(F74&gt;0,64,"")</f>
        <v/>
      </c>
      <c r="B74" s="18" t="str">
        <f>IF(F74&gt;0,EDATE($E$6,64),"")</f>
        <v/>
      </c>
      <c r="C74" s="21">
        <f>IF(H73&gt;0,MIN(IF(K73&gt;0,I$5,99),IF(N73&gt;0,L$5,99),IF(Q73&gt;0,O$5,99),IF(T73&gt;0,R$5,99),IF(W73&gt;0,U$5,99),IF(Z73&gt;0,X$5,99),IF(AC73&gt;0,AA$5,99),IF(AF73&gt;0,AD$5,99),IF(AI73&gt;0,AG$5,99),IF(AL73&gt;0,AJ$5,99)),0)</f>
        <v>0</v>
      </c>
      <c r="D74" t="str">
        <f>IF(C74&gt;0,INDEX($I$4:$AL$4,1,MATCH(C74,$I$5:$AL$5,0)),"")</f>
        <v/>
      </c>
      <c r="E74" s="24">
        <f>ROUND(IF(AND(I$8&gt;0,K73=0),I$6,0)+IF(AND(L$8&gt;0,N73=0),L$6,0)+IF(AND(O$8&gt;0,Q73=0),O$6,0)+IF(AND(R$8&gt;0,T73=0),R$6,0)+IF(AND(U$8&gt;0,W73=0),U$6,0)+IF(AND(X$8&gt;0,Z73=0),X$6,0)+IF(AND(AA$8&gt;0,AC73=0),AA$6,0)+IF(AND(AD$8&gt;0,AF73=0),AD$6,0)+IF(AND(AG$8&gt;0,AI73=0),AG$6,0)+IF(AND(AJ$8&gt;0,AL73=0),AJ$6,0),2)</f>
        <v>330</v>
      </c>
      <c r="F74" s="24">
        <f>ROUND(I74+L74+O74+R74+U74+X74+AA74+AD74+AG74+AJ74,2)</f>
        <v>0</v>
      </c>
      <c r="G74" s="24">
        <f>ROUND(J74+M74+P74+S74+V74+Y74+AB74+AE74+AH74+AK74,2)</f>
        <v>0</v>
      </c>
      <c r="H74" s="24">
        <f>ROUND(K74+N74+Q74+T74+W74+Z74+AC74+AF74+AI74+AL74,2)</f>
        <v>0</v>
      </c>
      <c r="I74" s="24">
        <f>IF(K73&gt;0,MIN(ROUND(I$6+IF(I$5=$C74,$E$5+$E74,0),2),ROUND(K73+J74,2)),0)</f>
        <v>0</v>
      </c>
      <c r="J74" s="24">
        <f>IF(K73&gt;0,ROUND(ROUND(K73*100,0)*ROUND(I$7*10000,0)/12000000,0)/100,0)</f>
        <v>0</v>
      </c>
      <c r="K74" s="24">
        <f>IF(K73&gt;0,ROUND(K73+J74-I74,2),0)</f>
        <v>0</v>
      </c>
      <c r="L74" s="24">
        <f>IF(N73&gt;0,MIN(ROUND(L$6+IF(L$5=$C74,$E$5+$E74,0),2),ROUND(N73+M74,2)),0)</f>
        <v>0</v>
      </c>
      <c r="M74" s="24">
        <f>IF(N73&gt;0,ROUND(ROUND(N73*100,0)*ROUND(L$7*10000,0)/12000000,0)/100,0)</f>
        <v>0</v>
      </c>
      <c r="N74" s="24">
        <f>IF(N73&gt;0,ROUND(N73+M74-L74,2),0)</f>
        <v>0</v>
      </c>
      <c r="O74" s="24">
        <f>IF(Q73&gt;0,MIN(ROUND(O$6+IF(O$5=$C74,$E$5+$E74,0),2),ROUND(Q73+P74,2)),0)</f>
        <v>0</v>
      </c>
      <c r="P74" s="24">
        <f>IF(Q73&gt;0,ROUND(ROUND(Q73*100,0)*ROUND(O$7*10000,0)/12000000,0)/100,0)</f>
        <v>0</v>
      </c>
      <c r="Q74" s="24">
        <f>IF(Q73&gt;0,ROUND(Q73+P74-O74,2),0)</f>
        <v>0</v>
      </c>
      <c r="R74" s="24">
        <f>IF(T73&gt;0,MIN(ROUND(R$6+IF(R$5=$C74,$E$5+$E74,0),2),ROUND(T73+S74,2)),0)</f>
        <v>0</v>
      </c>
      <c r="S74" s="24">
        <f>IF(T73&gt;0,ROUND(ROUND(T73*100,0)*ROUND(R$7*10000,0)/12000000,0)/100,0)</f>
        <v>0</v>
      </c>
      <c r="T74" s="24">
        <f>IF(T73&gt;0,ROUND(T73+S74-R74,2),0)</f>
        <v>0</v>
      </c>
      <c r="U74" s="24">
        <f>IF(W73&gt;0,MIN(ROUND(U$6+IF(U$5=$C74,$E$5+$E74,0),2),ROUND(W73+V74,2)),0)</f>
        <v>0</v>
      </c>
      <c r="V74" s="24">
        <f>IF(W73&gt;0,ROUND(ROUND(W73*100,0)*ROUND(U$7*10000,0)/12000000,0)/100,0)</f>
        <v>0</v>
      </c>
      <c r="W74" s="24">
        <f>IF(W73&gt;0,ROUND(W73+V74-U74,2),0)</f>
        <v>0</v>
      </c>
      <c r="X74" s="24">
        <f>IF(Z73&gt;0,MIN(ROUND(X$6+IF(X$5=$C74,$E$5+$E74,0),2),ROUND(Z73+Y74,2)),0)</f>
        <v>0</v>
      </c>
      <c r="Y74" s="24">
        <f>IF(Z73&gt;0,ROUND(ROUND(Z73*100,0)*ROUND(X$7*10000,0)/12000000,0)/100,0)</f>
        <v>0</v>
      </c>
      <c r="Z74" s="24">
        <f>IF(Z73&gt;0,ROUND(Z73+Y74-X74,2),0)</f>
        <v>0</v>
      </c>
      <c r="AA74" s="24">
        <f>IF(AC73&gt;0,MIN(ROUND(AA$6+IF(AA$5=$C74,$E$5+$E74,0),2),ROUND(AC73+AB74,2)),0)</f>
        <v>0</v>
      </c>
      <c r="AB74" s="24">
        <f>IF(AC73&gt;0,ROUND(ROUND(AC73*100,0)*ROUND(AA$7*10000,0)/12000000,0)/100,0)</f>
        <v>0</v>
      </c>
      <c r="AC74" s="24">
        <f>IF(AC73&gt;0,ROUND(AC73+AB74-AA74,2),0)</f>
        <v>0</v>
      </c>
      <c r="AD74" s="24">
        <f>IF(AF73&gt;0,MIN(ROUND(AD$6+IF(AD$5=$C74,$E$5+$E74,0),2),ROUND(AF73+AE74,2)),0)</f>
        <v>0</v>
      </c>
      <c r="AE74" s="24">
        <f>IF(AF73&gt;0,ROUND(ROUND(AF73*100,0)*ROUND(AD$7*10000,0)/12000000,0)/100,0)</f>
        <v>0</v>
      </c>
      <c r="AF74" s="24">
        <f>IF(AF73&gt;0,ROUND(AF73+AE74-AD74,2),0)</f>
        <v>0</v>
      </c>
      <c r="AG74" s="24">
        <f>IF(AI73&gt;0,MIN(ROUND(AG$6+IF(AG$5=$C74,$E$5+$E74,0),2),ROUND(AI73+AH74,2)),0)</f>
        <v>0</v>
      </c>
      <c r="AH74" s="24">
        <f>IF(AI73&gt;0,ROUND(ROUND(AI73*100,0)*ROUND(AG$7*10000,0)/12000000,0)/100,0)</f>
        <v>0</v>
      </c>
      <c r="AI74" s="24">
        <f>IF(AI73&gt;0,ROUND(AI73+AH74-AG74,2),0)</f>
        <v>0</v>
      </c>
      <c r="AJ74" s="24">
        <f>IF(AL73&gt;0,MIN(ROUND(AJ$6+IF(AJ$5=$C74,$E$5+$E74,0),2),ROUND(AL73+AK74,2)),0)</f>
        <v>0</v>
      </c>
      <c r="AK74" s="24">
        <f>IF(AL73&gt;0,ROUND(ROUND(AL73*100,0)*ROUND(AJ$7*10000,0)/12000000,0)/100,0)</f>
        <v>0</v>
      </c>
      <c r="AL74" s="24">
        <f>IF(AL73&gt;0,ROUND(AL73+AK74-AJ74,2),0)</f>
        <v>0</v>
      </c>
    </row>
    <row r="75" spans="1:38" x14ac:dyDescent="0.25">
      <c r="A75" s="17" t="str">
        <f>IF(F75&gt;0,65,"")</f>
        <v/>
      </c>
      <c r="B75" s="18" t="str">
        <f>IF(F75&gt;0,EDATE($E$6,65),"")</f>
        <v/>
      </c>
      <c r="C75" s="21">
        <f>IF(H74&gt;0,MIN(IF(K74&gt;0,I$5,99),IF(N74&gt;0,L$5,99),IF(Q74&gt;0,O$5,99),IF(T74&gt;0,R$5,99),IF(W74&gt;0,U$5,99),IF(Z74&gt;0,X$5,99),IF(AC74&gt;0,AA$5,99),IF(AF74&gt;0,AD$5,99),IF(AI74&gt;0,AG$5,99),IF(AL74&gt;0,AJ$5,99)),0)</f>
        <v>0</v>
      </c>
      <c r="D75" t="str">
        <f>IF(C75&gt;0,INDEX($I$4:$AL$4,1,MATCH(C75,$I$5:$AL$5,0)),"")</f>
        <v/>
      </c>
      <c r="E75" s="24">
        <f>ROUND(IF(AND(I$8&gt;0,K74=0),I$6,0)+IF(AND(L$8&gt;0,N74=0),L$6,0)+IF(AND(O$8&gt;0,Q74=0),O$6,0)+IF(AND(R$8&gt;0,T74=0),R$6,0)+IF(AND(U$8&gt;0,W74=0),U$6,0)+IF(AND(X$8&gt;0,Z74=0),X$6,0)+IF(AND(AA$8&gt;0,AC74=0),AA$6,0)+IF(AND(AD$8&gt;0,AF74=0),AD$6,0)+IF(AND(AG$8&gt;0,AI74=0),AG$6,0)+IF(AND(AJ$8&gt;0,AL74=0),AJ$6,0),2)</f>
        <v>330</v>
      </c>
      <c r="F75" s="24">
        <f>ROUND(I75+L75+O75+R75+U75+X75+AA75+AD75+AG75+AJ75,2)</f>
        <v>0</v>
      </c>
      <c r="G75" s="24">
        <f>ROUND(J75+M75+P75+S75+V75+Y75+AB75+AE75+AH75+AK75,2)</f>
        <v>0</v>
      </c>
      <c r="H75" s="24">
        <f>ROUND(K75+N75+Q75+T75+W75+Z75+AC75+AF75+AI75+AL75,2)</f>
        <v>0</v>
      </c>
      <c r="I75" s="24">
        <f>IF(K74&gt;0,MIN(ROUND(I$6+IF(I$5=$C75,$E$5+$E75,0),2),ROUND(K74+J75,2)),0)</f>
        <v>0</v>
      </c>
      <c r="J75" s="24">
        <f>IF(K74&gt;0,ROUND(ROUND(K74*100,0)*ROUND(I$7*10000,0)/12000000,0)/100,0)</f>
        <v>0</v>
      </c>
      <c r="K75" s="24">
        <f>IF(K74&gt;0,ROUND(K74+J75-I75,2),0)</f>
        <v>0</v>
      </c>
      <c r="L75" s="24">
        <f>IF(N74&gt;0,MIN(ROUND(L$6+IF(L$5=$C75,$E$5+$E75,0),2),ROUND(N74+M75,2)),0)</f>
        <v>0</v>
      </c>
      <c r="M75" s="24">
        <f>IF(N74&gt;0,ROUND(ROUND(N74*100,0)*ROUND(L$7*10000,0)/12000000,0)/100,0)</f>
        <v>0</v>
      </c>
      <c r="N75" s="24">
        <f>IF(N74&gt;0,ROUND(N74+M75-L75,2),0)</f>
        <v>0</v>
      </c>
      <c r="O75" s="24">
        <f>IF(Q74&gt;0,MIN(ROUND(O$6+IF(O$5=$C75,$E$5+$E75,0),2),ROUND(Q74+P75,2)),0)</f>
        <v>0</v>
      </c>
      <c r="P75" s="24">
        <f>IF(Q74&gt;0,ROUND(ROUND(Q74*100,0)*ROUND(O$7*10000,0)/12000000,0)/100,0)</f>
        <v>0</v>
      </c>
      <c r="Q75" s="24">
        <f>IF(Q74&gt;0,ROUND(Q74+P75-O75,2),0)</f>
        <v>0</v>
      </c>
      <c r="R75" s="24">
        <f>IF(T74&gt;0,MIN(ROUND(R$6+IF(R$5=$C75,$E$5+$E75,0),2),ROUND(T74+S75,2)),0)</f>
        <v>0</v>
      </c>
      <c r="S75" s="24">
        <f>IF(T74&gt;0,ROUND(ROUND(T74*100,0)*ROUND(R$7*10000,0)/12000000,0)/100,0)</f>
        <v>0</v>
      </c>
      <c r="T75" s="24">
        <f>IF(T74&gt;0,ROUND(T74+S75-R75,2),0)</f>
        <v>0</v>
      </c>
      <c r="U75" s="24">
        <f>IF(W74&gt;0,MIN(ROUND(U$6+IF(U$5=$C75,$E$5+$E75,0),2),ROUND(W74+V75,2)),0)</f>
        <v>0</v>
      </c>
      <c r="V75" s="24">
        <f>IF(W74&gt;0,ROUND(ROUND(W74*100,0)*ROUND(U$7*10000,0)/12000000,0)/100,0)</f>
        <v>0</v>
      </c>
      <c r="W75" s="24">
        <f>IF(W74&gt;0,ROUND(W74+V75-U75,2),0)</f>
        <v>0</v>
      </c>
      <c r="X75" s="24">
        <f>IF(Z74&gt;0,MIN(ROUND(X$6+IF(X$5=$C75,$E$5+$E75,0),2),ROUND(Z74+Y75,2)),0)</f>
        <v>0</v>
      </c>
      <c r="Y75" s="24">
        <f>IF(Z74&gt;0,ROUND(ROUND(Z74*100,0)*ROUND(X$7*10000,0)/12000000,0)/100,0)</f>
        <v>0</v>
      </c>
      <c r="Z75" s="24">
        <f>IF(Z74&gt;0,ROUND(Z74+Y75-X75,2),0)</f>
        <v>0</v>
      </c>
      <c r="AA75" s="24">
        <f>IF(AC74&gt;0,MIN(ROUND(AA$6+IF(AA$5=$C75,$E$5+$E75,0),2),ROUND(AC74+AB75,2)),0)</f>
        <v>0</v>
      </c>
      <c r="AB75" s="24">
        <f>IF(AC74&gt;0,ROUND(ROUND(AC74*100,0)*ROUND(AA$7*10000,0)/12000000,0)/100,0)</f>
        <v>0</v>
      </c>
      <c r="AC75" s="24">
        <f>IF(AC74&gt;0,ROUND(AC74+AB75-AA75,2),0)</f>
        <v>0</v>
      </c>
      <c r="AD75" s="24">
        <f>IF(AF74&gt;0,MIN(ROUND(AD$6+IF(AD$5=$C75,$E$5+$E75,0),2),ROUND(AF74+AE75,2)),0)</f>
        <v>0</v>
      </c>
      <c r="AE75" s="24">
        <f>IF(AF74&gt;0,ROUND(ROUND(AF74*100,0)*ROUND(AD$7*10000,0)/12000000,0)/100,0)</f>
        <v>0</v>
      </c>
      <c r="AF75" s="24">
        <f>IF(AF74&gt;0,ROUND(AF74+AE75-AD75,2),0)</f>
        <v>0</v>
      </c>
      <c r="AG75" s="24">
        <f>IF(AI74&gt;0,MIN(ROUND(AG$6+IF(AG$5=$C75,$E$5+$E75,0),2),ROUND(AI74+AH75,2)),0)</f>
        <v>0</v>
      </c>
      <c r="AH75" s="24">
        <f>IF(AI74&gt;0,ROUND(ROUND(AI74*100,0)*ROUND(AG$7*10000,0)/12000000,0)/100,0)</f>
        <v>0</v>
      </c>
      <c r="AI75" s="24">
        <f>IF(AI74&gt;0,ROUND(AI74+AH75-AG75,2),0)</f>
        <v>0</v>
      </c>
      <c r="AJ75" s="24">
        <f>IF(AL74&gt;0,MIN(ROUND(AJ$6+IF(AJ$5=$C75,$E$5+$E75,0),2),ROUND(AL74+AK75,2)),0)</f>
        <v>0</v>
      </c>
      <c r="AK75" s="24">
        <f>IF(AL74&gt;0,ROUND(ROUND(AL74*100,0)*ROUND(AJ$7*10000,0)/12000000,0)/100,0)</f>
        <v>0</v>
      </c>
      <c r="AL75" s="24">
        <f>IF(AL74&gt;0,ROUND(AL74+AK75-AJ75,2),0)</f>
        <v>0</v>
      </c>
    </row>
    <row r="76" spans="1:38" x14ac:dyDescent="0.25">
      <c r="A76" s="17" t="str">
        <f>IF(F76&gt;0,66,"")</f>
        <v/>
      </c>
      <c r="B76" s="18" t="str">
        <f>IF(F76&gt;0,EDATE($E$6,66),"")</f>
        <v/>
      </c>
      <c r="C76" s="21">
        <f>IF(H75&gt;0,MIN(IF(K75&gt;0,I$5,99),IF(N75&gt;0,L$5,99),IF(Q75&gt;0,O$5,99),IF(T75&gt;0,R$5,99),IF(W75&gt;0,U$5,99),IF(Z75&gt;0,X$5,99),IF(AC75&gt;0,AA$5,99),IF(AF75&gt;0,AD$5,99),IF(AI75&gt;0,AG$5,99),IF(AL75&gt;0,AJ$5,99)),0)</f>
        <v>0</v>
      </c>
      <c r="D76" t="str">
        <f>IF(C76&gt;0,INDEX($I$4:$AL$4,1,MATCH(C76,$I$5:$AL$5,0)),"")</f>
        <v/>
      </c>
      <c r="E76" s="24">
        <f>ROUND(IF(AND(I$8&gt;0,K75=0),I$6,0)+IF(AND(L$8&gt;0,N75=0),L$6,0)+IF(AND(O$8&gt;0,Q75=0),O$6,0)+IF(AND(R$8&gt;0,T75=0),R$6,0)+IF(AND(U$8&gt;0,W75=0),U$6,0)+IF(AND(X$8&gt;0,Z75=0),X$6,0)+IF(AND(AA$8&gt;0,AC75=0),AA$6,0)+IF(AND(AD$8&gt;0,AF75=0),AD$6,0)+IF(AND(AG$8&gt;0,AI75=0),AG$6,0)+IF(AND(AJ$8&gt;0,AL75=0),AJ$6,0),2)</f>
        <v>330</v>
      </c>
      <c r="F76" s="24">
        <f>ROUND(I76+L76+O76+R76+U76+X76+AA76+AD76+AG76+AJ76,2)</f>
        <v>0</v>
      </c>
      <c r="G76" s="24">
        <f>ROUND(J76+M76+P76+S76+V76+Y76+AB76+AE76+AH76+AK76,2)</f>
        <v>0</v>
      </c>
      <c r="H76" s="24">
        <f>ROUND(K76+N76+Q76+T76+W76+Z76+AC76+AF76+AI76+AL76,2)</f>
        <v>0</v>
      </c>
      <c r="I76" s="24">
        <f>IF(K75&gt;0,MIN(ROUND(I$6+IF(I$5=$C76,$E$5+$E76,0),2),ROUND(K75+J76,2)),0)</f>
        <v>0</v>
      </c>
      <c r="J76" s="24">
        <f>IF(K75&gt;0,ROUND(ROUND(K75*100,0)*ROUND(I$7*10000,0)/12000000,0)/100,0)</f>
        <v>0</v>
      </c>
      <c r="K76" s="24">
        <f>IF(K75&gt;0,ROUND(K75+J76-I76,2),0)</f>
        <v>0</v>
      </c>
      <c r="L76" s="24">
        <f>IF(N75&gt;0,MIN(ROUND(L$6+IF(L$5=$C76,$E$5+$E76,0),2),ROUND(N75+M76,2)),0)</f>
        <v>0</v>
      </c>
      <c r="M76" s="24">
        <f>IF(N75&gt;0,ROUND(ROUND(N75*100,0)*ROUND(L$7*10000,0)/12000000,0)/100,0)</f>
        <v>0</v>
      </c>
      <c r="N76" s="24">
        <f>IF(N75&gt;0,ROUND(N75+M76-L76,2),0)</f>
        <v>0</v>
      </c>
      <c r="O76" s="24">
        <f>IF(Q75&gt;0,MIN(ROUND(O$6+IF(O$5=$C76,$E$5+$E76,0),2),ROUND(Q75+P76,2)),0)</f>
        <v>0</v>
      </c>
      <c r="P76" s="24">
        <f>IF(Q75&gt;0,ROUND(ROUND(Q75*100,0)*ROUND(O$7*10000,0)/12000000,0)/100,0)</f>
        <v>0</v>
      </c>
      <c r="Q76" s="24">
        <f>IF(Q75&gt;0,ROUND(Q75+P76-O76,2),0)</f>
        <v>0</v>
      </c>
      <c r="R76" s="24">
        <f>IF(T75&gt;0,MIN(ROUND(R$6+IF(R$5=$C76,$E$5+$E76,0),2),ROUND(T75+S76,2)),0)</f>
        <v>0</v>
      </c>
      <c r="S76" s="24">
        <f>IF(T75&gt;0,ROUND(ROUND(T75*100,0)*ROUND(R$7*10000,0)/12000000,0)/100,0)</f>
        <v>0</v>
      </c>
      <c r="T76" s="24">
        <f>IF(T75&gt;0,ROUND(T75+S76-R76,2),0)</f>
        <v>0</v>
      </c>
      <c r="U76" s="24">
        <f>IF(W75&gt;0,MIN(ROUND(U$6+IF(U$5=$C76,$E$5+$E76,0),2),ROUND(W75+V76,2)),0)</f>
        <v>0</v>
      </c>
      <c r="V76" s="24">
        <f>IF(W75&gt;0,ROUND(ROUND(W75*100,0)*ROUND(U$7*10000,0)/12000000,0)/100,0)</f>
        <v>0</v>
      </c>
      <c r="W76" s="24">
        <f>IF(W75&gt;0,ROUND(W75+V76-U76,2),0)</f>
        <v>0</v>
      </c>
      <c r="X76" s="24">
        <f>IF(Z75&gt;0,MIN(ROUND(X$6+IF(X$5=$C76,$E$5+$E76,0),2),ROUND(Z75+Y76,2)),0)</f>
        <v>0</v>
      </c>
      <c r="Y76" s="24">
        <f>IF(Z75&gt;0,ROUND(ROUND(Z75*100,0)*ROUND(X$7*10000,0)/12000000,0)/100,0)</f>
        <v>0</v>
      </c>
      <c r="Z76" s="24">
        <f>IF(Z75&gt;0,ROUND(Z75+Y76-X76,2),0)</f>
        <v>0</v>
      </c>
      <c r="AA76" s="24">
        <f>IF(AC75&gt;0,MIN(ROUND(AA$6+IF(AA$5=$C76,$E$5+$E76,0),2),ROUND(AC75+AB76,2)),0)</f>
        <v>0</v>
      </c>
      <c r="AB76" s="24">
        <f>IF(AC75&gt;0,ROUND(ROUND(AC75*100,0)*ROUND(AA$7*10000,0)/12000000,0)/100,0)</f>
        <v>0</v>
      </c>
      <c r="AC76" s="24">
        <f>IF(AC75&gt;0,ROUND(AC75+AB76-AA76,2),0)</f>
        <v>0</v>
      </c>
      <c r="AD76" s="24">
        <f>IF(AF75&gt;0,MIN(ROUND(AD$6+IF(AD$5=$C76,$E$5+$E76,0),2),ROUND(AF75+AE76,2)),0)</f>
        <v>0</v>
      </c>
      <c r="AE76" s="24">
        <f>IF(AF75&gt;0,ROUND(ROUND(AF75*100,0)*ROUND(AD$7*10000,0)/12000000,0)/100,0)</f>
        <v>0</v>
      </c>
      <c r="AF76" s="24">
        <f>IF(AF75&gt;0,ROUND(AF75+AE76-AD76,2),0)</f>
        <v>0</v>
      </c>
      <c r="AG76" s="24">
        <f>IF(AI75&gt;0,MIN(ROUND(AG$6+IF(AG$5=$C76,$E$5+$E76,0),2),ROUND(AI75+AH76,2)),0)</f>
        <v>0</v>
      </c>
      <c r="AH76" s="24">
        <f>IF(AI75&gt;0,ROUND(ROUND(AI75*100,0)*ROUND(AG$7*10000,0)/12000000,0)/100,0)</f>
        <v>0</v>
      </c>
      <c r="AI76" s="24">
        <f>IF(AI75&gt;0,ROUND(AI75+AH76-AG76,2),0)</f>
        <v>0</v>
      </c>
      <c r="AJ76" s="24">
        <f>IF(AL75&gt;0,MIN(ROUND(AJ$6+IF(AJ$5=$C76,$E$5+$E76,0),2),ROUND(AL75+AK76,2)),0)</f>
        <v>0</v>
      </c>
      <c r="AK76" s="24">
        <f>IF(AL75&gt;0,ROUND(ROUND(AL75*100,0)*ROUND(AJ$7*10000,0)/12000000,0)/100,0)</f>
        <v>0</v>
      </c>
      <c r="AL76" s="24">
        <f>IF(AL75&gt;0,ROUND(AL75+AK76-AJ76,2),0)</f>
        <v>0</v>
      </c>
    </row>
    <row r="77" spans="1:38" x14ac:dyDescent="0.25">
      <c r="A77" s="17" t="str">
        <f>IF(F77&gt;0,67,"")</f>
        <v/>
      </c>
      <c r="B77" s="18" t="str">
        <f>IF(F77&gt;0,EDATE($E$6,67),"")</f>
        <v/>
      </c>
      <c r="C77" s="21">
        <f>IF(H76&gt;0,MIN(IF(K76&gt;0,I$5,99),IF(N76&gt;0,L$5,99),IF(Q76&gt;0,O$5,99),IF(T76&gt;0,R$5,99),IF(W76&gt;0,U$5,99),IF(Z76&gt;0,X$5,99),IF(AC76&gt;0,AA$5,99),IF(AF76&gt;0,AD$5,99),IF(AI76&gt;0,AG$5,99),IF(AL76&gt;0,AJ$5,99)),0)</f>
        <v>0</v>
      </c>
      <c r="D77" t="str">
        <f>IF(C77&gt;0,INDEX($I$4:$AL$4,1,MATCH(C77,$I$5:$AL$5,0)),"")</f>
        <v/>
      </c>
      <c r="E77" s="24">
        <f>ROUND(IF(AND(I$8&gt;0,K76=0),I$6,0)+IF(AND(L$8&gt;0,N76=0),L$6,0)+IF(AND(O$8&gt;0,Q76=0),O$6,0)+IF(AND(R$8&gt;0,T76=0),R$6,0)+IF(AND(U$8&gt;0,W76=0),U$6,0)+IF(AND(X$8&gt;0,Z76=0),X$6,0)+IF(AND(AA$8&gt;0,AC76=0),AA$6,0)+IF(AND(AD$8&gt;0,AF76=0),AD$6,0)+IF(AND(AG$8&gt;0,AI76=0),AG$6,0)+IF(AND(AJ$8&gt;0,AL76=0),AJ$6,0),2)</f>
        <v>330</v>
      </c>
      <c r="F77" s="24">
        <f>ROUND(I77+L77+O77+R77+U77+X77+AA77+AD77+AG77+AJ77,2)</f>
        <v>0</v>
      </c>
      <c r="G77" s="24">
        <f>ROUND(J77+M77+P77+S77+V77+Y77+AB77+AE77+AH77+AK77,2)</f>
        <v>0</v>
      </c>
      <c r="H77" s="24">
        <f>ROUND(K77+N77+Q77+T77+W77+Z77+AC77+AF77+AI77+AL77,2)</f>
        <v>0</v>
      </c>
      <c r="I77" s="24">
        <f>IF(K76&gt;0,MIN(ROUND(I$6+IF(I$5=$C77,$E$5+$E77,0),2),ROUND(K76+J77,2)),0)</f>
        <v>0</v>
      </c>
      <c r="J77" s="24">
        <f>IF(K76&gt;0,ROUND(ROUND(K76*100,0)*ROUND(I$7*10000,0)/12000000,0)/100,0)</f>
        <v>0</v>
      </c>
      <c r="K77" s="24">
        <f>IF(K76&gt;0,ROUND(K76+J77-I77,2),0)</f>
        <v>0</v>
      </c>
      <c r="L77" s="24">
        <f>IF(N76&gt;0,MIN(ROUND(L$6+IF(L$5=$C77,$E$5+$E77,0),2),ROUND(N76+M77,2)),0)</f>
        <v>0</v>
      </c>
      <c r="M77" s="24">
        <f>IF(N76&gt;0,ROUND(ROUND(N76*100,0)*ROUND(L$7*10000,0)/12000000,0)/100,0)</f>
        <v>0</v>
      </c>
      <c r="N77" s="24">
        <f>IF(N76&gt;0,ROUND(N76+M77-L77,2),0)</f>
        <v>0</v>
      </c>
      <c r="O77" s="24">
        <f>IF(Q76&gt;0,MIN(ROUND(O$6+IF(O$5=$C77,$E$5+$E77,0),2),ROUND(Q76+P77,2)),0)</f>
        <v>0</v>
      </c>
      <c r="P77" s="24">
        <f>IF(Q76&gt;0,ROUND(ROUND(Q76*100,0)*ROUND(O$7*10000,0)/12000000,0)/100,0)</f>
        <v>0</v>
      </c>
      <c r="Q77" s="24">
        <f>IF(Q76&gt;0,ROUND(Q76+P77-O77,2),0)</f>
        <v>0</v>
      </c>
      <c r="R77" s="24">
        <f>IF(T76&gt;0,MIN(ROUND(R$6+IF(R$5=$C77,$E$5+$E77,0),2),ROUND(T76+S77,2)),0)</f>
        <v>0</v>
      </c>
      <c r="S77" s="24">
        <f>IF(T76&gt;0,ROUND(ROUND(T76*100,0)*ROUND(R$7*10000,0)/12000000,0)/100,0)</f>
        <v>0</v>
      </c>
      <c r="T77" s="24">
        <f>IF(T76&gt;0,ROUND(T76+S77-R77,2),0)</f>
        <v>0</v>
      </c>
      <c r="U77" s="24">
        <f>IF(W76&gt;0,MIN(ROUND(U$6+IF(U$5=$C77,$E$5+$E77,0),2),ROUND(W76+V77,2)),0)</f>
        <v>0</v>
      </c>
      <c r="V77" s="24">
        <f>IF(W76&gt;0,ROUND(ROUND(W76*100,0)*ROUND(U$7*10000,0)/12000000,0)/100,0)</f>
        <v>0</v>
      </c>
      <c r="W77" s="24">
        <f>IF(W76&gt;0,ROUND(W76+V77-U77,2),0)</f>
        <v>0</v>
      </c>
      <c r="X77" s="24">
        <f>IF(Z76&gt;0,MIN(ROUND(X$6+IF(X$5=$C77,$E$5+$E77,0),2),ROUND(Z76+Y77,2)),0)</f>
        <v>0</v>
      </c>
      <c r="Y77" s="24">
        <f>IF(Z76&gt;0,ROUND(ROUND(Z76*100,0)*ROUND(X$7*10000,0)/12000000,0)/100,0)</f>
        <v>0</v>
      </c>
      <c r="Z77" s="24">
        <f>IF(Z76&gt;0,ROUND(Z76+Y77-X77,2),0)</f>
        <v>0</v>
      </c>
      <c r="AA77" s="24">
        <f>IF(AC76&gt;0,MIN(ROUND(AA$6+IF(AA$5=$C77,$E$5+$E77,0),2),ROUND(AC76+AB77,2)),0)</f>
        <v>0</v>
      </c>
      <c r="AB77" s="24">
        <f>IF(AC76&gt;0,ROUND(ROUND(AC76*100,0)*ROUND(AA$7*10000,0)/12000000,0)/100,0)</f>
        <v>0</v>
      </c>
      <c r="AC77" s="24">
        <f>IF(AC76&gt;0,ROUND(AC76+AB77-AA77,2),0)</f>
        <v>0</v>
      </c>
      <c r="AD77" s="24">
        <f>IF(AF76&gt;0,MIN(ROUND(AD$6+IF(AD$5=$C77,$E$5+$E77,0),2),ROUND(AF76+AE77,2)),0)</f>
        <v>0</v>
      </c>
      <c r="AE77" s="24">
        <f>IF(AF76&gt;0,ROUND(ROUND(AF76*100,0)*ROUND(AD$7*10000,0)/12000000,0)/100,0)</f>
        <v>0</v>
      </c>
      <c r="AF77" s="24">
        <f>IF(AF76&gt;0,ROUND(AF76+AE77-AD77,2),0)</f>
        <v>0</v>
      </c>
      <c r="AG77" s="24">
        <f>IF(AI76&gt;0,MIN(ROUND(AG$6+IF(AG$5=$C77,$E$5+$E77,0),2),ROUND(AI76+AH77,2)),0)</f>
        <v>0</v>
      </c>
      <c r="AH77" s="24">
        <f>IF(AI76&gt;0,ROUND(ROUND(AI76*100,0)*ROUND(AG$7*10000,0)/12000000,0)/100,0)</f>
        <v>0</v>
      </c>
      <c r="AI77" s="24">
        <f>IF(AI76&gt;0,ROUND(AI76+AH77-AG77,2),0)</f>
        <v>0</v>
      </c>
      <c r="AJ77" s="24">
        <f>IF(AL76&gt;0,MIN(ROUND(AJ$6+IF(AJ$5=$C77,$E$5+$E77,0),2),ROUND(AL76+AK77,2)),0)</f>
        <v>0</v>
      </c>
      <c r="AK77" s="24">
        <f>IF(AL76&gt;0,ROUND(ROUND(AL76*100,0)*ROUND(AJ$7*10000,0)/12000000,0)/100,0)</f>
        <v>0</v>
      </c>
      <c r="AL77" s="24">
        <f>IF(AL76&gt;0,ROUND(AL76+AK77-AJ77,2),0)</f>
        <v>0</v>
      </c>
    </row>
    <row r="78" spans="1:38" x14ac:dyDescent="0.25">
      <c r="A78" s="17" t="str">
        <f>IF(F78&gt;0,68,"")</f>
        <v/>
      </c>
      <c r="B78" s="18" t="str">
        <f>IF(F78&gt;0,EDATE($E$6,68),"")</f>
        <v/>
      </c>
      <c r="C78" s="21">
        <f>IF(H77&gt;0,MIN(IF(K77&gt;0,I$5,99),IF(N77&gt;0,L$5,99),IF(Q77&gt;0,O$5,99),IF(T77&gt;0,R$5,99),IF(W77&gt;0,U$5,99),IF(Z77&gt;0,X$5,99),IF(AC77&gt;0,AA$5,99),IF(AF77&gt;0,AD$5,99),IF(AI77&gt;0,AG$5,99),IF(AL77&gt;0,AJ$5,99)),0)</f>
        <v>0</v>
      </c>
      <c r="D78" t="str">
        <f>IF(C78&gt;0,INDEX($I$4:$AL$4,1,MATCH(C78,$I$5:$AL$5,0)),"")</f>
        <v/>
      </c>
      <c r="E78" s="24">
        <f>ROUND(IF(AND(I$8&gt;0,K77=0),I$6,0)+IF(AND(L$8&gt;0,N77=0),L$6,0)+IF(AND(O$8&gt;0,Q77=0),O$6,0)+IF(AND(R$8&gt;0,T77=0),R$6,0)+IF(AND(U$8&gt;0,W77=0),U$6,0)+IF(AND(X$8&gt;0,Z77=0),X$6,0)+IF(AND(AA$8&gt;0,AC77=0),AA$6,0)+IF(AND(AD$8&gt;0,AF77=0),AD$6,0)+IF(AND(AG$8&gt;0,AI77=0),AG$6,0)+IF(AND(AJ$8&gt;0,AL77=0),AJ$6,0),2)</f>
        <v>330</v>
      </c>
      <c r="F78" s="24">
        <f>ROUND(I78+L78+O78+R78+U78+X78+AA78+AD78+AG78+AJ78,2)</f>
        <v>0</v>
      </c>
      <c r="G78" s="24">
        <f>ROUND(J78+M78+P78+S78+V78+Y78+AB78+AE78+AH78+AK78,2)</f>
        <v>0</v>
      </c>
      <c r="H78" s="24">
        <f>ROUND(K78+N78+Q78+T78+W78+Z78+AC78+AF78+AI78+AL78,2)</f>
        <v>0</v>
      </c>
      <c r="I78" s="24">
        <f>IF(K77&gt;0,MIN(ROUND(I$6+IF(I$5=$C78,$E$5+$E78,0),2),ROUND(K77+J78,2)),0)</f>
        <v>0</v>
      </c>
      <c r="J78" s="24">
        <f>IF(K77&gt;0,ROUND(ROUND(K77*100,0)*ROUND(I$7*10000,0)/12000000,0)/100,0)</f>
        <v>0</v>
      </c>
      <c r="K78" s="24">
        <f>IF(K77&gt;0,ROUND(K77+J78-I78,2),0)</f>
        <v>0</v>
      </c>
      <c r="L78" s="24">
        <f>IF(N77&gt;0,MIN(ROUND(L$6+IF(L$5=$C78,$E$5+$E78,0),2),ROUND(N77+M78,2)),0)</f>
        <v>0</v>
      </c>
      <c r="M78" s="24">
        <f>IF(N77&gt;0,ROUND(ROUND(N77*100,0)*ROUND(L$7*10000,0)/12000000,0)/100,0)</f>
        <v>0</v>
      </c>
      <c r="N78" s="24">
        <f>IF(N77&gt;0,ROUND(N77+M78-L78,2),0)</f>
        <v>0</v>
      </c>
      <c r="O78" s="24">
        <f>IF(Q77&gt;0,MIN(ROUND(O$6+IF(O$5=$C78,$E$5+$E78,0),2),ROUND(Q77+P78,2)),0)</f>
        <v>0</v>
      </c>
      <c r="P78" s="24">
        <f>IF(Q77&gt;0,ROUND(ROUND(Q77*100,0)*ROUND(O$7*10000,0)/12000000,0)/100,0)</f>
        <v>0</v>
      </c>
      <c r="Q78" s="24">
        <f>IF(Q77&gt;0,ROUND(Q77+P78-O78,2),0)</f>
        <v>0</v>
      </c>
      <c r="R78" s="24">
        <f>IF(T77&gt;0,MIN(ROUND(R$6+IF(R$5=$C78,$E$5+$E78,0),2),ROUND(T77+S78,2)),0)</f>
        <v>0</v>
      </c>
      <c r="S78" s="24">
        <f>IF(T77&gt;0,ROUND(ROUND(T77*100,0)*ROUND(R$7*10000,0)/12000000,0)/100,0)</f>
        <v>0</v>
      </c>
      <c r="T78" s="24">
        <f>IF(T77&gt;0,ROUND(T77+S78-R78,2),0)</f>
        <v>0</v>
      </c>
      <c r="U78" s="24">
        <f>IF(W77&gt;0,MIN(ROUND(U$6+IF(U$5=$C78,$E$5+$E78,0),2),ROUND(W77+V78,2)),0)</f>
        <v>0</v>
      </c>
      <c r="V78" s="24">
        <f>IF(W77&gt;0,ROUND(ROUND(W77*100,0)*ROUND(U$7*10000,0)/12000000,0)/100,0)</f>
        <v>0</v>
      </c>
      <c r="W78" s="24">
        <f>IF(W77&gt;0,ROUND(W77+V78-U78,2),0)</f>
        <v>0</v>
      </c>
      <c r="X78" s="24">
        <f>IF(Z77&gt;0,MIN(ROUND(X$6+IF(X$5=$C78,$E$5+$E78,0),2),ROUND(Z77+Y78,2)),0)</f>
        <v>0</v>
      </c>
      <c r="Y78" s="24">
        <f>IF(Z77&gt;0,ROUND(ROUND(Z77*100,0)*ROUND(X$7*10000,0)/12000000,0)/100,0)</f>
        <v>0</v>
      </c>
      <c r="Z78" s="24">
        <f>IF(Z77&gt;0,ROUND(Z77+Y78-X78,2),0)</f>
        <v>0</v>
      </c>
      <c r="AA78" s="24">
        <f>IF(AC77&gt;0,MIN(ROUND(AA$6+IF(AA$5=$C78,$E$5+$E78,0),2),ROUND(AC77+AB78,2)),0)</f>
        <v>0</v>
      </c>
      <c r="AB78" s="24">
        <f>IF(AC77&gt;0,ROUND(ROUND(AC77*100,0)*ROUND(AA$7*10000,0)/12000000,0)/100,0)</f>
        <v>0</v>
      </c>
      <c r="AC78" s="24">
        <f>IF(AC77&gt;0,ROUND(AC77+AB78-AA78,2),0)</f>
        <v>0</v>
      </c>
      <c r="AD78" s="24">
        <f>IF(AF77&gt;0,MIN(ROUND(AD$6+IF(AD$5=$C78,$E$5+$E78,0),2),ROUND(AF77+AE78,2)),0)</f>
        <v>0</v>
      </c>
      <c r="AE78" s="24">
        <f>IF(AF77&gt;0,ROUND(ROUND(AF77*100,0)*ROUND(AD$7*10000,0)/12000000,0)/100,0)</f>
        <v>0</v>
      </c>
      <c r="AF78" s="24">
        <f>IF(AF77&gt;0,ROUND(AF77+AE78-AD78,2),0)</f>
        <v>0</v>
      </c>
      <c r="AG78" s="24">
        <f>IF(AI77&gt;0,MIN(ROUND(AG$6+IF(AG$5=$C78,$E$5+$E78,0),2),ROUND(AI77+AH78,2)),0)</f>
        <v>0</v>
      </c>
      <c r="AH78" s="24">
        <f>IF(AI77&gt;0,ROUND(ROUND(AI77*100,0)*ROUND(AG$7*10000,0)/12000000,0)/100,0)</f>
        <v>0</v>
      </c>
      <c r="AI78" s="24">
        <f>IF(AI77&gt;0,ROUND(AI77+AH78-AG78,2),0)</f>
        <v>0</v>
      </c>
      <c r="AJ78" s="24">
        <f>IF(AL77&gt;0,MIN(ROUND(AJ$6+IF(AJ$5=$C78,$E$5+$E78,0),2),ROUND(AL77+AK78,2)),0)</f>
        <v>0</v>
      </c>
      <c r="AK78" s="24">
        <f>IF(AL77&gt;0,ROUND(ROUND(AL77*100,0)*ROUND(AJ$7*10000,0)/12000000,0)/100,0)</f>
        <v>0</v>
      </c>
      <c r="AL78" s="24">
        <f>IF(AL77&gt;0,ROUND(AL77+AK78-AJ78,2),0)</f>
        <v>0</v>
      </c>
    </row>
    <row r="79" spans="1:38" x14ac:dyDescent="0.25">
      <c r="A79" s="17" t="str">
        <f>IF(F79&gt;0,69,"")</f>
        <v/>
      </c>
      <c r="B79" s="18" t="str">
        <f>IF(F79&gt;0,EDATE($E$6,69),"")</f>
        <v/>
      </c>
      <c r="C79" s="21">
        <f>IF(H78&gt;0,MIN(IF(K78&gt;0,I$5,99),IF(N78&gt;0,L$5,99),IF(Q78&gt;0,O$5,99),IF(T78&gt;0,R$5,99),IF(W78&gt;0,U$5,99),IF(Z78&gt;0,X$5,99),IF(AC78&gt;0,AA$5,99),IF(AF78&gt;0,AD$5,99),IF(AI78&gt;0,AG$5,99),IF(AL78&gt;0,AJ$5,99)),0)</f>
        <v>0</v>
      </c>
      <c r="D79" t="str">
        <f>IF(C79&gt;0,INDEX($I$4:$AL$4,1,MATCH(C79,$I$5:$AL$5,0)),"")</f>
        <v/>
      </c>
      <c r="E79" s="24">
        <f>ROUND(IF(AND(I$8&gt;0,K78=0),I$6,0)+IF(AND(L$8&gt;0,N78=0),L$6,0)+IF(AND(O$8&gt;0,Q78=0),O$6,0)+IF(AND(R$8&gt;0,T78=0),R$6,0)+IF(AND(U$8&gt;0,W78=0),U$6,0)+IF(AND(X$8&gt;0,Z78=0),X$6,0)+IF(AND(AA$8&gt;0,AC78=0),AA$6,0)+IF(AND(AD$8&gt;0,AF78=0),AD$6,0)+IF(AND(AG$8&gt;0,AI78=0),AG$6,0)+IF(AND(AJ$8&gt;0,AL78=0),AJ$6,0),2)</f>
        <v>330</v>
      </c>
      <c r="F79" s="24">
        <f>ROUND(I79+L79+O79+R79+U79+X79+AA79+AD79+AG79+AJ79,2)</f>
        <v>0</v>
      </c>
      <c r="G79" s="24">
        <f>ROUND(J79+M79+P79+S79+V79+Y79+AB79+AE79+AH79+AK79,2)</f>
        <v>0</v>
      </c>
      <c r="H79" s="24">
        <f>ROUND(K79+N79+Q79+T79+W79+Z79+AC79+AF79+AI79+AL79,2)</f>
        <v>0</v>
      </c>
      <c r="I79" s="24">
        <f>IF(K78&gt;0,MIN(ROUND(I$6+IF(I$5=$C79,$E$5+$E79,0),2),ROUND(K78+J79,2)),0)</f>
        <v>0</v>
      </c>
      <c r="J79" s="24">
        <f>IF(K78&gt;0,ROUND(ROUND(K78*100,0)*ROUND(I$7*10000,0)/12000000,0)/100,0)</f>
        <v>0</v>
      </c>
      <c r="K79" s="24">
        <f>IF(K78&gt;0,ROUND(K78+J79-I79,2),0)</f>
        <v>0</v>
      </c>
      <c r="L79" s="24">
        <f>IF(N78&gt;0,MIN(ROUND(L$6+IF(L$5=$C79,$E$5+$E79,0),2),ROUND(N78+M79,2)),0)</f>
        <v>0</v>
      </c>
      <c r="M79" s="24">
        <f>IF(N78&gt;0,ROUND(ROUND(N78*100,0)*ROUND(L$7*10000,0)/12000000,0)/100,0)</f>
        <v>0</v>
      </c>
      <c r="N79" s="24">
        <f>IF(N78&gt;0,ROUND(N78+M79-L79,2),0)</f>
        <v>0</v>
      </c>
      <c r="O79" s="24">
        <f>IF(Q78&gt;0,MIN(ROUND(O$6+IF(O$5=$C79,$E$5+$E79,0),2),ROUND(Q78+P79,2)),0)</f>
        <v>0</v>
      </c>
      <c r="P79" s="24">
        <f>IF(Q78&gt;0,ROUND(ROUND(Q78*100,0)*ROUND(O$7*10000,0)/12000000,0)/100,0)</f>
        <v>0</v>
      </c>
      <c r="Q79" s="24">
        <f>IF(Q78&gt;0,ROUND(Q78+P79-O79,2),0)</f>
        <v>0</v>
      </c>
      <c r="R79" s="24">
        <f>IF(T78&gt;0,MIN(ROUND(R$6+IF(R$5=$C79,$E$5+$E79,0),2),ROUND(T78+S79,2)),0)</f>
        <v>0</v>
      </c>
      <c r="S79" s="24">
        <f>IF(T78&gt;0,ROUND(ROUND(T78*100,0)*ROUND(R$7*10000,0)/12000000,0)/100,0)</f>
        <v>0</v>
      </c>
      <c r="T79" s="24">
        <f>IF(T78&gt;0,ROUND(T78+S79-R79,2),0)</f>
        <v>0</v>
      </c>
      <c r="U79" s="24">
        <f>IF(W78&gt;0,MIN(ROUND(U$6+IF(U$5=$C79,$E$5+$E79,0),2),ROUND(W78+V79,2)),0)</f>
        <v>0</v>
      </c>
      <c r="V79" s="24">
        <f>IF(W78&gt;0,ROUND(ROUND(W78*100,0)*ROUND(U$7*10000,0)/12000000,0)/100,0)</f>
        <v>0</v>
      </c>
      <c r="W79" s="24">
        <f>IF(W78&gt;0,ROUND(W78+V79-U79,2),0)</f>
        <v>0</v>
      </c>
      <c r="X79" s="24">
        <f>IF(Z78&gt;0,MIN(ROUND(X$6+IF(X$5=$C79,$E$5+$E79,0),2),ROUND(Z78+Y79,2)),0)</f>
        <v>0</v>
      </c>
      <c r="Y79" s="24">
        <f>IF(Z78&gt;0,ROUND(ROUND(Z78*100,0)*ROUND(X$7*10000,0)/12000000,0)/100,0)</f>
        <v>0</v>
      </c>
      <c r="Z79" s="24">
        <f>IF(Z78&gt;0,ROUND(Z78+Y79-X79,2),0)</f>
        <v>0</v>
      </c>
      <c r="AA79" s="24">
        <f>IF(AC78&gt;0,MIN(ROUND(AA$6+IF(AA$5=$C79,$E$5+$E79,0),2),ROUND(AC78+AB79,2)),0)</f>
        <v>0</v>
      </c>
      <c r="AB79" s="24">
        <f>IF(AC78&gt;0,ROUND(ROUND(AC78*100,0)*ROUND(AA$7*10000,0)/12000000,0)/100,0)</f>
        <v>0</v>
      </c>
      <c r="AC79" s="24">
        <f>IF(AC78&gt;0,ROUND(AC78+AB79-AA79,2),0)</f>
        <v>0</v>
      </c>
      <c r="AD79" s="24">
        <f>IF(AF78&gt;0,MIN(ROUND(AD$6+IF(AD$5=$C79,$E$5+$E79,0),2),ROUND(AF78+AE79,2)),0)</f>
        <v>0</v>
      </c>
      <c r="AE79" s="24">
        <f>IF(AF78&gt;0,ROUND(ROUND(AF78*100,0)*ROUND(AD$7*10000,0)/12000000,0)/100,0)</f>
        <v>0</v>
      </c>
      <c r="AF79" s="24">
        <f>IF(AF78&gt;0,ROUND(AF78+AE79-AD79,2),0)</f>
        <v>0</v>
      </c>
      <c r="AG79" s="24">
        <f>IF(AI78&gt;0,MIN(ROUND(AG$6+IF(AG$5=$C79,$E$5+$E79,0),2),ROUND(AI78+AH79,2)),0)</f>
        <v>0</v>
      </c>
      <c r="AH79" s="24">
        <f>IF(AI78&gt;0,ROUND(ROUND(AI78*100,0)*ROUND(AG$7*10000,0)/12000000,0)/100,0)</f>
        <v>0</v>
      </c>
      <c r="AI79" s="24">
        <f>IF(AI78&gt;0,ROUND(AI78+AH79-AG79,2),0)</f>
        <v>0</v>
      </c>
      <c r="AJ79" s="24">
        <f>IF(AL78&gt;0,MIN(ROUND(AJ$6+IF(AJ$5=$C79,$E$5+$E79,0),2),ROUND(AL78+AK79,2)),0)</f>
        <v>0</v>
      </c>
      <c r="AK79" s="24">
        <f>IF(AL78&gt;0,ROUND(ROUND(AL78*100,0)*ROUND(AJ$7*10000,0)/12000000,0)/100,0)</f>
        <v>0</v>
      </c>
      <c r="AL79" s="24">
        <f>IF(AL78&gt;0,ROUND(AL78+AK79-AJ79,2),0)</f>
        <v>0</v>
      </c>
    </row>
    <row r="80" spans="1:38" x14ac:dyDescent="0.25">
      <c r="A80" s="17" t="str">
        <f>IF(F80&gt;0,70,"")</f>
        <v/>
      </c>
      <c r="B80" s="18" t="str">
        <f>IF(F80&gt;0,EDATE($E$6,70),"")</f>
        <v/>
      </c>
      <c r="C80" s="21">
        <f>IF(H79&gt;0,MIN(IF(K79&gt;0,I$5,99),IF(N79&gt;0,L$5,99),IF(Q79&gt;0,O$5,99),IF(T79&gt;0,R$5,99),IF(W79&gt;0,U$5,99),IF(Z79&gt;0,X$5,99),IF(AC79&gt;0,AA$5,99),IF(AF79&gt;0,AD$5,99),IF(AI79&gt;0,AG$5,99),IF(AL79&gt;0,AJ$5,99)),0)</f>
        <v>0</v>
      </c>
      <c r="D80" t="str">
        <f>IF(C80&gt;0,INDEX($I$4:$AL$4,1,MATCH(C80,$I$5:$AL$5,0)),"")</f>
        <v/>
      </c>
      <c r="E80" s="24">
        <f>ROUND(IF(AND(I$8&gt;0,K79=0),I$6,0)+IF(AND(L$8&gt;0,N79=0),L$6,0)+IF(AND(O$8&gt;0,Q79=0),O$6,0)+IF(AND(R$8&gt;0,T79=0),R$6,0)+IF(AND(U$8&gt;0,W79=0),U$6,0)+IF(AND(X$8&gt;0,Z79=0),X$6,0)+IF(AND(AA$8&gt;0,AC79=0),AA$6,0)+IF(AND(AD$8&gt;0,AF79=0),AD$6,0)+IF(AND(AG$8&gt;0,AI79=0),AG$6,0)+IF(AND(AJ$8&gt;0,AL79=0),AJ$6,0),2)</f>
        <v>330</v>
      </c>
      <c r="F80" s="24">
        <f>ROUND(I80+L80+O80+R80+U80+X80+AA80+AD80+AG80+AJ80,2)</f>
        <v>0</v>
      </c>
      <c r="G80" s="24">
        <f>ROUND(J80+M80+P80+S80+V80+Y80+AB80+AE80+AH80+AK80,2)</f>
        <v>0</v>
      </c>
      <c r="H80" s="24">
        <f>ROUND(K80+N80+Q80+T80+W80+Z80+AC80+AF80+AI80+AL80,2)</f>
        <v>0</v>
      </c>
      <c r="I80" s="24">
        <f>IF(K79&gt;0,MIN(ROUND(I$6+IF(I$5=$C80,$E$5+$E80,0),2),ROUND(K79+J80,2)),0)</f>
        <v>0</v>
      </c>
      <c r="J80" s="24">
        <f>IF(K79&gt;0,ROUND(ROUND(K79*100,0)*ROUND(I$7*10000,0)/12000000,0)/100,0)</f>
        <v>0</v>
      </c>
      <c r="K80" s="24">
        <f>IF(K79&gt;0,ROUND(K79+J80-I80,2),0)</f>
        <v>0</v>
      </c>
      <c r="L80" s="24">
        <f>IF(N79&gt;0,MIN(ROUND(L$6+IF(L$5=$C80,$E$5+$E80,0),2),ROUND(N79+M80,2)),0)</f>
        <v>0</v>
      </c>
      <c r="M80" s="24">
        <f>IF(N79&gt;0,ROUND(ROUND(N79*100,0)*ROUND(L$7*10000,0)/12000000,0)/100,0)</f>
        <v>0</v>
      </c>
      <c r="N80" s="24">
        <f>IF(N79&gt;0,ROUND(N79+M80-L80,2),0)</f>
        <v>0</v>
      </c>
      <c r="O80" s="24">
        <f>IF(Q79&gt;0,MIN(ROUND(O$6+IF(O$5=$C80,$E$5+$E80,0),2),ROUND(Q79+P80,2)),0)</f>
        <v>0</v>
      </c>
      <c r="P80" s="24">
        <f>IF(Q79&gt;0,ROUND(ROUND(Q79*100,0)*ROUND(O$7*10000,0)/12000000,0)/100,0)</f>
        <v>0</v>
      </c>
      <c r="Q80" s="24">
        <f>IF(Q79&gt;0,ROUND(Q79+P80-O80,2),0)</f>
        <v>0</v>
      </c>
      <c r="R80" s="24">
        <f>IF(T79&gt;0,MIN(ROUND(R$6+IF(R$5=$C80,$E$5+$E80,0),2),ROUND(T79+S80,2)),0)</f>
        <v>0</v>
      </c>
      <c r="S80" s="24">
        <f>IF(T79&gt;0,ROUND(ROUND(T79*100,0)*ROUND(R$7*10000,0)/12000000,0)/100,0)</f>
        <v>0</v>
      </c>
      <c r="T80" s="24">
        <f>IF(T79&gt;0,ROUND(T79+S80-R80,2),0)</f>
        <v>0</v>
      </c>
      <c r="U80" s="24">
        <f>IF(W79&gt;0,MIN(ROUND(U$6+IF(U$5=$C80,$E$5+$E80,0),2),ROUND(W79+V80,2)),0)</f>
        <v>0</v>
      </c>
      <c r="V80" s="24">
        <f>IF(W79&gt;0,ROUND(ROUND(W79*100,0)*ROUND(U$7*10000,0)/12000000,0)/100,0)</f>
        <v>0</v>
      </c>
      <c r="W80" s="24">
        <f>IF(W79&gt;0,ROUND(W79+V80-U80,2),0)</f>
        <v>0</v>
      </c>
      <c r="X80" s="24">
        <f>IF(Z79&gt;0,MIN(ROUND(X$6+IF(X$5=$C80,$E$5+$E80,0),2),ROUND(Z79+Y80,2)),0)</f>
        <v>0</v>
      </c>
      <c r="Y80" s="24">
        <f>IF(Z79&gt;0,ROUND(ROUND(Z79*100,0)*ROUND(X$7*10000,0)/12000000,0)/100,0)</f>
        <v>0</v>
      </c>
      <c r="Z80" s="24">
        <f>IF(Z79&gt;0,ROUND(Z79+Y80-X80,2),0)</f>
        <v>0</v>
      </c>
      <c r="AA80" s="24">
        <f>IF(AC79&gt;0,MIN(ROUND(AA$6+IF(AA$5=$C80,$E$5+$E80,0),2),ROUND(AC79+AB80,2)),0)</f>
        <v>0</v>
      </c>
      <c r="AB80" s="24">
        <f>IF(AC79&gt;0,ROUND(ROUND(AC79*100,0)*ROUND(AA$7*10000,0)/12000000,0)/100,0)</f>
        <v>0</v>
      </c>
      <c r="AC80" s="24">
        <f>IF(AC79&gt;0,ROUND(AC79+AB80-AA80,2),0)</f>
        <v>0</v>
      </c>
      <c r="AD80" s="24">
        <f>IF(AF79&gt;0,MIN(ROUND(AD$6+IF(AD$5=$C80,$E$5+$E80,0),2),ROUND(AF79+AE80,2)),0)</f>
        <v>0</v>
      </c>
      <c r="AE80" s="24">
        <f>IF(AF79&gt;0,ROUND(ROUND(AF79*100,0)*ROUND(AD$7*10000,0)/12000000,0)/100,0)</f>
        <v>0</v>
      </c>
      <c r="AF80" s="24">
        <f>IF(AF79&gt;0,ROUND(AF79+AE80-AD80,2),0)</f>
        <v>0</v>
      </c>
      <c r="AG80" s="24">
        <f>IF(AI79&gt;0,MIN(ROUND(AG$6+IF(AG$5=$C80,$E$5+$E80,0),2),ROUND(AI79+AH80,2)),0)</f>
        <v>0</v>
      </c>
      <c r="AH80" s="24">
        <f>IF(AI79&gt;0,ROUND(ROUND(AI79*100,0)*ROUND(AG$7*10000,0)/12000000,0)/100,0)</f>
        <v>0</v>
      </c>
      <c r="AI80" s="24">
        <f>IF(AI79&gt;0,ROUND(AI79+AH80-AG80,2),0)</f>
        <v>0</v>
      </c>
      <c r="AJ80" s="24">
        <f>IF(AL79&gt;0,MIN(ROUND(AJ$6+IF(AJ$5=$C80,$E$5+$E80,0),2),ROUND(AL79+AK80,2)),0)</f>
        <v>0</v>
      </c>
      <c r="AK80" s="24">
        <f>IF(AL79&gt;0,ROUND(ROUND(AL79*100,0)*ROUND(AJ$7*10000,0)/12000000,0)/100,0)</f>
        <v>0</v>
      </c>
      <c r="AL80" s="24">
        <f>IF(AL79&gt;0,ROUND(AL79+AK80-AJ80,2),0)</f>
        <v>0</v>
      </c>
    </row>
    <row r="81" spans="1:38" x14ac:dyDescent="0.25">
      <c r="A81" s="17" t="str">
        <f>IF(F81&gt;0,71,"")</f>
        <v/>
      </c>
      <c r="B81" s="18" t="str">
        <f>IF(F81&gt;0,EDATE($E$6,71),"")</f>
        <v/>
      </c>
      <c r="C81" s="21">
        <f>IF(H80&gt;0,MIN(IF(K80&gt;0,I$5,99),IF(N80&gt;0,L$5,99),IF(Q80&gt;0,O$5,99),IF(T80&gt;0,R$5,99),IF(W80&gt;0,U$5,99),IF(Z80&gt;0,X$5,99),IF(AC80&gt;0,AA$5,99),IF(AF80&gt;0,AD$5,99),IF(AI80&gt;0,AG$5,99),IF(AL80&gt;0,AJ$5,99)),0)</f>
        <v>0</v>
      </c>
      <c r="D81" t="str">
        <f>IF(C81&gt;0,INDEX($I$4:$AL$4,1,MATCH(C81,$I$5:$AL$5,0)),"")</f>
        <v/>
      </c>
      <c r="E81" s="24">
        <f>ROUND(IF(AND(I$8&gt;0,K80=0),I$6,0)+IF(AND(L$8&gt;0,N80=0),L$6,0)+IF(AND(O$8&gt;0,Q80=0),O$6,0)+IF(AND(R$8&gt;0,T80=0),R$6,0)+IF(AND(U$8&gt;0,W80=0),U$6,0)+IF(AND(X$8&gt;0,Z80=0),X$6,0)+IF(AND(AA$8&gt;0,AC80=0),AA$6,0)+IF(AND(AD$8&gt;0,AF80=0),AD$6,0)+IF(AND(AG$8&gt;0,AI80=0),AG$6,0)+IF(AND(AJ$8&gt;0,AL80=0),AJ$6,0),2)</f>
        <v>330</v>
      </c>
      <c r="F81" s="24">
        <f>ROUND(I81+L81+O81+R81+U81+X81+AA81+AD81+AG81+AJ81,2)</f>
        <v>0</v>
      </c>
      <c r="G81" s="24">
        <f>ROUND(J81+M81+P81+S81+V81+Y81+AB81+AE81+AH81+AK81,2)</f>
        <v>0</v>
      </c>
      <c r="H81" s="24">
        <f>ROUND(K81+N81+Q81+T81+W81+Z81+AC81+AF81+AI81+AL81,2)</f>
        <v>0</v>
      </c>
      <c r="I81" s="24">
        <f>IF(K80&gt;0,MIN(ROUND(I$6+IF(I$5=$C81,$E$5+$E81,0),2),ROUND(K80+J81,2)),0)</f>
        <v>0</v>
      </c>
      <c r="J81" s="24">
        <f>IF(K80&gt;0,ROUND(ROUND(K80*100,0)*ROUND(I$7*10000,0)/12000000,0)/100,0)</f>
        <v>0</v>
      </c>
      <c r="K81" s="24">
        <f>IF(K80&gt;0,ROUND(K80+J81-I81,2),0)</f>
        <v>0</v>
      </c>
      <c r="L81" s="24">
        <f>IF(N80&gt;0,MIN(ROUND(L$6+IF(L$5=$C81,$E$5+$E81,0),2),ROUND(N80+M81,2)),0)</f>
        <v>0</v>
      </c>
      <c r="M81" s="24">
        <f>IF(N80&gt;0,ROUND(ROUND(N80*100,0)*ROUND(L$7*10000,0)/12000000,0)/100,0)</f>
        <v>0</v>
      </c>
      <c r="N81" s="24">
        <f>IF(N80&gt;0,ROUND(N80+M81-L81,2),0)</f>
        <v>0</v>
      </c>
      <c r="O81" s="24">
        <f>IF(Q80&gt;0,MIN(ROUND(O$6+IF(O$5=$C81,$E$5+$E81,0),2),ROUND(Q80+P81,2)),0)</f>
        <v>0</v>
      </c>
      <c r="P81" s="24">
        <f>IF(Q80&gt;0,ROUND(ROUND(Q80*100,0)*ROUND(O$7*10000,0)/12000000,0)/100,0)</f>
        <v>0</v>
      </c>
      <c r="Q81" s="24">
        <f>IF(Q80&gt;0,ROUND(Q80+P81-O81,2),0)</f>
        <v>0</v>
      </c>
      <c r="R81" s="24">
        <f>IF(T80&gt;0,MIN(ROUND(R$6+IF(R$5=$C81,$E$5+$E81,0),2),ROUND(T80+S81,2)),0)</f>
        <v>0</v>
      </c>
      <c r="S81" s="24">
        <f>IF(T80&gt;0,ROUND(ROUND(T80*100,0)*ROUND(R$7*10000,0)/12000000,0)/100,0)</f>
        <v>0</v>
      </c>
      <c r="T81" s="24">
        <f>IF(T80&gt;0,ROUND(T80+S81-R81,2),0)</f>
        <v>0</v>
      </c>
      <c r="U81" s="24">
        <f>IF(W80&gt;0,MIN(ROUND(U$6+IF(U$5=$C81,$E$5+$E81,0),2),ROUND(W80+V81,2)),0)</f>
        <v>0</v>
      </c>
      <c r="V81" s="24">
        <f>IF(W80&gt;0,ROUND(ROUND(W80*100,0)*ROUND(U$7*10000,0)/12000000,0)/100,0)</f>
        <v>0</v>
      </c>
      <c r="W81" s="24">
        <f>IF(W80&gt;0,ROUND(W80+V81-U81,2),0)</f>
        <v>0</v>
      </c>
      <c r="X81" s="24">
        <f>IF(Z80&gt;0,MIN(ROUND(X$6+IF(X$5=$C81,$E$5+$E81,0),2),ROUND(Z80+Y81,2)),0)</f>
        <v>0</v>
      </c>
      <c r="Y81" s="24">
        <f>IF(Z80&gt;0,ROUND(ROUND(Z80*100,0)*ROUND(X$7*10000,0)/12000000,0)/100,0)</f>
        <v>0</v>
      </c>
      <c r="Z81" s="24">
        <f>IF(Z80&gt;0,ROUND(Z80+Y81-X81,2),0)</f>
        <v>0</v>
      </c>
      <c r="AA81" s="24">
        <f>IF(AC80&gt;0,MIN(ROUND(AA$6+IF(AA$5=$C81,$E$5+$E81,0),2),ROUND(AC80+AB81,2)),0)</f>
        <v>0</v>
      </c>
      <c r="AB81" s="24">
        <f>IF(AC80&gt;0,ROUND(ROUND(AC80*100,0)*ROUND(AA$7*10000,0)/12000000,0)/100,0)</f>
        <v>0</v>
      </c>
      <c r="AC81" s="24">
        <f>IF(AC80&gt;0,ROUND(AC80+AB81-AA81,2),0)</f>
        <v>0</v>
      </c>
      <c r="AD81" s="24">
        <f>IF(AF80&gt;0,MIN(ROUND(AD$6+IF(AD$5=$C81,$E$5+$E81,0),2),ROUND(AF80+AE81,2)),0)</f>
        <v>0</v>
      </c>
      <c r="AE81" s="24">
        <f>IF(AF80&gt;0,ROUND(ROUND(AF80*100,0)*ROUND(AD$7*10000,0)/12000000,0)/100,0)</f>
        <v>0</v>
      </c>
      <c r="AF81" s="24">
        <f>IF(AF80&gt;0,ROUND(AF80+AE81-AD81,2),0)</f>
        <v>0</v>
      </c>
      <c r="AG81" s="24">
        <f>IF(AI80&gt;0,MIN(ROUND(AG$6+IF(AG$5=$C81,$E$5+$E81,0),2),ROUND(AI80+AH81,2)),0)</f>
        <v>0</v>
      </c>
      <c r="AH81" s="24">
        <f>IF(AI80&gt;0,ROUND(ROUND(AI80*100,0)*ROUND(AG$7*10000,0)/12000000,0)/100,0)</f>
        <v>0</v>
      </c>
      <c r="AI81" s="24">
        <f>IF(AI80&gt;0,ROUND(AI80+AH81-AG81,2),0)</f>
        <v>0</v>
      </c>
      <c r="AJ81" s="24">
        <f>IF(AL80&gt;0,MIN(ROUND(AJ$6+IF(AJ$5=$C81,$E$5+$E81,0),2),ROUND(AL80+AK81,2)),0)</f>
        <v>0</v>
      </c>
      <c r="AK81" s="24">
        <f>IF(AL80&gt;0,ROUND(ROUND(AL80*100,0)*ROUND(AJ$7*10000,0)/12000000,0)/100,0)</f>
        <v>0</v>
      </c>
      <c r="AL81" s="24">
        <f>IF(AL80&gt;0,ROUND(AL80+AK81-AJ81,2),0)</f>
        <v>0</v>
      </c>
    </row>
    <row r="82" spans="1:38" x14ac:dyDescent="0.25">
      <c r="A82" s="17" t="str">
        <f>IF(F82&gt;0,72,"")</f>
        <v/>
      </c>
      <c r="B82" s="18" t="str">
        <f>IF(F82&gt;0,EDATE($E$6,72),"")</f>
        <v/>
      </c>
      <c r="C82" s="21">
        <f>IF(H81&gt;0,MIN(IF(K81&gt;0,I$5,99),IF(N81&gt;0,L$5,99),IF(Q81&gt;0,O$5,99),IF(T81&gt;0,R$5,99),IF(W81&gt;0,U$5,99),IF(Z81&gt;0,X$5,99),IF(AC81&gt;0,AA$5,99),IF(AF81&gt;0,AD$5,99),IF(AI81&gt;0,AG$5,99),IF(AL81&gt;0,AJ$5,99)),0)</f>
        <v>0</v>
      </c>
      <c r="D82" t="str">
        <f>IF(C82&gt;0,INDEX($I$4:$AL$4,1,MATCH(C82,$I$5:$AL$5,0)),"")</f>
        <v/>
      </c>
      <c r="E82" s="24">
        <f>ROUND(IF(AND(I$8&gt;0,K81=0),I$6,0)+IF(AND(L$8&gt;0,N81=0),L$6,0)+IF(AND(O$8&gt;0,Q81=0),O$6,0)+IF(AND(R$8&gt;0,T81=0),R$6,0)+IF(AND(U$8&gt;0,W81=0),U$6,0)+IF(AND(X$8&gt;0,Z81=0),X$6,0)+IF(AND(AA$8&gt;0,AC81=0),AA$6,0)+IF(AND(AD$8&gt;0,AF81=0),AD$6,0)+IF(AND(AG$8&gt;0,AI81=0),AG$6,0)+IF(AND(AJ$8&gt;0,AL81=0),AJ$6,0),2)</f>
        <v>330</v>
      </c>
      <c r="F82" s="24">
        <f>ROUND(I82+L82+O82+R82+U82+X82+AA82+AD82+AG82+AJ82,2)</f>
        <v>0</v>
      </c>
      <c r="G82" s="24">
        <f>ROUND(J82+M82+P82+S82+V82+Y82+AB82+AE82+AH82+AK82,2)</f>
        <v>0</v>
      </c>
      <c r="H82" s="24">
        <f>ROUND(K82+N82+Q82+T82+W82+Z82+AC82+AF82+AI82+AL82,2)</f>
        <v>0</v>
      </c>
      <c r="I82" s="24">
        <f>IF(K81&gt;0,MIN(ROUND(I$6+IF(I$5=$C82,$E$5+$E82,0),2),ROUND(K81+J82,2)),0)</f>
        <v>0</v>
      </c>
      <c r="J82" s="24">
        <f>IF(K81&gt;0,ROUND(ROUND(K81*100,0)*ROUND(I$7*10000,0)/12000000,0)/100,0)</f>
        <v>0</v>
      </c>
      <c r="K82" s="24">
        <f>IF(K81&gt;0,ROUND(K81+J82-I82,2),0)</f>
        <v>0</v>
      </c>
      <c r="L82" s="24">
        <f>IF(N81&gt;0,MIN(ROUND(L$6+IF(L$5=$C82,$E$5+$E82,0),2),ROUND(N81+M82,2)),0)</f>
        <v>0</v>
      </c>
      <c r="M82" s="24">
        <f>IF(N81&gt;0,ROUND(ROUND(N81*100,0)*ROUND(L$7*10000,0)/12000000,0)/100,0)</f>
        <v>0</v>
      </c>
      <c r="N82" s="24">
        <f>IF(N81&gt;0,ROUND(N81+M82-L82,2),0)</f>
        <v>0</v>
      </c>
      <c r="O82" s="24">
        <f>IF(Q81&gt;0,MIN(ROUND(O$6+IF(O$5=$C82,$E$5+$E82,0),2),ROUND(Q81+P82,2)),0)</f>
        <v>0</v>
      </c>
      <c r="P82" s="24">
        <f>IF(Q81&gt;0,ROUND(ROUND(Q81*100,0)*ROUND(O$7*10000,0)/12000000,0)/100,0)</f>
        <v>0</v>
      </c>
      <c r="Q82" s="24">
        <f>IF(Q81&gt;0,ROUND(Q81+P82-O82,2),0)</f>
        <v>0</v>
      </c>
      <c r="R82" s="24">
        <f>IF(T81&gt;0,MIN(ROUND(R$6+IF(R$5=$C82,$E$5+$E82,0),2),ROUND(T81+S82,2)),0)</f>
        <v>0</v>
      </c>
      <c r="S82" s="24">
        <f>IF(T81&gt;0,ROUND(ROUND(T81*100,0)*ROUND(R$7*10000,0)/12000000,0)/100,0)</f>
        <v>0</v>
      </c>
      <c r="T82" s="24">
        <f>IF(T81&gt;0,ROUND(T81+S82-R82,2),0)</f>
        <v>0</v>
      </c>
      <c r="U82" s="24">
        <f>IF(W81&gt;0,MIN(ROUND(U$6+IF(U$5=$C82,$E$5+$E82,0),2),ROUND(W81+V82,2)),0)</f>
        <v>0</v>
      </c>
      <c r="V82" s="24">
        <f>IF(W81&gt;0,ROUND(ROUND(W81*100,0)*ROUND(U$7*10000,0)/12000000,0)/100,0)</f>
        <v>0</v>
      </c>
      <c r="W82" s="24">
        <f>IF(W81&gt;0,ROUND(W81+V82-U82,2),0)</f>
        <v>0</v>
      </c>
      <c r="X82" s="24">
        <f>IF(Z81&gt;0,MIN(ROUND(X$6+IF(X$5=$C82,$E$5+$E82,0),2),ROUND(Z81+Y82,2)),0)</f>
        <v>0</v>
      </c>
      <c r="Y82" s="24">
        <f>IF(Z81&gt;0,ROUND(ROUND(Z81*100,0)*ROUND(X$7*10000,0)/12000000,0)/100,0)</f>
        <v>0</v>
      </c>
      <c r="Z82" s="24">
        <f>IF(Z81&gt;0,ROUND(Z81+Y82-X82,2),0)</f>
        <v>0</v>
      </c>
      <c r="AA82" s="24">
        <f>IF(AC81&gt;0,MIN(ROUND(AA$6+IF(AA$5=$C82,$E$5+$E82,0),2),ROUND(AC81+AB82,2)),0)</f>
        <v>0</v>
      </c>
      <c r="AB82" s="24">
        <f>IF(AC81&gt;0,ROUND(ROUND(AC81*100,0)*ROUND(AA$7*10000,0)/12000000,0)/100,0)</f>
        <v>0</v>
      </c>
      <c r="AC82" s="24">
        <f>IF(AC81&gt;0,ROUND(AC81+AB82-AA82,2),0)</f>
        <v>0</v>
      </c>
      <c r="AD82" s="24">
        <f>IF(AF81&gt;0,MIN(ROUND(AD$6+IF(AD$5=$C82,$E$5+$E82,0),2),ROUND(AF81+AE82,2)),0)</f>
        <v>0</v>
      </c>
      <c r="AE82" s="24">
        <f>IF(AF81&gt;0,ROUND(ROUND(AF81*100,0)*ROUND(AD$7*10000,0)/12000000,0)/100,0)</f>
        <v>0</v>
      </c>
      <c r="AF82" s="24">
        <f>IF(AF81&gt;0,ROUND(AF81+AE82-AD82,2),0)</f>
        <v>0</v>
      </c>
      <c r="AG82" s="24">
        <f>IF(AI81&gt;0,MIN(ROUND(AG$6+IF(AG$5=$C82,$E$5+$E82,0),2),ROUND(AI81+AH82,2)),0)</f>
        <v>0</v>
      </c>
      <c r="AH82" s="24">
        <f>IF(AI81&gt;0,ROUND(ROUND(AI81*100,0)*ROUND(AG$7*10000,0)/12000000,0)/100,0)</f>
        <v>0</v>
      </c>
      <c r="AI82" s="24">
        <f>IF(AI81&gt;0,ROUND(AI81+AH82-AG82,2),0)</f>
        <v>0</v>
      </c>
      <c r="AJ82" s="24">
        <f>IF(AL81&gt;0,MIN(ROUND(AJ$6+IF(AJ$5=$C82,$E$5+$E82,0),2),ROUND(AL81+AK82,2)),0)</f>
        <v>0</v>
      </c>
      <c r="AK82" s="24">
        <f>IF(AL81&gt;0,ROUND(ROUND(AL81*100,0)*ROUND(AJ$7*10000,0)/12000000,0)/100,0)</f>
        <v>0</v>
      </c>
      <c r="AL82" s="24">
        <f>IF(AL81&gt;0,ROUND(AL81+AK82-AJ82,2),0)</f>
        <v>0</v>
      </c>
    </row>
    <row r="83" spans="1:38" x14ac:dyDescent="0.25">
      <c r="A83" s="17" t="str">
        <f>IF(F83&gt;0,73,"")</f>
        <v/>
      </c>
      <c r="B83" s="18" t="str">
        <f>IF(F83&gt;0,EDATE($E$6,73),"")</f>
        <v/>
      </c>
      <c r="C83" s="21">
        <f>IF(H82&gt;0,MIN(IF(K82&gt;0,I$5,99),IF(N82&gt;0,L$5,99),IF(Q82&gt;0,O$5,99),IF(T82&gt;0,R$5,99),IF(W82&gt;0,U$5,99),IF(Z82&gt;0,X$5,99),IF(AC82&gt;0,AA$5,99),IF(AF82&gt;0,AD$5,99),IF(AI82&gt;0,AG$5,99),IF(AL82&gt;0,AJ$5,99)),0)</f>
        <v>0</v>
      </c>
      <c r="D83" t="str">
        <f>IF(C83&gt;0,INDEX($I$4:$AL$4,1,MATCH(C83,$I$5:$AL$5,0)),"")</f>
        <v/>
      </c>
      <c r="E83" s="24">
        <f>ROUND(IF(AND(I$8&gt;0,K82=0),I$6,0)+IF(AND(L$8&gt;0,N82=0),L$6,0)+IF(AND(O$8&gt;0,Q82=0),O$6,0)+IF(AND(R$8&gt;0,T82=0),R$6,0)+IF(AND(U$8&gt;0,W82=0),U$6,0)+IF(AND(X$8&gt;0,Z82=0),X$6,0)+IF(AND(AA$8&gt;0,AC82=0),AA$6,0)+IF(AND(AD$8&gt;0,AF82=0),AD$6,0)+IF(AND(AG$8&gt;0,AI82=0),AG$6,0)+IF(AND(AJ$8&gt;0,AL82=0),AJ$6,0),2)</f>
        <v>330</v>
      </c>
      <c r="F83" s="24">
        <f>ROUND(I83+L83+O83+R83+U83+X83+AA83+AD83+AG83+AJ83,2)</f>
        <v>0</v>
      </c>
      <c r="G83" s="24">
        <f>ROUND(J83+M83+P83+S83+V83+Y83+AB83+AE83+AH83+AK83,2)</f>
        <v>0</v>
      </c>
      <c r="H83" s="24">
        <f>ROUND(K83+N83+Q83+T83+W83+Z83+AC83+AF83+AI83+AL83,2)</f>
        <v>0</v>
      </c>
      <c r="I83" s="24">
        <f>IF(K82&gt;0,MIN(ROUND(I$6+IF(I$5=$C83,$E$5+$E83,0),2),ROUND(K82+J83,2)),0)</f>
        <v>0</v>
      </c>
      <c r="J83" s="24">
        <f>IF(K82&gt;0,ROUND(ROUND(K82*100,0)*ROUND(I$7*10000,0)/12000000,0)/100,0)</f>
        <v>0</v>
      </c>
      <c r="K83" s="24">
        <f>IF(K82&gt;0,ROUND(K82+J83-I83,2),0)</f>
        <v>0</v>
      </c>
      <c r="L83" s="24">
        <f>IF(N82&gt;0,MIN(ROUND(L$6+IF(L$5=$C83,$E$5+$E83,0),2),ROUND(N82+M83,2)),0)</f>
        <v>0</v>
      </c>
      <c r="M83" s="24">
        <f>IF(N82&gt;0,ROUND(ROUND(N82*100,0)*ROUND(L$7*10000,0)/12000000,0)/100,0)</f>
        <v>0</v>
      </c>
      <c r="N83" s="24">
        <f>IF(N82&gt;0,ROUND(N82+M83-L83,2),0)</f>
        <v>0</v>
      </c>
      <c r="O83" s="24">
        <f>IF(Q82&gt;0,MIN(ROUND(O$6+IF(O$5=$C83,$E$5+$E83,0),2),ROUND(Q82+P83,2)),0)</f>
        <v>0</v>
      </c>
      <c r="P83" s="24">
        <f>IF(Q82&gt;0,ROUND(ROUND(Q82*100,0)*ROUND(O$7*10000,0)/12000000,0)/100,0)</f>
        <v>0</v>
      </c>
      <c r="Q83" s="24">
        <f>IF(Q82&gt;0,ROUND(Q82+P83-O83,2),0)</f>
        <v>0</v>
      </c>
      <c r="R83" s="24">
        <f>IF(T82&gt;0,MIN(ROUND(R$6+IF(R$5=$C83,$E$5+$E83,0),2),ROUND(T82+S83,2)),0)</f>
        <v>0</v>
      </c>
      <c r="S83" s="24">
        <f>IF(T82&gt;0,ROUND(ROUND(T82*100,0)*ROUND(R$7*10000,0)/12000000,0)/100,0)</f>
        <v>0</v>
      </c>
      <c r="T83" s="24">
        <f>IF(T82&gt;0,ROUND(T82+S83-R83,2),0)</f>
        <v>0</v>
      </c>
      <c r="U83" s="24">
        <f>IF(W82&gt;0,MIN(ROUND(U$6+IF(U$5=$C83,$E$5+$E83,0),2),ROUND(W82+V83,2)),0)</f>
        <v>0</v>
      </c>
      <c r="V83" s="24">
        <f>IF(W82&gt;0,ROUND(ROUND(W82*100,0)*ROUND(U$7*10000,0)/12000000,0)/100,0)</f>
        <v>0</v>
      </c>
      <c r="W83" s="24">
        <f>IF(W82&gt;0,ROUND(W82+V83-U83,2),0)</f>
        <v>0</v>
      </c>
      <c r="X83" s="24">
        <f>IF(Z82&gt;0,MIN(ROUND(X$6+IF(X$5=$C83,$E$5+$E83,0),2),ROUND(Z82+Y83,2)),0)</f>
        <v>0</v>
      </c>
      <c r="Y83" s="24">
        <f>IF(Z82&gt;0,ROUND(ROUND(Z82*100,0)*ROUND(X$7*10000,0)/12000000,0)/100,0)</f>
        <v>0</v>
      </c>
      <c r="Z83" s="24">
        <f>IF(Z82&gt;0,ROUND(Z82+Y83-X83,2),0)</f>
        <v>0</v>
      </c>
      <c r="AA83" s="24">
        <f>IF(AC82&gt;0,MIN(ROUND(AA$6+IF(AA$5=$C83,$E$5+$E83,0),2),ROUND(AC82+AB83,2)),0)</f>
        <v>0</v>
      </c>
      <c r="AB83" s="24">
        <f>IF(AC82&gt;0,ROUND(ROUND(AC82*100,0)*ROUND(AA$7*10000,0)/12000000,0)/100,0)</f>
        <v>0</v>
      </c>
      <c r="AC83" s="24">
        <f>IF(AC82&gt;0,ROUND(AC82+AB83-AA83,2),0)</f>
        <v>0</v>
      </c>
      <c r="AD83" s="24">
        <f>IF(AF82&gt;0,MIN(ROUND(AD$6+IF(AD$5=$C83,$E$5+$E83,0),2),ROUND(AF82+AE83,2)),0)</f>
        <v>0</v>
      </c>
      <c r="AE83" s="24">
        <f>IF(AF82&gt;0,ROUND(ROUND(AF82*100,0)*ROUND(AD$7*10000,0)/12000000,0)/100,0)</f>
        <v>0</v>
      </c>
      <c r="AF83" s="24">
        <f>IF(AF82&gt;0,ROUND(AF82+AE83-AD83,2),0)</f>
        <v>0</v>
      </c>
      <c r="AG83" s="24">
        <f>IF(AI82&gt;0,MIN(ROUND(AG$6+IF(AG$5=$C83,$E$5+$E83,0),2),ROUND(AI82+AH83,2)),0)</f>
        <v>0</v>
      </c>
      <c r="AH83" s="24">
        <f>IF(AI82&gt;0,ROUND(ROUND(AI82*100,0)*ROUND(AG$7*10000,0)/12000000,0)/100,0)</f>
        <v>0</v>
      </c>
      <c r="AI83" s="24">
        <f>IF(AI82&gt;0,ROUND(AI82+AH83-AG83,2),0)</f>
        <v>0</v>
      </c>
      <c r="AJ83" s="24">
        <f>IF(AL82&gt;0,MIN(ROUND(AJ$6+IF(AJ$5=$C83,$E$5+$E83,0),2),ROUND(AL82+AK83,2)),0)</f>
        <v>0</v>
      </c>
      <c r="AK83" s="24">
        <f>IF(AL82&gt;0,ROUND(ROUND(AL82*100,0)*ROUND(AJ$7*10000,0)/12000000,0)/100,0)</f>
        <v>0</v>
      </c>
      <c r="AL83" s="24">
        <f>IF(AL82&gt;0,ROUND(AL82+AK83-AJ83,2),0)</f>
        <v>0</v>
      </c>
    </row>
    <row r="84" spans="1:38" x14ac:dyDescent="0.25">
      <c r="A84" s="17" t="str">
        <f>IF(F84&gt;0,74,"")</f>
        <v/>
      </c>
      <c r="B84" s="18" t="str">
        <f>IF(F84&gt;0,EDATE($E$6,74),"")</f>
        <v/>
      </c>
      <c r="C84" s="21">
        <f>IF(H83&gt;0,MIN(IF(K83&gt;0,I$5,99),IF(N83&gt;0,L$5,99),IF(Q83&gt;0,O$5,99),IF(T83&gt;0,R$5,99),IF(W83&gt;0,U$5,99),IF(Z83&gt;0,X$5,99),IF(AC83&gt;0,AA$5,99),IF(AF83&gt;0,AD$5,99),IF(AI83&gt;0,AG$5,99),IF(AL83&gt;0,AJ$5,99)),0)</f>
        <v>0</v>
      </c>
      <c r="D84" t="str">
        <f>IF(C84&gt;0,INDEX($I$4:$AL$4,1,MATCH(C84,$I$5:$AL$5,0)),"")</f>
        <v/>
      </c>
      <c r="E84" s="24">
        <f>ROUND(IF(AND(I$8&gt;0,K83=0),I$6,0)+IF(AND(L$8&gt;0,N83=0),L$6,0)+IF(AND(O$8&gt;0,Q83=0),O$6,0)+IF(AND(R$8&gt;0,T83=0),R$6,0)+IF(AND(U$8&gt;0,W83=0),U$6,0)+IF(AND(X$8&gt;0,Z83=0),X$6,0)+IF(AND(AA$8&gt;0,AC83=0),AA$6,0)+IF(AND(AD$8&gt;0,AF83=0),AD$6,0)+IF(AND(AG$8&gt;0,AI83=0),AG$6,0)+IF(AND(AJ$8&gt;0,AL83=0),AJ$6,0),2)</f>
        <v>330</v>
      </c>
      <c r="F84" s="24">
        <f>ROUND(I84+L84+O84+R84+U84+X84+AA84+AD84+AG84+AJ84,2)</f>
        <v>0</v>
      </c>
      <c r="G84" s="24">
        <f>ROUND(J84+M84+P84+S84+V84+Y84+AB84+AE84+AH84+AK84,2)</f>
        <v>0</v>
      </c>
      <c r="H84" s="24">
        <f>ROUND(K84+N84+Q84+T84+W84+Z84+AC84+AF84+AI84+AL84,2)</f>
        <v>0</v>
      </c>
      <c r="I84" s="24">
        <f>IF(K83&gt;0,MIN(ROUND(I$6+IF(I$5=$C84,$E$5+$E84,0),2),ROUND(K83+J84,2)),0)</f>
        <v>0</v>
      </c>
      <c r="J84" s="24">
        <f>IF(K83&gt;0,ROUND(ROUND(K83*100,0)*ROUND(I$7*10000,0)/12000000,0)/100,0)</f>
        <v>0</v>
      </c>
      <c r="K84" s="24">
        <f>IF(K83&gt;0,ROUND(K83+J84-I84,2),0)</f>
        <v>0</v>
      </c>
      <c r="L84" s="24">
        <f>IF(N83&gt;0,MIN(ROUND(L$6+IF(L$5=$C84,$E$5+$E84,0),2),ROUND(N83+M84,2)),0)</f>
        <v>0</v>
      </c>
      <c r="M84" s="24">
        <f>IF(N83&gt;0,ROUND(ROUND(N83*100,0)*ROUND(L$7*10000,0)/12000000,0)/100,0)</f>
        <v>0</v>
      </c>
      <c r="N84" s="24">
        <f>IF(N83&gt;0,ROUND(N83+M84-L84,2),0)</f>
        <v>0</v>
      </c>
      <c r="O84" s="24">
        <f>IF(Q83&gt;0,MIN(ROUND(O$6+IF(O$5=$C84,$E$5+$E84,0),2),ROUND(Q83+P84,2)),0)</f>
        <v>0</v>
      </c>
      <c r="P84" s="24">
        <f>IF(Q83&gt;0,ROUND(ROUND(Q83*100,0)*ROUND(O$7*10000,0)/12000000,0)/100,0)</f>
        <v>0</v>
      </c>
      <c r="Q84" s="24">
        <f>IF(Q83&gt;0,ROUND(Q83+P84-O84,2),0)</f>
        <v>0</v>
      </c>
      <c r="R84" s="24">
        <f>IF(T83&gt;0,MIN(ROUND(R$6+IF(R$5=$C84,$E$5+$E84,0),2),ROUND(T83+S84,2)),0)</f>
        <v>0</v>
      </c>
      <c r="S84" s="24">
        <f>IF(T83&gt;0,ROUND(ROUND(T83*100,0)*ROUND(R$7*10000,0)/12000000,0)/100,0)</f>
        <v>0</v>
      </c>
      <c r="T84" s="24">
        <f>IF(T83&gt;0,ROUND(T83+S84-R84,2),0)</f>
        <v>0</v>
      </c>
      <c r="U84" s="24">
        <f>IF(W83&gt;0,MIN(ROUND(U$6+IF(U$5=$C84,$E$5+$E84,0),2),ROUND(W83+V84,2)),0)</f>
        <v>0</v>
      </c>
      <c r="V84" s="24">
        <f>IF(W83&gt;0,ROUND(ROUND(W83*100,0)*ROUND(U$7*10000,0)/12000000,0)/100,0)</f>
        <v>0</v>
      </c>
      <c r="W84" s="24">
        <f>IF(W83&gt;0,ROUND(W83+V84-U84,2),0)</f>
        <v>0</v>
      </c>
      <c r="X84" s="24">
        <f>IF(Z83&gt;0,MIN(ROUND(X$6+IF(X$5=$C84,$E$5+$E84,0),2),ROUND(Z83+Y84,2)),0)</f>
        <v>0</v>
      </c>
      <c r="Y84" s="24">
        <f>IF(Z83&gt;0,ROUND(ROUND(Z83*100,0)*ROUND(X$7*10000,0)/12000000,0)/100,0)</f>
        <v>0</v>
      </c>
      <c r="Z84" s="24">
        <f>IF(Z83&gt;0,ROUND(Z83+Y84-X84,2),0)</f>
        <v>0</v>
      </c>
      <c r="AA84" s="24">
        <f>IF(AC83&gt;0,MIN(ROUND(AA$6+IF(AA$5=$C84,$E$5+$E84,0),2),ROUND(AC83+AB84,2)),0)</f>
        <v>0</v>
      </c>
      <c r="AB84" s="24">
        <f>IF(AC83&gt;0,ROUND(ROUND(AC83*100,0)*ROUND(AA$7*10000,0)/12000000,0)/100,0)</f>
        <v>0</v>
      </c>
      <c r="AC84" s="24">
        <f>IF(AC83&gt;0,ROUND(AC83+AB84-AA84,2),0)</f>
        <v>0</v>
      </c>
      <c r="AD84" s="24">
        <f>IF(AF83&gt;0,MIN(ROUND(AD$6+IF(AD$5=$C84,$E$5+$E84,0),2),ROUND(AF83+AE84,2)),0)</f>
        <v>0</v>
      </c>
      <c r="AE84" s="24">
        <f>IF(AF83&gt;0,ROUND(ROUND(AF83*100,0)*ROUND(AD$7*10000,0)/12000000,0)/100,0)</f>
        <v>0</v>
      </c>
      <c r="AF84" s="24">
        <f>IF(AF83&gt;0,ROUND(AF83+AE84-AD84,2),0)</f>
        <v>0</v>
      </c>
      <c r="AG84" s="24">
        <f>IF(AI83&gt;0,MIN(ROUND(AG$6+IF(AG$5=$C84,$E$5+$E84,0),2),ROUND(AI83+AH84,2)),0)</f>
        <v>0</v>
      </c>
      <c r="AH84" s="24">
        <f>IF(AI83&gt;0,ROUND(ROUND(AI83*100,0)*ROUND(AG$7*10000,0)/12000000,0)/100,0)</f>
        <v>0</v>
      </c>
      <c r="AI84" s="24">
        <f>IF(AI83&gt;0,ROUND(AI83+AH84-AG84,2),0)</f>
        <v>0</v>
      </c>
      <c r="AJ84" s="24">
        <f>IF(AL83&gt;0,MIN(ROUND(AJ$6+IF(AJ$5=$C84,$E$5+$E84,0),2),ROUND(AL83+AK84,2)),0)</f>
        <v>0</v>
      </c>
      <c r="AK84" s="24">
        <f>IF(AL83&gt;0,ROUND(ROUND(AL83*100,0)*ROUND(AJ$7*10000,0)/12000000,0)/100,0)</f>
        <v>0</v>
      </c>
      <c r="AL84" s="24">
        <f>IF(AL83&gt;0,ROUND(AL83+AK84-AJ84,2),0)</f>
        <v>0</v>
      </c>
    </row>
    <row r="85" spans="1:38" x14ac:dyDescent="0.25">
      <c r="A85" s="17" t="str">
        <f>IF(F85&gt;0,75,"")</f>
        <v/>
      </c>
      <c r="B85" s="18" t="str">
        <f>IF(F85&gt;0,EDATE($E$6,75),"")</f>
        <v/>
      </c>
      <c r="C85" s="21">
        <f>IF(H84&gt;0,MIN(IF(K84&gt;0,I$5,99),IF(N84&gt;0,L$5,99),IF(Q84&gt;0,O$5,99),IF(T84&gt;0,R$5,99),IF(W84&gt;0,U$5,99),IF(Z84&gt;0,X$5,99),IF(AC84&gt;0,AA$5,99),IF(AF84&gt;0,AD$5,99),IF(AI84&gt;0,AG$5,99),IF(AL84&gt;0,AJ$5,99)),0)</f>
        <v>0</v>
      </c>
      <c r="D85" t="str">
        <f>IF(C85&gt;0,INDEX($I$4:$AL$4,1,MATCH(C85,$I$5:$AL$5,0)),"")</f>
        <v/>
      </c>
      <c r="E85" s="24">
        <f>ROUND(IF(AND(I$8&gt;0,K84=0),I$6,0)+IF(AND(L$8&gt;0,N84=0),L$6,0)+IF(AND(O$8&gt;0,Q84=0),O$6,0)+IF(AND(R$8&gt;0,T84=0),R$6,0)+IF(AND(U$8&gt;0,W84=0),U$6,0)+IF(AND(X$8&gt;0,Z84=0),X$6,0)+IF(AND(AA$8&gt;0,AC84=0),AA$6,0)+IF(AND(AD$8&gt;0,AF84=0),AD$6,0)+IF(AND(AG$8&gt;0,AI84=0),AG$6,0)+IF(AND(AJ$8&gt;0,AL84=0),AJ$6,0),2)</f>
        <v>330</v>
      </c>
      <c r="F85" s="24">
        <f>ROUND(I85+L85+O85+R85+U85+X85+AA85+AD85+AG85+AJ85,2)</f>
        <v>0</v>
      </c>
      <c r="G85" s="24">
        <f>ROUND(J85+M85+P85+S85+V85+Y85+AB85+AE85+AH85+AK85,2)</f>
        <v>0</v>
      </c>
      <c r="H85" s="24">
        <f>ROUND(K85+N85+Q85+T85+W85+Z85+AC85+AF85+AI85+AL85,2)</f>
        <v>0</v>
      </c>
      <c r="I85" s="24">
        <f>IF(K84&gt;0,MIN(ROUND(I$6+IF(I$5=$C85,$E$5+$E85,0),2),ROUND(K84+J85,2)),0)</f>
        <v>0</v>
      </c>
      <c r="J85" s="24">
        <f>IF(K84&gt;0,ROUND(ROUND(K84*100,0)*ROUND(I$7*10000,0)/12000000,0)/100,0)</f>
        <v>0</v>
      </c>
      <c r="K85" s="24">
        <f>IF(K84&gt;0,ROUND(K84+J85-I85,2),0)</f>
        <v>0</v>
      </c>
      <c r="L85" s="24">
        <f>IF(N84&gt;0,MIN(ROUND(L$6+IF(L$5=$C85,$E$5+$E85,0),2),ROUND(N84+M85,2)),0)</f>
        <v>0</v>
      </c>
      <c r="M85" s="24">
        <f>IF(N84&gt;0,ROUND(ROUND(N84*100,0)*ROUND(L$7*10000,0)/12000000,0)/100,0)</f>
        <v>0</v>
      </c>
      <c r="N85" s="24">
        <f>IF(N84&gt;0,ROUND(N84+M85-L85,2),0)</f>
        <v>0</v>
      </c>
      <c r="O85" s="24">
        <f>IF(Q84&gt;0,MIN(ROUND(O$6+IF(O$5=$C85,$E$5+$E85,0),2),ROUND(Q84+P85,2)),0)</f>
        <v>0</v>
      </c>
      <c r="P85" s="24">
        <f>IF(Q84&gt;0,ROUND(ROUND(Q84*100,0)*ROUND(O$7*10000,0)/12000000,0)/100,0)</f>
        <v>0</v>
      </c>
      <c r="Q85" s="24">
        <f>IF(Q84&gt;0,ROUND(Q84+P85-O85,2),0)</f>
        <v>0</v>
      </c>
      <c r="R85" s="24">
        <f>IF(T84&gt;0,MIN(ROUND(R$6+IF(R$5=$C85,$E$5+$E85,0),2),ROUND(T84+S85,2)),0)</f>
        <v>0</v>
      </c>
      <c r="S85" s="24">
        <f>IF(T84&gt;0,ROUND(ROUND(T84*100,0)*ROUND(R$7*10000,0)/12000000,0)/100,0)</f>
        <v>0</v>
      </c>
      <c r="T85" s="24">
        <f>IF(T84&gt;0,ROUND(T84+S85-R85,2),0)</f>
        <v>0</v>
      </c>
      <c r="U85" s="24">
        <f>IF(W84&gt;0,MIN(ROUND(U$6+IF(U$5=$C85,$E$5+$E85,0),2),ROUND(W84+V85,2)),0)</f>
        <v>0</v>
      </c>
      <c r="V85" s="24">
        <f>IF(W84&gt;0,ROUND(ROUND(W84*100,0)*ROUND(U$7*10000,0)/12000000,0)/100,0)</f>
        <v>0</v>
      </c>
      <c r="W85" s="24">
        <f>IF(W84&gt;0,ROUND(W84+V85-U85,2),0)</f>
        <v>0</v>
      </c>
      <c r="X85" s="24">
        <f>IF(Z84&gt;0,MIN(ROUND(X$6+IF(X$5=$C85,$E$5+$E85,0),2),ROUND(Z84+Y85,2)),0)</f>
        <v>0</v>
      </c>
      <c r="Y85" s="24">
        <f>IF(Z84&gt;0,ROUND(ROUND(Z84*100,0)*ROUND(X$7*10000,0)/12000000,0)/100,0)</f>
        <v>0</v>
      </c>
      <c r="Z85" s="24">
        <f>IF(Z84&gt;0,ROUND(Z84+Y85-X85,2),0)</f>
        <v>0</v>
      </c>
      <c r="AA85" s="24">
        <f>IF(AC84&gt;0,MIN(ROUND(AA$6+IF(AA$5=$C85,$E$5+$E85,0),2),ROUND(AC84+AB85,2)),0)</f>
        <v>0</v>
      </c>
      <c r="AB85" s="24">
        <f>IF(AC84&gt;0,ROUND(ROUND(AC84*100,0)*ROUND(AA$7*10000,0)/12000000,0)/100,0)</f>
        <v>0</v>
      </c>
      <c r="AC85" s="24">
        <f>IF(AC84&gt;0,ROUND(AC84+AB85-AA85,2),0)</f>
        <v>0</v>
      </c>
      <c r="AD85" s="24">
        <f>IF(AF84&gt;0,MIN(ROUND(AD$6+IF(AD$5=$C85,$E$5+$E85,0),2),ROUND(AF84+AE85,2)),0)</f>
        <v>0</v>
      </c>
      <c r="AE85" s="24">
        <f>IF(AF84&gt;0,ROUND(ROUND(AF84*100,0)*ROUND(AD$7*10000,0)/12000000,0)/100,0)</f>
        <v>0</v>
      </c>
      <c r="AF85" s="24">
        <f>IF(AF84&gt;0,ROUND(AF84+AE85-AD85,2),0)</f>
        <v>0</v>
      </c>
      <c r="AG85" s="24">
        <f>IF(AI84&gt;0,MIN(ROUND(AG$6+IF(AG$5=$C85,$E$5+$E85,0),2),ROUND(AI84+AH85,2)),0)</f>
        <v>0</v>
      </c>
      <c r="AH85" s="24">
        <f>IF(AI84&gt;0,ROUND(ROUND(AI84*100,0)*ROUND(AG$7*10000,0)/12000000,0)/100,0)</f>
        <v>0</v>
      </c>
      <c r="AI85" s="24">
        <f>IF(AI84&gt;0,ROUND(AI84+AH85-AG85,2),0)</f>
        <v>0</v>
      </c>
      <c r="AJ85" s="24">
        <f>IF(AL84&gt;0,MIN(ROUND(AJ$6+IF(AJ$5=$C85,$E$5+$E85,0),2),ROUND(AL84+AK85,2)),0)</f>
        <v>0</v>
      </c>
      <c r="AK85" s="24">
        <f>IF(AL84&gt;0,ROUND(ROUND(AL84*100,0)*ROUND(AJ$7*10000,0)/12000000,0)/100,0)</f>
        <v>0</v>
      </c>
      <c r="AL85" s="24">
        <f>IF(AL84&gt;0,ROUND(AL84+AK85-AJ85,2),0)</f>
        <v>0</v>
      </c>
    </row>
    <row r="86" spans="1:38" x14ac:dyDescent="0.25">
      <c r="A86" s="17" t="str">
        <f>IF(F86&gt;0,76,"")</f>
        <v/>
      </c>
      <c r="B86" s="18" t="str">
        <f>IF(F86&gt;0,EDATE($E$6,76),"")</f>
        <v/>
      </c>
      <c r="C86" s="21">
        <f>IF(H85&gt;0,MIN(IF(K85&gt;0,I$5,99),IF(N85&gt;0,L$5,99),IF(Q85&gt;0,O$5,99),IF(T85&gt;0,R$5,99),IF(W85&gt;0,U$5,99),IF(Z85&gt;0,X$5,99),IF(AC85&gt;0,AA$5,99),IF(AF85&gt;0,AD$5,99),IF(AI85&gt;0,AG$5,99),IF(AL85&gt;0,AJ$5,99)),0)</f>
        <v>0</v>
      </c>
      <c r="D86" t="str">
        <f>IF(C86&gt;0,INDEX($I$4:$AL$4,1,MATCH(C86,$I$5:$AL$5,0)),"")</f>
        <v/>
      </c>
      <c r="E86" s="24">
        <f>ROUND(IF(AND(I$8&gt;0,K85=0),I$6,0)+IF(AND(L$8&gt;0,N85=0),L$6,0)+IF(AND(O$8&gt;0,Q85=0),O$6,0)+IF(AND(R$8&gt;0,T85=0),R$6,0)+IF(AND(U$8&gt;0,W85=0),U$6,0)+IF(AND(X$8&gt;0,Z85=0),X$6,0)+IF(AND(AA$8&gt;0,AC85=0),AA$6,0)+IF(AND(AD$8&gt;0,AF85=0),AD$6,0)+IF(AND(AG$8&gt;0,AI85=0),AG$6,0)+IF(AND(AJ$8&gt;0,AL85=0),AJ$6,0),2)</f>
        <v>330</v>
      </c>
      <c r="F86" s="24">
        <f>ROUND(I86+L86+O86+R86+U86+X86+AA86+AD86+AG86+AJ86,2)</f>
        <v>0</v>
      </c>
      <c r="G86" s="24">
        <f>ROUND(J86+M86+P86+S86+V86+Y86+AB86+AE86+AH86+AK86,2)</f>
        <v>0</v>
      </c>
      <c r="H86" s="24">
        <f>ROUND(K86+N86+Q86+T86+W86+Z86+AC86+AF86+AI86+AL86,2)</f>
        <v>0</v>
      </c>
      <c r="I86" s="24">
        <f>IF(K85&gt;0,MIN(ROUND(I$6+IF(I$5=$C86,$E$5+$E86,0),2),ROUND(K85+J86,2)),0)</f>
        <v>0</v>
      </c>
      <c r="J86" s="24">
        <f>IF(K85&gt;0,ROUND(ROUND(K85*100,0)*ROUND(I$7*10000,0)/12000000,0)/100,0)</f>
        <v>0</v>
      </c>
      <c r="K86" s="24">
        <f>IF(K85&gt;0,ROUND(K85+J86-I86,2),0)</f>
        <v>0</v>
      </c>
      <c r="L86" s="24">
        <f>IF(N85&gt;0,MIN(ROUND(L$6+IF(L$5=$C86,$E$5+$E86,0),2),ROUND(N85+M86,2)),0)</f>
        <v>0</v>
      </c>
      <c r="M86" s="24">
        <f>IF(N85&gt;0,ROUND(ROUND(N85*100,0)*ROUND(L$7*10000,0)/12000000,0)/100,0)</f>
        <v>0</v>
      </c>
      <c r="N86" s="24">
        <f>IF(N85&gt;0,ROUND(N85+M86-L86,2),0)</f>
        <v>0</v>
      </c>
      <c r="O86" s="24">
        <f>IF(Q85&gt;0,MIN(ROUND(O$6+IF(O$5=$C86,$E$5+$E86,0),2),ROUND(Q85+P86,2)),0)</f>
        <v>0</v>
      </c>
      <c r="P86" s="24">
        <f>IF(Q85&gt;0,ROUND(ROUND(Q85*100,0)*ROUND(O$7*10000,0)/12000000,0)/100,0)</f>
        <v>0</v>
      </c>
      <c r="Q86" s="24">
        <f>IF(Q85&gt;0,ROUND(Q85+P86-O86,2),0)</f>
        <v>0</v>
      </c>
      <c r="R86" s="24">
        <f>IF(T85&gt;0,MIN(ROUND(R$6+IF(R$5=$C86,$E$5+$E86,0),2),ROUND(T85+S86,2)),0)</f>
        <v>0</v>
      </c>
      <c r="S86" s="24">
        <f>IF(T85&gt;0,ROUND(ROUND(T85*100,0)*ROUND(R$7*10000,0)/12000000,0)/100,0)</f>
        <v>0</v>
      </c>
      <c r="T86" s="24">
        <f>IF(T85&gt;0,ROUND(T85+S86-R86,2),0)</f>
        <v>0</v>
      </c>
      <c r="U86" s="24">
        <f>IF(W85&gt;0,MIN(ROUND(U$6+IF(U$5=$C86,$E$5+$E86,0),2),ROUND(W85+V86,2)),0)</f>
        <v>0</v>
      </c>
      <c r="V86" s="24">
        <f>IF(W85&gt;0,ROUND(ROUND(W85*100,0)*ROUND(U$7*10000,0)/12000000,0)/100,0)</f>
        <v>0</v>
      </c>
      <c r="W86" s="24">
        <f>IF(W85&gt;0,ROUND(W85+V86-U86,2),0)</f>
        <v>0</v>
      </c>
      <c r="X86" s="24">
        <f>IF(Z85&gt;0,MIN(ROUND(X$6+IF(X$5=$C86,$E$5+$E86,0),2),ROUND(Z85+Y86,2)),0)</f>
        <v>0</v>
      </c>
      <c r="Y86" s="24">
        <f>IF(Z85&gt;0,ROUND(ROUND(Z85*100,0)*ROUND(X$7*10000,0)/12000000,0)/100,0)</f>
        <v>0</v>
      </c>
      <c r="Z86" s="24">
        <f>IF(Z85&gt;0,ROUND(Z85+Y86-X86,2),0)</f>
        <v>0</v>
      </c>
      <c r="AA86" s="24">
        <f>IF(AC85&gt;0,MIN(ROUND(AA$6+IF(AA$5=$C86,$E$5+$E86,0),2),ROUND(AC85+AB86,2)),0)</f>
        <v>0</v>
      </c>
      <c r="AB86" s="24">
        <f>IF(AC85&gt;0,ROUND(ROUND(AC85*100,0)*ROUND(AA$7*10000,0)/12000000,0)/100,0)</f>
        <v>0</v>
      </c>
      <c r="AC86" s="24">
        <f>IF(AC85&gt;0,ROUND(AC85+AB86-AA86,2),0)</f>
        <v>0</v>
      </c>
      <c r="AD86" s="24">
        <f>IF(AF85&gt;0,MIN(ROUND(AD$6+IF(AD$5=$C86,$E$5+$E86,0),2),ROUND(AF85+AE86,2)),0)</f>
        <v>0</v>
      </c>
      <c r="AE86" s="24">
        <f>IF(AF85&gt;0,ROUND(ROUND(AF85*100,0)*ROUND(AD$7*10000,0)/12000000,0)/100,0)</f>
        <v>0</v>
      </c>
      <c r="AF86" s="24">
        <f>IF(AF85&gt;0,ROUND(AF85+AE86-AD86,2),0)</f>
        <v>0</v>
      </c>
      <c r="AG86" s="24">
        <f>IF(AI85&gt;0,MIN(ROUND(AG$6+IF(AG$5=$C86,$E$5+$E86,0),2),ROUND(AI85+AH86,2)),0)</f>
        <v>0</v>
      </c>
      <c r="AH86" s="24">
        <f>IF(AI85&gt;0,ROUND(ROUND(AI85*100,0)*ROUND(AG$7*10000,0)/12000000,0)/100,0)</f>
        <v>0</v>
      </c>
      <c r="AI86" s="24">
        <f>IF(AI85&gt;0,ROUND(AI85+AH86-AG86,2),0)</f>
        <v>0</v>
      </c>
      <c r="AJ86" s="24">
        <f>IF(AL85&gt;0,MIN(ROUND(AJ$6+IF(AJ$5=$C86,$E$5+$E86,0),2),ROUND(AL85+AK86,2)),0)</f>
        <v>0</v>
      </c>
      <c r="AK86" s="24">
        <f>IF(AL85&gt;0,ROUND(ROUND(AL85*100,0)*ROUND(AJ$7*10000,0)/12000000,0)/100,0)</f>
        <v>0</v>
      </c>
      <c r="AL86" s="24">
        <f>IF(AL85&gt;0,ROUND(AL85+AK86-AJ86,2),0)</f>
        <v>0</v>
      </c>
    </row>
    <row r="87" spans="1:38" x14ac:dyDescent="0.25">
      <c r="A87" s="17" t="str">
        <f>IF(F87&gt;0,77,"")</f>
        <v/>
      </c>
      <c r="B87" s="18" t="str">
        <f>IF(F87&gt;0,EDATE($E$6,77),"")</f>
        <v/>
      </c>
      <c r="C87" s="21">
        <f>IF(H86&gt;0,MIN(IF(K86&gt;0,I$5,99),IF(N86&gt;0,L$5,99),IF(Q86&gt;0,O$5,99),IF(T86&gt;0,R$5,99),IF(W86&gt;0,U$5,99),IF(Z86&gt;0,X$5,99),IF(AC86&gt;0,AA$5,99),IF(AF86&gt;0,AD$5,99),IF(AI86&gt;0,AG$5,99),IF(AL86&gt;0,AJ$5,99)),0)</f>
        <v>0</v>
      </c>
      <c r="D87" t="str">
        <f>IF(C87&gt;0,INDEX($I$4:$AL$4,1,MATCH(C87,$I$5:$AL$5,0)),"")</f>
        <v/>
      </c>
      <c r="E87" s="24">
        <f>ROUND(IF(AND(I$8&gt;0,K86=0),I$6,0)+IF(AND(L$8&gt;0,N86=0),L$6,0)+IF(AND(O$8&gt;0,Q86=0),O$6,0)+IF(AND(R$8&gt;0,T86=0),R$6,0)+IF(AND(U$8&gt;0,W86=0),U$6,0)+IF(AND(X$8&gt;0,Z86=0),X$6,0)+IF(AND(AA$8&gt;0,AC86=0),AA$6,0)+IF(AND(AD$8&gt;0,AF86=0),AD$6,0)+IF(AND(AG$8&gt;0,AI86=0),AG$6,0)+IF(AND(AJ$8&gt;0,AL86=0),AJ$6,0),2)</f>
        <v>330</v>
      </c>
      <c r="F87" s="24">
        <f>ROUND(I87+L87+O87+R87+U87+X87+AA87+AD87+AG87+AJ87,2)</f>
        <v>0</v>
      </c>
      <c r="G87" s="24">
        <f>ROUND(J87+M87+P87+S87+V87+Y87+AB87+AE87+AH87+AK87,2)</f>
        <v>0</v>
      </c>
      <c r="H87" s="24">
        <f>ROUND(K87+N87+Q87+T87+W87+Z87+AC87+AF87+AI87+AL87,2)</f>
        <v>0</v>
      </c>
      <c r="I87" s="24">
        <f>IF(K86&gt;0,MIN(ROUND(I$6+IF(I$5=$C87,$E$5+$E87,0),2),ROUND(K86+J87,2)),0)</f>
        <v>0</v>
      </c>
      <c r="J87" s="24">
        <f>IF(K86&gt;0,ROUND(ROUND(K86*100,0)*ROUND(I$7*10000,0)/12000000,0)/100,0)</f>
        <v>0</v>
      </c>
      <c r="K87" s="24">
        <f>IF(K86&gt;0,ROUND(K86+J87-I87,2),0)</f>
        <v>0</v>
      </c>
      <c r="L87" s="24">
        <f>IF(N86&gt;0,MIN(ROUND(L$6+IF(L$5=$C87,$E$5+$E87,0),2),ROUND(N86+M87,2)),0)</f>
        <v>0</v>
      </c>
      <c r="M87" s="24">
        <f>IF(N86&gt;0,ROUND(ROUND(N86*100,0)*ROUND(L$7*10000,0)/12000000,0)/100,0)</f>
        <v>0</v>
      </c>
      <c r="N87" s="24">
        <f>IF(N86&gt;0,ROUND(N86+M87-L87,2),0)</f>
        <v>0</v>
      </c>
      <c r="O87" s="24">
        <f>IF(Q86&gt;0,MIN(ROUND(O$6+IF(O$5=$C87,$E$5+$E87,0),2),ROUND(Q86+P87,2)),0)</f>
        <v>0</v>
      </c>
      <c r="P87" s="24">
        <f>IF(Q86&gt;0,ROUND(ROUND(Q86*100,0)*ROUND(O$7*10000,0)/12000000,0)/100,0)</f>
        <v>0</v>
      </c>
      <c r="Q87" s="24">
        <f>IF(Q86&gt;0,ROUND(Q86+P87-O87,2),0)</f>
        <v>0</v>
      </c>
      <c r="R87" s="24">
        <f>IF(T86&gt;0,MIN(ROUND(R$6+IF(R$5=$C87,$E$5+$E87,0),2),ROUND(T86+S87,2)),0)</f>
        <v>0</v>
      </c>
      <c r="S87" s="24">
        <f>IF(T86&gt;0,ROUND(ROUND(T86*100,0)*ROUND(R$7*10000,0)/12000000,0)/100,0)</f>
        <v>0</v>
      </c>
      <c r="T87" s="24">
        <f>IF(T86&gt;0,ROUND(T86+S87-R87,2),0)</f>
        <v>0</v>
      </c>
      <c r="U87" s="24">
        <f>IF(W86&gt;0,MIN(ROUND(U$6+IF(U$5=$C87,$E$5+$E87,0),2),ROUND(W86+V87,2)),0)</f>
        <v>0</v>
      </c>
      <c r="V87" s="24">
        <f>IF(W86&gt;0,ROUND(ROUND(W86*100,0)*ROUND(U$7*10000,0)/12000000,0)/100,0)</f>
        <v>0</v>
      </c>
      <c r="W87" s="24">
        <f>IF(W86&gt;0,ROUND(W86+V87-U87,2),0)</f>
        <v>0</v>
      </c>
      <c r="X87" s="24">
        <f>IF(Z86&gt;0,MIN(ROUND(X$6+IF(X$5=$C87,$E$5+$E87,0),2),ROUND(Z86+Y87,2)),0)</f>
        <v>0</v>
      </c>
      <c r="Y87" s="24">
        <f>IF(Z86&gt;0,ROUND(ROUND(Z86*100,0)*ROUND(X$7*10000,0)/12000000,0)/100,0)</f>
        <v>0</v>
      </c>
      <c r="Z87" s="24">
        <f>IF(Z86&gt;0,ROUND(Z86+Y87-X87,2),0)</f>
        <v>0</v>
      </c>
      <c r="AA87" s="24">
        <f>IF(AC86&gt;0,MIN(ROUND(AA$6+IF(AA$5=$C87,$E$5+$E87,0),2),ROUND(AC86+AB87,2)),0)</f>
        <v>0</v>
      </c>
      <c r="AB87" s="24">
        <f>IF(AC86&gt;0,ROUND(ROUND(AC86*100,0)*ROUND(AA$7*10000,0)/12000000,0)/100,0)</f>
        <v>0</v>
      </c>
      <c r="AC87" s="24">
        <f>IF(AC86&gt;0,ROUND(AC86+AB87-AA87,2),0)</f>
        <v>0</v>
      </c>
      <c r="AD87" s="24">
        <f>IF(AF86&gt;0,MIN(ROUND(AD$6+IF(AD$5=$C87,$E$5+$E87,0),2),ROUND(AF86+AE87,2)),0)</f>
        <v>0</v>
      </c>
      <c r="AE87" s="24">
        <f>IF(AF86&gt;0,ROUND(ROUND(AF86*100,0)*ROUND(AD$7*10000,0)/12000000,0)/100,0)</f>
        <v>0</v>
      </c>
      <c r="AF87" s="24">
        <f>IF(AF86&gt;0,ROUND(AF86+AE87-AD87,2),0)</f>
        <v>0</v>
      </c>
      <c r="AG87" s="24">
        <f>IF(AI86&gt;0,MIN(ROUND(AG$6+IF(AG$5=$C87,$E$5+$E87,0),2),ROUND(AI86+AH87,2)),0)</f>
        <v>0</v>
      </c>
      <c r="AH87" s="24">
        <f>IF(AI86&gt;0,ROUND(ROUND(AI86*100,0)*ROUND(AG$7*10000,0)/12000000,0)/100,0)</f>
        <v>0</v>
      </c>
      <c r="AI87" s="24">
        <f>IF(AI86&gt;0,ROUND(AI86+AH87-AG87,2),0)</f>
        <v>0</v>
      </c>
      <c r="AJ87" s="24">
        <f>IF(AL86&gt;0,MIN(ROUND(AJ$6+IF(AJ$5=$C87,$E$5+$E87,0),2),ROUND(AL86+AK87,2)),0)</f>
        <v>0</v>
      </c>
      <c r="AK87" s="24">
        <f>IF(AL86&gt;0,ROUND(ROUND(AL86*100,0)*ROUND(AJ$7*10000,0)/12000000,0)/100,0)</f>
        <v>0</v>
      </c>
      <c r="AL87" s="24">
        <f>IF(AL86&gt;0,ROUND(AL86+AK87-AJ87,2),0)</f>
        <v>0</v>
      </c>
    </row>
    <row r="88" spans="1:38" x14ac:dyDescent="0.25">
      <c r="A88" s="17" t="str">
        <f>IF(F88&gt;0,78,"")</f>
        <v/>
      </c>
      <c r="B88" s="18" t="str">
        <f>IF(F88&gt;0,EDATE($E$6,78),"")</f>
        <v/>
      </c>
      <c r="C88" s="21">
        <f>IF(H87&gt;0,MIN(IF(K87&gt;0,I$5,99),IF(N87&gt;0,L$5,99),IF(Q87&gt;0,O$5,99),IF(T87&gt;0,R$5,99),IF(W87&gt;0,U$5,99),IF(Z87&gt;0,X$5,99),IF(AC87&gt;0,AA$5,99),IF(AF87&gt;0,AD$5,99),IF(AI87&gt;0,AG$5,99),IF(AL87&gt;0,AJ$5,99)),0)</f>
        <v>0</v>
      </c>
      <c r="D88" t="str">
        <f>IF(C88&gt;0,INDEX($I$4:$AL$4,1,MATCH(C88,$I$5:$AL$5,0)),"")</f>
        <v/>
      </c>
      <c r="E88" s="24">
        <f>ROUND(IF(AND(I$8&gt;0,K87=0),I$6,0)+IF(AND(L$8&gt;0,N87=0),L$6,0)+IF(AND(O$8&gt;0,Q87=0),O$6,0)+IF(AND(R$8&gt;0,T87=0),R$6,0)+IF(AND(U$8&gt;0,W87=0),U$6,0)+IF(AND(X$8&gt;0,Z87=0),X$6,0)+IF(AND(AA$8&gt;0,AC87=0),AA$6,0)+IF(AND(AD$8&gt;0,AF87=0),AD$6,0)+IF(AND(AG$8&gt;0,AI87=0),AG$6,0)+IF(AND(AJ$8&gt;0,AL87=0),AJ$6,0),2)</f>
        <v>330</v>
      </c>
      <c r="F88" s="24">
        <f>ROUND(I88+L88+O88+R88+U88+X88+AA88+AD88+AG88+AJ88,2)</f>
        <v>0</v>
      </c>
      <c r="G88" s="24">
        <f>ROUND(J88+M88+P88+S88+V88+Y88+AB88+AE88+AH88+AK88,2)</f>
        <v>0</v>
      </c>
      <c r="H88" s="24">
        <f>ROUND(K88+N88+Q88+T88+W88+Z88+AC88+AF88+AI88+AL88,2)</f>
        <v>0</v>
      </c>
      <c r="I88" s="24">
        <f>IF(K87&gt;0,MIN(ROUND(I$6+IF(I$5=$C88,$E$5+$E88,0),2),ROUND(K87+J88,2)),0)</f>
        <v>0</v>
      </c>
      <c r="J88" s="24">
        <f>IF(K87&gt;0,ROUND(ROUND(K87*100,0)*ROUND(I$7*10000,0)/12000000,0)/100,0)</f>
        <v>0</v>
      </c>
      <c r="K88" s="24">
        <f>IF(K87&gt;0,ROUND(K87+J88-I88,2),0)</f>
        <v>0</v>
      </c>
      <c r="L88" s="24">
        <f>IF(N87&gt;0,MIN(ROUND(L$6+IF(L$5=$C88,$E$5+$E88,0),2),ROUND(N87+M88,2)),0)</f>
        <v>0</v>
      </c>
      <c r="M88" s="24">
        <f>IF(N87&gt;0,ROUND(ROUND(N87*100,0)*ROUND(L$7*10000,0)/12000000,0)/100,0)</f>
        <v>0</v>
      </c>
      <c r="N88" s="24">
        <f>IF(N87&gt;0,ROUND(N87+M88-L88,2),0)</f>
        <v>0</v>
      </c>
      <c r="O88" s="24">
        <f>IF(Q87&gt;0,MIN(ROUND(O$6+IF(O$5=$C88,$E$5+$E88,0),2),ROUND(Q87+P88,2)),0)</f>
        <v>0</v>
      </c>
      <c r="P88" s="24">
        <f>IF(Q87&gt;0,ROUND(ROUND(Q87*100,0)*ROUND(O$7*10000,0)/12000000,0)/100,0)</f>
        <v>0</v>
      </c>
      <c r="Q88" s="24">
        <f>IF(Q87&gt;0,ROUND(Q87+P88-O88,2),0)</f>
        <v>0</v>
      </c>
      <c r="R88" s="24">
        <f>IF(T87&gt;0,MIN(ROUND(R$6+IF(R$5=$C88,$E$5+$E88,0),2),ROUND(T87+S88,2)),0)</f>
        <v>0</v>
      </c>
      <c r="S88" s="24">
        <f>IF(T87&gt;0,ROUND(ROUND(T87*100,0)*ROUND(R$7*10000,0)/12000000,0)/100,0)</f>
        <v>0</v>
      </c>
      <c r="T88" s="24">
        <f>IF(T87&gt;0,ROUND(T87+S88-R88,2),0)</f>
        <v>0</v>
      </c>
      <c r="U88" s="24">
        <f>IF(W87&gt;0,MIN(ROUND(U$6+IF(U$5=$C88,$E$5+$E88,0),2),ROUND(W87+V88,2)),0)</f>
        <v>0</v>
      </c>
      <c r="V88" s="24">
        <f>IF(W87&gt;0,ROUND(ROUND(W87*100,0)*ROUND(U$7*10000,0)/12000000,0)/100,0)</f>
        <v>0</v>
      </c>
      <c r="W88" s="24">
        <f>IF(W87&gt;0,ROUND(W87+V88-U88,2),0)</f>
        <v>0</v>
      </c>
      <c r="X88" s="24">
        <f>IF(Z87&gt;0,MIN(ROUND(X$6+IF(X$5=$C88,$E$5+$E88,0),2),ROUND(Z87+Y88,2)),0)</f>
        <v>0</v>
      </c>
      <c r="Y88" s="24">
        <f>IF(Z87&gt;0,ROUND(ROUND(Z87*100,0)*ROUND(X$7*10000,0)/12000000,0)/100,0)</f>
        <v>0</v>
      </c>
      <c r="Z88" s="24">
        <f>IF(Z87&gt;0,ROUND(Z87+Y88-X88,2),0)</f>
        <v>0</v>
      </c>
      <c r="AA88" s="24">
        <f>IF(AC87&gt;0,MIN(ROUND(AA$6+IF(AA$5=$C88,$E$5+$E88,0),2),ROUND(AC87+AB88,2)),0)</f>
        <v>0</v>
      </c>
      <c r="AB88" s="24">
        <f>IF(AC87&gt;0,ROUND(ROUND(AC87*100,0)*ROUND(AA$7*10000,0)/12000000,0)/100,0)</f>
        <v>0</v>
      </c>
      <c r="AC88" s="24">
        <f>IF(AC87&gt;0,ROUND(AC87+AB88-AA88,2),0)</f>
        <v>0</v>
      </c>
      <c r="AD88" s="24">
        <f>IF(AF87&gt;0,MIN(ROUND(AD$6+IF(AD$5=$C88,$E$5+$E88,0),2),ROUND(AF87+AE88,2)),0)</f>
        <v>0</v>
      </c>
      <c r="AE88" s="24">
        <f>IF(AF87&gt;0,ROUND(ROUND(AF87*100,0)*ROUND(AD$7*10000,0)/12000000,0)/100,0)</f>
        <v>0</v>
      </c>
      <c r="AF88" s="24">
        <f>IF(AF87&gt;0,ROUND(AF87+AE88-AD88,2),0)</f>
        <v>0</v>
      </c>
      <c r="AG88" s="24">
        <f>IF(AI87&gt;0,MIN(ROUND(AG$6+IF(AG$5=$C88,$E$5+$E88,0),2),ROUND(AI87+AH88,2)),0)</f>
        <v>0</v>
      </c>
      <c r="AH88" s="24">
        <f>IF(AI87&gt;0,ROUND(ROUND(AI87*100,0)*ROUND(AG$7*10000,0)/12000000,0)/100,0)</f>
        <v>0</v>
      </c>
      <c r="AI88" s="24">
        <f>IF(AI87&gt;0,ROUND(AI87+AH88-AG88,2),0)</f>
        <v>0</v>
      </c>
      <c r="AJ88" s="24">
        <f>IF(AL87&gt;0,MIN(ROUND(AJ$6+IF(AJ$5=$C88,$E$5+$E88,0),2),ROUND(AL87+AK88,2)),0)</f>
        <v>0</v>
      </c>
      <c r="AK88" s="24">
        <f>IF(AL87&gt;0,ROUND(ROUND(AL87*100,0)*ROUND(AJ$7*10000,0)/12000000,0)/100,0)</f>
        <v>0</v>
      </c>
      <c r="AL88" s="24">
        <f>IF(AL87&gt;0,ROUND(AL87+AK88-AJ88,2),0)</f>
        <v>0</v>
      </c>
    </row>
    <row r="89" spans="1:38" x14ac:dyDescent="0.25">
      <c r="A89" s="17" t="str">
        <f>IF(F89&gt;0,79,"")</f>
        <v/>
      </c>
      <c r="B89" s="18" t="str">
        <f>IF(F89&gt;0,EDATE($E$6,79),"")</f>
        <v/>
      </c>
      <c r="C89" s="21">
        <f>IF(H88&gt;0,MIN(IF(K88&gt;0,I$5,99),IF(N88&gt;0,L$5,99),IF(Q88&gt;0,O$5,99),IF(T88&gt;0,R$5,99),IF(W88&gt;0,U$5,99),IF(Z88&gt;0,X$5,99),IF(AC88&gt;0,AA$5,99),IF(AF88&gt;0,AD$5,99),IF(AI88&gt;0,AG$5,99),IF(AL88&gt;0,AJ$5,99)),0)</f>
        <v>0</v>
      </c>
      <c r="D89" t="str">
        <f>IF(C89&gt;0,INDEX($I$4:$AL$4,1,MATCH(C89,$I$5:$AL$5,0)),"")</f>
        <v/>
      </c>
      <c r="E89" s="24">
        <f>ROUND(IF(AND(I$8&gt;0,K88=0),I$6,0)+IF(AND(L$8&gt;0,N88=0),L$6,0)+IF(AND(O$8&gt;0,Q88=0),O$6,0)+IF(AND(R$8&gt;0,T88=0),R$6,0)+IF(AND(U$8&gt;0,W88=0),U$6,0)+IF(AND(X$8&gt;0,Z88=0),X$6,0)+IF(AND(AA$8&gt;0,AC88=0),AA$6,0)+IF(AND(AD$8&gt;0,AF88=0),AD$6,0)+IF(AND(AG$8&gt;0,AI88=0),AG$6,0)+IF(AND(AJ$8&gt;0,AL88=0),AJ$6,0),2)</f>
        <v>330</v>
      </c>
      <c r="F89" s="24">
        <f>ROUND(I89+L89+O89+R89+U89+X89+AA89+AD89+AG89+AJ89,2)</f>
        <v>0</v>
      </c>
      <c r="G89" s="24">
        <f>ROUND(J89+M89+P89+S89+V89+Y89+AB89+AE89+AH89+AK89,2)</f>
        <v>0</v>
      </c>
      <c r="H89" s="24">
        <f>ROUND(K89+N89+Q89+T89+W89+Z89+AC89+AF89+AI89+AL89,2)</f>
        <v>0</v>
      </c>
      <c r="I89" s="24">
        <f>IF(K88&gt;0,MIN(ROUND(I$6+IF(I$5=$C89,$E$5+$E89,0),2),ROUND(K88+J89,2)),0)</f>
        <v>0</v>
      </c>
      <c r="J89" s="24">
        <f>IF(K88&gt;0,ROUND(ROUND(K88*100,0)*ROUND(I$7*10000,0)/12000000,0)/100,0)</f>
        <v>0</v>
      </c>
      <c r="K89" s="24">
        <f>IF(K88&gt;0,ROUND(K88+J89-I89,2),0)</f>
        <v>0</v>
      </c>
      <c r="L89" s="24">
        <f>IF(N88&gt;0,MIN(ROUND(L$6+IF(L$5=$C89,$E$5+$E89,0),2),ROUND(N88+M89,2)),0)</f>
        <v>0</v>
      </c>
      <c r="M89" s="24">
        <f>IF(N88&gt;0,ROUND(ROUND(N88*100,0)*ROUND(L$7*10000,0)/12000000,0)/100,0)</f>
        <v>0</v>
      </c>
      <c r="N89" s="24">
        <f>IF(N88&gt;0,ROUND(N88+M89-L89,2),0)</f>
        <v>0</v>
      </c>
      <c r="O89" s="24">
        <f>IF(Q88&gt;0,MIN(ROUND(O$6+IF(O$5=$C89,$E$5+$E89,0),2),ROUND(Q88+P89,2)),0)</f>
        <v>0</v>
      </c>
      <c r="P89" s="24">
        <f>IF(Q88&gt;0,ROUND(ROUND(Q88*100,0)*ROUND(O$7*10000,0)/12000000,0)/100,0)</f>
        <v>0</v>
      </c>
      <c r="Q89" s="24">
        <f>IF(Q88&gt;0,ROUND(Q88+P89-O89,2),0)</f>
        <v>0</v>
      </c>
      <c r="R89" s="24">
        <f>IF(T88&gt;0,MIN(ROUND(R$6+IF(R$5=$C89,$E$5+$E89,0),2),ROUND(T88+S89,2)),0)</f>
        <v>0</v>
      </c>
      <c r="S89" s="24">
        <f>IF(T88&gt;0,ROUND(ROUND(T88*100,0)*ROUND(R$7*10000,0)/12000000,0)/100,0)</f>
        <v>0</v>
      </c>
      <c r="T89" s="24">
        <f>IF(T88&gt;0,ROUND(T88+S89-R89,2),0)</f>
        <v>0</v>
      </c>
      <c r="U89" s="24">
        <f>IF(W88&gt;0,MIN(ROUND(U$6+IF(U$5=$C89,$E$5+$E89,0),2),ROUND(W88+V89,2)),0)</f>
        <v>0</v>
      </c>
      <c r="V89" s="24">
        <f>IF(W88&gt;0,ROUND(ROUND(W88*100,0)*ROUND(U$7*10000,0)/12000000,0)/100,0)</f>
        <v>0</v>
      </c>
      <c r="W89" s="24">
        <f>IF(W88&gt;0,ROUND(W88+V89-U89,2),0)</f>
        <v>0</v>
      </c>
      <c r="X89" s="24">
        <f>IF(Z88&gt;0,MIN(ROUND(X$6+IF(X$5=$C89,$E$5+$E89,0),2),ROUND(Z88+Y89,2)),0)</f>
        <v>0</v>
      </c>
      <c r="Y89" s="24">
        <f>IF(Z88&gt;0,ROUND(ROUND(Z88*100,0)*ROUND(X$7*10000,0)/12000000,0)/100,0)</f>
        <v>0</v>
      </c>
      <c r="Z89" s="24">
        <f>IF(Z88&gt;0,ROUND(Z88+Y89-X89,2),0)</f>
        <v>0</v>
      </c>
      <c r="AA89" s="24">
        <f>IF(AC88&gt;0,MIN(ROUND(AA$6+IF(AA$5=$C89,$E$5+$E89,0),2),ROUND(AC88+AB89,2)),0)</f>
        <v>0</v>
      </c>
      <c r="AB89" s="24">
        <f>IF(AC88&gt;0,ROUND(ROUND(AC88*100,0)*ROUND(AA$7*10000,0)/12000000,0)/100,0)</f>
        <v>0</v>
      </c>
      <c r="AC89" s="24">
        <f>IF(AC88&gt;0,ROUND(AC88+AB89-AA89,2),0)</f>
        <v>0</v>
      </c>
      <c r="AD89" s="24">
        <f>IF(AF88&gt;0,MIN(ROUND(AD$6+IF(AD$5=$C89,$E$5+$E89,0),2),ROUND(AF88+AE89,2)),0)</f>
        <v>0</v>
      </c>
      <c r="AE89" s="24">
        <f>IF(AF88&gt;0,ROUND(ROUND(AF88*100,0)*ROUND(AD$7*10000,0)/12000000,0)/100,0)</f>
        <v>0</v>
      </c>
      <c r="AF89" s="24">
        <f>IF(AF88&gt;0,ROUND(AF88+AE89-AD89,2),0)</f>
        <v>0</v>
      </c>
      <c r="AG89" s="24">
        <f>IF(AI88&gt;0,MIN(ROUND(AG$6+IF(AG$5=$C89,$E$5+$E89,0),2),ROUND(AI88+AH89,2)),0)</f>
        <v>0</v>
      </c>
      <c r="AH89" s="24">
        <f>IF(AI88&gt;0,ROUND(ROUND(AI88*100,0)*ROUND(AG$7*10000,0)/12000000,0)/100,0)</f>
        <v>0</v>
      </c>
      <c r="AI89" s="24">
        <f>IF(AI88&gt;0,ROUND(AI88+AH89-AG89,2),0)</f>
        <v>0</v>
      </c>
      <c r="AJ89" s="24">
        <f>IF(AL88&gt;0,MIN(ROUND(AJ$6+IF(AJ$5=$C89,$E$5+$E89,0),2),ROUND(AL88+AK89,2)),0)</f>
        <v>0</v>
      </c>
      <c r="AK89" s="24">
        <f>IF(AL88&gt;0,ROUND(ROUND(AL88*100,0)*ROUND(AJ$7*10000,0)/12000000,0)/100,0)</f>
        <v>0</v>
      </c>
      <c r="AL89" s="24">
        <f>IF(AL88&gt;0,ROUND(AL88+AK89-AJ89,2),0)</f>
        <v>0</v>
      </c>
    </row>
    <row r="90" spans="1:38" x14ac:dyDescent="0.25">
      <c r="A90" s="17" t="str">
        <f>IF(F90&gt;0,80,"")</f>
        <v/>
      </c>
      <c r="B90" s="18" t="str">
        <f>IF(F90&gt;0,EDATE($E$6,80),"")</f>
        <v/>
      </c>
      <c r="C90" s="21">
        <f>IF(H89&gt;0,MIN(IF(K89&gt;0,I$5,99),IF(N89&gt;0,L$5,99),IF(Q89&gt;0,O$5,99),IF(T89&gt;0,R$5,99),IF(W89&gt;0,U$5,99),IF(Z89&gt;0,X$5,99),IF(AC89&gt;0,AA$5,99),IF(AF89&gt;0,AD$5,99),IF(AI89&gt;0,AG$5,99),IF(AL89&gt;0,AJ$5,99)),0)</f>
        <v>0</v>
      </c>
      <c r="D90" t="str">
        <f>IF(C90&gt;0,INDEX($I$4:$AL$4,1,MATCH(C90,$I$5:$AL$5,0)),"")</f>
        <v/>
      </c>
      <c r="E90" s="24">
        <f>ROUND(IF(AND(I$8&gt;0,K89=0),I$6,0)+IF(AND(L$8&gt;0,N89=0),L$6,0)+IF(AND(O$8&gt;0,Q89=0),O$6,0)+IF(AND(R$8&gt;0,T89=0),R$6,0)+IF(AND(U$8&gt;0,W89=0),U$6,0)+IF(AND(X$8&gt;0,Z89=0),X$6,0)+IF(AND(AA$8&gt;0,AC89=0),AA$6,0)+IF(AND(AD$8&gt;0,AF89=0),AD$6,0)+IF(AND(AG$8&gt;0,AI89=0),AG$6,0)+IF(AND(AJ$8&gt;0,AL89=0),AJ$6,0),2)</f>
        <v>330</v>
      </c>
      <c r="F90" s="24">
        <f>ROUND(I90+L90+O90+R90+U90+X90+AA90+AD90+AG90+AJ90,2)</f>
        <v>0</v>
      </c>
      <c r="G90" s="24">
        <f>ROUND(J90+M90+P90+S90+V90+Y90+AB90+AE90+AH90+AK90,2)</f>
        <v>0</v>
      </c>
      <c r="H90" s="24">
        <f>ROUND(K90+N90+Q90+T90+W90+Z90+AC90+AF90+AI90+AL90,2)</f>
        <v>0</v>
      </c>
      <c r="I90" s="24">
        <f>IF(K89&gt;0,MIN(ROUND(I$6+IF(I$5=$C90,$E$5+$E90,0),2),ROUND(K89+J90,2)),0)</f>
        <v>0</v>
      </c>
      <c r="J90" s="24">
        <f>IF(K89&gt;0,ROUND(ROUND(K89*100,0)*ROUND(I$7*10000,0)/12000000,0)/100,0)</f>
        <v>0</v>
      </c>
      <c r="K90" s="24">
        <f>IF(K89&gt;0,ROUND(K89+J90-I90,2),0)</f>
        <v>0</v>
      </c>
      <c r="L90" s="24">
        <f>IF(N89&gt;0,MIN(ROUND(L$6+IF(L$5=$C90,$E$5+$E90,0),2),ROUND(N89+M90,2)),0)</f>
        <v>0</v>
      </c>
      <c r="M90" s="24">
        <f>IF(N89&gt;0,ROUND(ROUND(N89*100,0)*ROUND(L$7*10000,0)/12000000,0)/100,0)</f>
        <v>0</v>
      </c>
      <c r="N90" s="24">
        <f>IF(N89&gt;0,ROUND(N89+M90-L90,2),0)</f>
        <v>0</v>
      </c>
      <c r="O90" s="24">
        <f>IF(Q89&gt;0,MIN(ROUND(O$6+IF(O$5=$C90,$E$5+$E90,0),2),ROUND(Q89+P90,2)),0)</f>
        <v>0</v>
      </c>
      <c r="P90" s="24">
        <f>IF(Q89&gt;0,ROUND(ROUND(Q89*100,0)*ROUND(O$7*10000,0)/12000000,0)/100,0)</f>
        <v>0</v>
      </c>
      <c r="Q90" s="24">
        <f>IF(Q89&gt;0,ROUND(Q89+P90-O90,2),0)</f>
        <v>0</v>
      </c>
      <c r="R90" s="24">
        <f>IF(T89&gt;0,MIN(ROUND(R$6+IF(R$5=$C90,$E$5+$E90,0),2),ROUND(T89+S90,2)),0)</f>
        <v>0</v>
      </c>
      <c r="S90" s="24">
        <f>IF(T89&gt;0,ROUND(ROUND(T89*100,0)*ROUND(R$7*10000,0)/12000000,0)/100,0)</f>
        <v>0</v>
      </c>
      <c r="T90" s="24">
        <f>IF(T89&gt;0,ROUND(T89+S90-R90,2),0)</f>
        <v>0</v>
      </c>
      <c r="U90" s="24">
        <f>IF(W89&gt;0,MIN(ROUND(U$6+IF(U$5=$C90,$E$5+$E90,0),2),ROUND(W89+V90,2)),0)</f>
        <v>0</v>
      </c>
      <c r="V90" s="24">
        <f>IF(W89&gt;0,ROUND(ROUND(W89*100,0)*ROUND(U$7*10000,0)/12000000,0)/100,0)</f>
        <v>0</v>
      </c>
      <c r="W90" s="24">
        <f>IF(W89&gt;0,ROUND(W89+V90-U90,2),0)</f>
        <v>0</v>
      </c>
      <c r="X90" s="24">
        <f>IF(Z89&gt;0,MIN(ROUND(X$6+IF(X$5=$C90,$E$5+$E90,0),2),ROUND(Z89+Y90,2)),0)</f>
        <v>0</v>
      </c>
      <c r="Y90" s="24">
        <f>IF(Z89&gt;0,ROUND(ROUND(Z89*100,0)*ROUND(X$7*10000,0)/12000000,0)/100,0)</f>
        <v>0</v>
      </c>
      <c r="Z90" s="24">
        <f>IF(Z89&gt;0,ROUND(Z89+Y90-X90,2),0)</f>
        <v>0</v>
      </c>
      <c r="AA90" s="24">
        <f>IF(AC89&gt;0,MIN(ROUND(AA$6+IF(AA$5=$C90,$E$5+$E90,0),2),ROUND(AC89+AB90,2)),0)</f>
        <v>0</v>
      </c>
      <c r="AB90" s="24">
        <f>IF(AC89&gt;0,ROUND(ROUND(AC89*100,0)*ROUND(AA$7*10000,0)/12000000,0)/100,0)</f>
        <v>0</v>
      </c>
      <c r="AC90" s="24">
        <f>IF(AC89&gt;0,ROUND(AC89+AB90-AA90,2),0)</f>
        <v>0</v>
      </c>
      <c r="AD90" s="24">
        <f>IF(AF89&gt;0,MIN(ROUND(AD$6+IF(AD$5=$C90,$E$5+$E90,0),2),ROUND(AF89+AE90,2)),0)</f>
        <v>0</v>
      </c>
      <c r="AE90" s="24">
        <f>IF(AF89&gt;0,ROUND(ROUND(AF89*100,0)*ROUND(AD$7*10000,0)/12000000,0)/100,0)</f>
        <v>0</v>
      </c>
      <c r="AF90" s="24">
        <f>IF(AF89&gt;0,ROUND(AF89+AE90-AD90,2),0)</f>
        <v>0</v>
      </c>
      <c r="AG90" s="24">
        <f>IF(AI89&gt;0,MIN(ROUND(AG$6+IF(AG$5=$C90,$E$5+$E90,0),2),ROUND(AI89+AH90,2)),0)</f>
        <v>0</v>
      </c>
      <c r="AH90" s="24">
        <f>IF(AI89&gt;0,ROUND(ROUND(AI89*100,0)*ROUND(AG$7*10000,0)/12000000,0)/100,0)</f>
        <v>0</v>
      </c>
      <c r="AI90" s="24">
        <f>IF(AI89&gt;0,ROUND(AI89+AH90-AG90,2),0)</f>
        <v>0</v>
      </c>
      <c r="AJ90" s="24">
        <f>IF(AL89&gt;0,MIN(ROUND(AJ$6+IF(AJ$5=$C90,$E$5+$E90,0),2),ROUND(AL89+AK90,2)),0)</f>
        <v>0</v>
      </c>
      <c r="AK90" s="24">
        <f>IF(AL89&gt;0,ROUND(ROUND(AL89*100,0)*ROUND(AJ$7*10000,0)/12000000,0)/100,0)</f>
        <v>0</v>
      </c>
      <c r="AL90" s="24">
        <f>IF(AL89&gt;0,ROUND(AL89+AK90-AJ90,2),0)</f>
        <v>0</v>
      </c>
    </row>
    <row r="91" spans="1:38" x14ac:dyDescent="0.25">
      <c r="A91" s="17" t="str">
        <f>IF(F91&gt;0,81,"")</f>
        <v/>
      </c>
      <c r="B91" s="18" t="str">
        <f>IF(F91&gt;0,EDATE($E$6,81),"")</f>
        <v/>
      </c>
      <c r="C91" s="21">
        <f>IF(H90&gt;0,MIN(IF(K90&gt;0,I$5,99),IF(N90&gt;0,L$5,99),IF(Q90&gt;0,O$5,99),IF(T90&gt;0,R$5,99),IF(W90&gt;0,U$5,99),IF(Z90&gt;0,X$5,99),IF(AC90&gt;0,AA$5,99),IF(AF90&gt;0,AD$5,99),IF(AI90&gt;0,AG$5,99),IF(AL90&gt;0,AJ$5,99)),0)</f>
        <v>0</v>
      </c>
      <c r="D91" t="str">
        <f>IF(C91&gt;0,INDEX($I$4:$AL$4,1,MATCH(C91,$I$5:$AL$5,0)),"")</f>
        <v/>
      </c>
      <c r="E91" s="24">
        <f>ROUND(IF(AND(I$8&gt;0,K90=0),I$6,0)+IF(AND(L$8&gt;0,N90=0),L$6,0)+IF(AND(O$8&gt;0,Q90=0),O$6,0)+IF(AND(R$8&gt;0,T90=0),R$6,0)+IF(AND(U$8&gt;0,W90=0),U$6,0)+IF(AND(X$8&gt;0,Z90=0),X$6,0)+IF(AND(AA$8&gt;0,AC90=0),AA$6,0)+IF(AND(AD$8&gt;0,AF90=0),AD$6,0)+IF(AND(AG$8&gt;0,AI90=0),AG$6,0)+IF(AND(AJ$8&gt;0,AL90=0),AJ$6,0),2)</f>
        <v>330</v>
      </c>
      <c r="F91" s="24">
        <f>ROUND(I91+L91+O91+R91+U91+X91+AA91+AD91+AG91+AJ91,2)</f>
        <v>0</v>
      </c>
      <c r="G91" s="24">
        <f>ROUND(J91+M91+P91+S91+V91+Y91+AB91+AE91+AH91+AK91,2)</f>
        <v>0</v>
      </c>
      <c r="H91" s="24">
        <f>ROUND(K91+N91+Q91+T91+W91+Z91+AC91+AF91+AI91+AL91,2)</f>
        <v>0</v>
      </c>
      <c r="I91" s="24">
        <f>IF(K90&gt;0,MIN(ROUND(I$6+IF(I$5=$C91,$E$5+$E91,0),2),ROUND(K90+J91,2)),0)</f>
        <v>0</v>
      </c>
      <c r="J91" s="24">
        <f>IF(K90&gt;0,ROUND(ROUND(K90*100,0)*ROUND(I$7*10000,0)/12000000,0)/100,0)</f>
        <v>0</v>
      </c>
      <c r="K91" s="24">
        <f>IF(K90&gt;0,ROUND(K90+J91-I91,2),0)</f>
        <v>0</v>
      </c>
      <c r="L91" s="24">
        <f>IF(N90&gt;0,MIN(ROUND(L$6+IF(L$5=$C91,$E$5+$E91,0),2),ROUND(N90+M91,2)),0)</f>
        <v>0</v>
      </c>
      <c r="M91" s="24">
        <f>IF(N90&gt;0,ROUND(ROUND(N90*100,0)*ROUND(L$7*10000,0)/12000000,0)/100,0)</f>
        <v>0</v>
      </c>
      <c r="N91" s="24">
        <f>IF(N90&gt;0,ROUND(N90+M91-L91,2),0)</f>
        <v>0</v>
      </c>
      <c r="O91" s="24">
        <f>IF(Q90&gt;0,MIN(ROUND(O$6+IF(O$5=$C91,$E$5+$E91,0),2),ROUND(Q90+P91,2)),0)</f>
        <v>0</v>
      </c>
      <c r="P91" s="24">
        <f>IF(Q90&gt;0,ROUND(ROUND(Q90*100,0)*ROUND(O$7*10000,0)/12000000,0)/100,0)</f>
        <v>0</v>
      </c>
      <c r="Q91" s="24">
        <f>IF(Q90&gt;0,ROUND(Q90+P91-O91,2),0)</f>
        <v>0</v>
      </c>
      <c r="R91" s="24">
        <f>IF(T90&gt;0,MIN(ROUND(R$6+IF(R$5=$C91,$E$5+$E91,0),2),ROUND(T90+S91,2)),0)</f>
        <v>0</v>
      </c>
      <c r="S91" s="24">
        <f>IF(T90&gt;0,ROUND(ROUND(T90*100,0)*ROUND(R$7*10000,0)/12000000,0)/100,0)</f>
        <v>0</v>
      </c>
      <c r="T91" s="24">
        <f>IF(T90&gt;0,ROUND(T90+S91-R91,2),0)</f>
        <v>0</v>
      </c>
      <c r="U91" s="24">
        <f>IF(W90&gt;0,MIN(ROUND(U$6+IF(U$5=$C91,$E$5+$E91,0),2),ROUND(W90+V91,2)),0)</f>
        <v>0</v>
      </c>
      <c r="V91" s="24">
        <f>IF(W90&gt;0,ROUND(ROUND(W90*100,0)*ROUND(U$7*10000,0)/12000000,0)/100,0)</f>
        <v>0</v>
      </c>
      <c r="W91" s="24">
        <f>IF(W90&gt;0,ROUND(W90+V91-U91,2),0)</f>
        <v>0</v>
      </c>
      <c r="X91" s="24">
        <f>IF(Z90&gt;0,MIN(ROUND(X$6+IF(X$5=$C91,$E$5+$E91,0),2),ROUND(Z90+Y91,2)),0)</f>
        <v>0</v>
      </c>
      <c r="Y91" s="24">
        <f>IF(Z90&gt;0,ROUND(ROUND(Z90*100,0)*ROUND(X$7*10000,0)/12000000,0)/100,0)</f>
        <v>0</v>
      </c>
      <c r="Z91" s="24">
        <f>IF(Z90&gt;0,ROUND(Z90+Y91-X91,2),0)</f>
        <v>0</v>
      </c>
      <c r="AA91" s="24">
        <f>IF(AC90&gt;0,MIN(ROUND(AA$6+IF(AA$5=$C91,$E$5+$E91,0),2),ROUND(AC90+AB91,2)),0)</f>
        <v>0</v>
      </c>
      <c r="AB91" s="24">
        <f>IF(AC90&gt;0,ROUND(ROUND(AC90*100,0)*ROUND(AA$7*10000,0)/12000000,0)/100,0)</f>
        <v>0</v>
      </c>
      <c r="AC91" s="24">
        <f>IF(AC90&gt;0,ROUND(AC90+AB91-AA91,2),0)</f>
        <v>0</v>
      </c>
      <c r="AD91" s="24">
        <f>IF(AF90&gt;0,MIN(ROUND(AD$6+IF(AD$5=$C91,$E$5+$E91,0),2),ROUND(AF90+AE91,2)),0)</f>
        <v>0</v>
      </c>
      <c r="AE91" s="24">
        <f>IF(AF90&gt;0,ROUND(ROUND(AF90*100,0)*ROUND(AD$7*10000,0)/12000000,0)/100,0)</f>
        <v>0</v>
      </c>
      <c r="AF91" s="24">
        <f>IF(AF90&gt;0,ROUND(AF90+AE91-AD91,2),0)</f>
        <v>0</v>
      </c>
      <c r="AG91" s="24">
        <f>IF(AI90&gt;0,MIN(ROUND(AG$6+IF(AG$5=$C91,$E$5+$E91,0),2),ROUND(AI90+AH91,2)),0)</f>
        <v>0</v>
      </c>
      <c r="AH91" s="24">
        <f>IF(AI90&gt;0,ROUND(ROUND(AI90*100,0)*ROUND(AG$7*10000,0)/12000000,0)/100,0)</f>
        <v>0</v>
      </c>
      <c r="AI91" s="24">
        <f>IF(AI90&gt;0,ROUND(AI90+AH91-AG91,2),0)</f>
        <v>0</v>
      </c>
      <c r="AJ91" s="24">
        <f>IF(AL90&gt;0,MIN(ROUND(AJ$6+IF(AJ$5=$C91,$E$5+$E91,0),2),ROUND(AL90+AK91,2)),0)</f>
        <v>0</v>
      </c>
      <c r="AK91" s="24">
        <f>IF(AL90&gt;0,ROUND(ROUND(AL90*100,0)*ROUND(AJ$7*10000,0)/12000000,0)/100,0)</f>
        <v>0</v>
      </c>
      <c r="AL91" s="24">
        <f>IF(AL90&gt;0,ROUND(AL90+AK91-AJ91,2),0)</f>
        <v>0</v>
      </c>
    </row>
    <row r="92" spans="1:38" x14ac:dyDescent="0.25">
      <c r="A92" s="17" t="str">
        <f>IF(F92&gt;0,82,"")</f>
        <v/>
      </c>
      <c r="B92" s="18" t="str">
        <f>IF(F92&gt;0,EDATE($E$6,82),"")</f>
        <v/>
      </c>
      <c r="C92" s="21">
        <f>IF(H91&gt;0,MIN(IF(K91&gt;0,I$5,99),IF(N91&gt;0,L$5,99),IF(Q91&gt;0,O$5,99),IF(T91&gt;0,R$5,99),IF(W91&gt;0,U$5,99),IF(Z91&gt;0,X$5,99),IF(AC91&gt;0,AA$5,99),IF(AF91&gt;0,AD$5,99),IF(AI91&gt;0,AG$5,99),IF(AL91&gt;0,AJ$5,99)),0)</f>
        <v>0</v>
      </c>
      <c r="D92" t="str">
        <f>IF(C92&gt;0,INDEX($I$4:$AL$4,1,MATCH(C92,$I$5:$AL$5,0)),"")</f>
        <v/>
      </c>
      <c r="E92" s="24">
        <f>ROUND(IF(AND(I$8&gt;0,K91=0),I$6,0)+IF(AND(L$8&gt;0,N91=0),L$6,0)+IF(AND(O$8&gt;0,Q91=0),O$6,0)+IF(AND(R$8&gt;0,T91=0),R$6,0)+IF(AND(U$8&gt;0,W91=0),U$6,0)+IF(AND(X$8&gt;0,Z91=0),X$6,0)+IF(AND(AA$8&gt;0,AC91=0),AA$6,0)+IF(AND(AD$8&gt;0,AF91=0),AD$6,0)+IF(AND(AG$8&gt;0,AI91=0),AG$6,0)+IF(AND(AJ$8&gt;0,AL91=0),AJ$6,0),2)</f>
        <v>330</v>
      </c>
      <c r="F92" s="24">
        <f>ROUND(I92+L92+O92+R92+U92+X92+AA92+AD92+AG92+AJ92,2)</f>
        <v>0</v>
      </c>
      <c r="G92" s="24">
        <f>ROUND(J92+M92+P92+S92+V92+Y92+AB92+AE92+AH92+AK92,2)</f>
        <v>0</v>
      </c>
      <c r="H92" s="24">
        <f>ROUND(K92+N92+Q92+T92+W92+Z92+AC92+AF92+AI92+AL92,2)</f>
        <v>0</v>
      </c>
      <c r="I92" s="24">
        <f>IF(K91&gt;0,MIN(ROUND(I$6+IF(I$5=$C92,$E$5+$E92,0),2),ROUND(K91+J92,2)),0)</f>
        <v>0</v>
      </c>
      <c r="J92" s="24">
        <f>IF(K91&gt;0,ROUND(ROUND(K91*100,0)*ROUND(I$7*10000,0)/12000000,0)/100,0)</f>
        <v>0</v>
      </c>
      <c r="K92" s="24">
        <f>IF(K91&gt;0,ROUND(K91+J92-I92,2),0)</f>
        <v>0</v>
      </c>
      <c r="L92" s="24">
        <f>IF(N91&gt;0,MIN(ROUND(L$6+IF(L$5=$C92,$E$5+$E92,0),2),ROUND(N91+M92,2)),0)</f>
        <v>0</v>
      </c>
      <c r="M92" s="24">
        <f>IF(N91&gt;0,ROUND(ROUND(N91*100,0)*ROUND(L$7*10000,0)/12000000,0)/100,0)</f>
        <v>0</v>
      </c>
      <c r="N92" s="24">
        <f>IF(N91&gt;0,ROUND(N91+M92-L92,2),0)</f>
        <v>0</v>
      </c>
      <c r="O92" s="24">
        <f>IF(Q91&gt;0,MIN(ROUND(O$6+IF(O$5=$C92,$E$5+$E92,0),2),ROUND(Q91+P92,2)),0)</f>
        <v>0</v>
      </c>
      <c r="P92" s="24">
        <f>IF(Q91&gt;0,ROUND(ROUND(Q91*100,0)*ROUND(O$7*10000,0)/12000000,0)/100,0)</f>
        <v>0</v>
      </c>
      <c r="Q92" s="24">
        <f>IF(Q91&gt;0,ROUND(Q91+P92-O92,2),0)</f>
        <v>0</v>
      </c>
      <c r="R92" s="24">
        <f>IF(T91&gt;0,MIN(ROUND(R$6+IF(R$5=$C92,$E$5+$E92,0),2),ROUND(T91+S92,2)),0)</f>
        <v>0</v>
      </c>
      <c r="S92" s="24">
        <f>IF(T91&gt;0,ROUND(ROUND(T91*100,0)*ROUND(R$7*10000,0)/12000000,0)/100,0)</f>
        <v>0</v>
      </c>
      <c r="T92" s="24">
        <f>IF(T91&gt;0,ROUND(T91+S92-R92,2),0)</f>
        <v>0</v>
      </c>
      <c r="U92" s="24">
        <f>IF(W91&gt;0,MIN(ROUND(U$6+IF(U$5=$C92,$E$5+$E92,0),2),ROUND(W91+V92,2)),0)</f>
        <v>0</v>
      </c>
      <c r="V92" s="24">
        <f>IF(W91&gt;0,ROUND(ROUND(W91*100,0)*ROUND(U$7*10000,0)/12000000,0)/100,0)</f>
        <v>0</v>
      </c>
      <c r="W92" s="24">
        <f>IF(W91&gt;0,ROUND(W91+V92-U92,2),0)</f>
        <v>0</v>
      </c>
      <c r="X92" s="24">
        <f>IF(Z91&gt;0,MIN(ROUND(X$6+IF(X$5=$C92,$E$5+$E92,0),2),ROUND(Z91+Y92,2)),0)</f>
        <v>0</v>
      </c>
      <c r="Y92" s="24">
        <f>IF(Z91&gt;0,ROUND(ROUND(Z91*100,0)*ROUND(X$7*10000,0)/12000000,0)/100,0)</f>
        <v>0</v>
      </c>
      <c r="Z92" s="24">
        <f>IF(Z91&gt;0,ROUND(Z91+Y92-X92,2),0)</f>
        <v>0</v>
      </c>
      <c r="AA92" s="24">
        <f>IF(AC91&gt;0,MIN(ROUND(AA$6+IF(AA$5=$C92,$E$5+$E92,0),2),ROUND(AC91+AB92,2)),0)</f>
        <v>0</v>
      </c>
      <c r="AB92" s="24">
        <f>IF(AC91&gt;0,ROUND(ROUND(AC91*100,0)*ROUND(AA$7*10000,0)/12000000,0)/100,0)</f>
        <v>0</v>
      </c>
      <c r="AC92" s="24">
        <f>IF(AC91&gt;0,ROUND(AC91+AB92-AA92,2),0)</f>
        <v>0</v>
      </c>
      <c r="AD92" s="24">
        <f>IF(AF91&gt;0,MIN(ROUND(AD$6+IF(AD$5=$C92,$E$5+$E92,0),2),ROUND(AF91+AE92,2)),0)</f>
        <v>0</v>
      </c>
      <c r="AE92" s="24">
        <f>IF(AF91&gt;0,ROUND(ROUND(AF91*100,0)*ROUND(AD$7*10000,0)/12000000,0)/100,0)</f>
        <v>0</v>
      </c>
      <c r="AF92" s="24">
        <f>IF(AF91&gt;0,ROUND(AF91+AE92-AD92,2),0)</f>
        <v>0</v>
      </c>
      <c r="AG92" s="24">
        <f>IF(AI91&gt;0,MIN(ROUND(AG$6+IF(AG$5=$C92,$E$5+$E92,0),2),ROUND(AI91+AH92,2)),0)</f>
        <v>0</v>
      </c>
      <c r="AH92" s="24">
        <f>IF(AI91&gt;0,ROUND(ROUND(AI91*100,0)*ROUND(AG$7*10000,0)/12000000,0)/100,0)</f>
        <v>0</v>
      </c>
      <c r="AI92" s="24">
        <f>IF(AI91&gt;0,ROUND(AI91+AH92-AG92,2),0)</f>
        <v>0</v>
      </c>
      <c r="AJ92" s="24">
        <f>IF(AL91&gt;0,MIN(ROUND(AJ$6+IF(AJ$5=$C92,$E$5+$E92,0),2),ROUND(AL91+AK92,2)),0)</f>
        <v>0</v>
      </c>
      <c r="AK92" s="24">
        <f>IF(AL91&gt;0,ROUND(ROUND(AL91*100,0)*ROUND(AJ$7*10000,0)/12000000,0)/100,0)</f>
        <v>0</v>
      </c>
      <c r="AL92" s="24">
        <f>IF(AL91&gt;0,ROUND(AL91+AK92-AJ92,2),0)</f>
        <v>0</v>
      </c>
    </row>
    <row r="93" spans="1:38" x14ac:dyDescent="0.25">
      <c r="A93" s="17" t="str">
        <f>IF(F93&gt;0,83,"")</f>
        <v/>
      </c>
      <c r="B93" s="18" t="str">
        <f>IF(F93&gt;0,EDATE($E$6,83),"")</f>
        <v/>
      </c>
      <c r="C93" s="21">
        <f>IF(H92&gt;0,MIN(IF(K92&gt;0,I$5,99),IF(N92&gt;0,L$5,99),IF(Q92&gt;0,O$5,99),IF(T92&gt;0,R$5,99),IF(W92&gt;0,U$5,99),IF(Z92&gt;0,X$5,99),IF(AC92&gt;0,AA$5,99),IF(AF92&gt;0,AD$5,99),IF(AI92&gt;0,AG$5,99),IF(AL92&gt;0,AJ$5,99)),0)</f>
        <v>0</v>
      </c>
      <c r="D93" t="str">
        <f>IF(C93&gt;0,INDEX($I$4:$AL$4,1,MATCH(C93,$I$5:$AL$5,0)),"")</f>
        <v/>
      </c>
      <c r="E93" s="24">
        <f>ROUND(IF(AND(I$8&gt;0,K92=0),I$6,0)+IF(AND(L$8&gt;0,N92=0),L$6,0)+IF(AND(O$8&gt;0,Q92=0),O$6,0)+IF(AND(R$8&gt;0,T92=0),R$6,0)+IF(AND(U$8&gt;0,W92=0),U$6,0)+IF(AND(X$8&gt;0,Z92=0),X$6,0)+IF(AND(AA$8&gt;0,AC92=0),AA$6,0)+IF(AND(AD$8&gt;0,AF92=0),AD$6,0)+IF(AND(AG$8&gt;0,AI92=0),AG$6,0)+IF(AND(AJ$8&gt;0,AL92=0),AJ$6,0),2)</f>
        <v>330</v>
      </c>
      <c r="F93" s="24">
        <f>ROUND(I93+L93+O93+R93+U93+X93+AA93+AD93+AG93+AJ93,2)</f>
        <v>0</v>
      </c>
      <c r="G93" s="24">
        <f>ROUND(J93+M93+P93+S93+V93+Y93+AB93+AE93+AH93+AK93,2)</f>
        <v>0</v>
      </c>
      <c r="H93" s="24">
        <f>ROUND(K93+N93+Q93+T93+W93+Z93+AC93+AF93+AI93+AL93,2)</f>
        <v>0</v>
      </c>
      <c r="I93" s="24">
        <f>IF(K92&gt;0,MIN(ROUND(I$6+IF(I$5=$C93,$E$5+$E93,0),2),ROUND(K92+J93,2)),0)</f>
        <v>0</v>
      </c>
      <c r="J93" s="24">
        <f>IF(K92&gt;0,ROUND(ROUND(K92*100,0)*ROUND(I$7*10000,0)/12000000,0)/100,0)</f>
        <v>0</v>
      </c>
      <c r="K93" s="24">
        <f>IF(K92&gt;0,ROUND(K92+J93-I93,2),0)</f>
        <v>0</v>
      </c>
      <c r="L93" s="24">
        <f>IF(N92&gt;0,MIN(ROUND(L$6+IF(L$5=$C93,$E$5+$E93,0),2),ROUND(N92+M93,2)),0)</f>
        <v>0</v>
      </c>
      <c r="M93" s="24">
        <f>IF(N92&gt;0,ROUND(ROUND(N92*100,0)*ROUND(L$7*10000,0)/12000000,0)/100,0)</f>
        <v>0</v>
      </c>
      <c r="N93" s="24">
        <f>IF(N92&gt;0,ROUND(N92+M93-L93,2),0)</f>
        <v>0</v>
      </c>
      <c r="O93" s="24">
        <f>IF(Q92&gt;0,MIN(ROUND(O$6+IF(O$5=$C93,$E$5+$E93,0),2),ROUND(Q92+P93,2)),0)</f>
        <v>0</v>
      </c>
      <c r="P93" s="24">
        <f>IF(Q92&gt;0,ROUND(ROUND(Q92*100,0)*ROUND(O$7*10000,0)/12000000,0)/100,0)</f>
        <v>0</v>
      </c>
      <c r="Q93" s="24">
        <f>IF(Q92&gt;0,ROUND(Q92+P93-O93,2),0)</f>
        <v>0</v>
      </c>
      <c r="R93" s="24">
        <f>IF(T92&gt;0,MIN(ROUND(R$6+IF(R$5=$C93,$E$5+$E93,0),2),ROUND(T92+S93,2)),0)</f>
        <v>0</v>
      </c>
      <c r="S93" s="24">
        <f>IF(T92&gt;0,ROUND(ROUND(T92*100,0)*ROUND(R$7*10000,0)/12000000,0)/100,0)</f>
        <v>0</v>
      </c>
      <c r="T93" s="24">
        <f>IF(T92&gt;0,ROUND(T92+S93-R93,2),0)</f>
        <v>0</v>
      </c>
      <c r="U93" s="24">
        <f>IF(W92&gt;0,MIN(ROUND(U$6+IF(U$5=$C93,$E$5+$E93,0),2),ROUND(W92+V93,2)),0)</f>
        <v>0</v>
      </c>
      <c r="V93" s="24">
        <f>IF(W92&gt;0,ROUND(ROUND(W92*100,0)*ROUND(U$7*10000,0)/12000000,0)/100,0)</f>
        <v>0</v>
      </c>
      <c r="W93" s="24">
        <f>IF(W92&gt;0,ROUND(W92+V93-U93,2),0)</f>
        <v>0</v>
      </c>
      <c r="X93" s="24">
        <f>IF(Z92&gt;0,MIN(ROUND(X$6+IF(X$5=$C93,$E$5+$E93,0),2),ROUND(Z92+Y93,2)),0)</f>
        <v>0</v>
      </c>
      <c r="Y93" s="24">
        <f>IF(Z92&gt;0,ROUND(ROUND(Z92*100,0)*ROUND(X$7*10000,0)/12000000,0)/100,0)</f>
        <v>0</v>
      </c>
      <c r="Z93" s="24">
        <f>IF(Z92&gt;0,ROUND(Z92+Y93-X93,2),0)</f>
        <v>0</v>
      </c>
      <c r="AA93" s="24">
        <f>IF(AC92&gt;0,MIN(ROUND(AA$6+IF(AA$5=$C93,$E$5+$E93,0),2),ROUND(AC92+AB93,2)),0)</f>
        <v>0</v>
      </c>
      <c r="AB93" s="24">
        <f>IF(AC92&gt;0,ROUND(ROUND(AC92*100,0)*ROUND(AA$7*10000,0)/12000000,0)/100,0)</f>
        <v>0</v>
      </c>
      <c r="AC93" s="24">
        <f>IF(AC92&gt;0,ROUND(AC92+AB93-AA93,2),0)</f>
        <v>0</v>
      </c>
      <c r="AD93" s="24">
        <f>IF(AF92&gt;0,MIN(ROUND(AD$6+IF(AD$5=$C93,$E$5+$E93,0),2),ROUND(AF92+AE93,2)),0)</f>
        <v>0</v>
      </c>
      <c r="AE93" s="24">
        <f>IF(AF92&gt;0,ROUND(ROUND(AF92*100,0)*ROUND(AD$7*10000,0)/12000000,0)/100,0)</f>
        <v>0</v>
      </c>
      <c r="AF93" s="24">
        <f>IF(AF92&gt;0,ROUND(AF92+AE93-AD93,2),0)</f>
        <v>0</v>
      </c>
      <c r="AG93" s="24">
        <f>IF(AI92&gt;0,MIN(ROUND(AG$6+IF(AG$5=$C93,$E$5+$E93,0),2),ROUND(AI92+AH93,2)),0)</f>
        <v>0</v>
      </c>
      <c r="AH93" s="24">
        <f>IF(AI92&gt;0,ROUND(ROUND(AI92*100,0)*ROUND(AG$7*10000,0)/12000000,0)/100,0)</f>
        <v>0</v>
      </c>
      <c r="AI93" s="24">
        <f>IF(AI92&gt;0,ROUND(AI92+AH93-AG93,2),0)</f>
        <v>0</v>
      </c>
      <c r="AJ93" s="24">
        <f>IF(AL92&gt;0,MIN(ROUND(AJ$6+IF(AJ$5=$C93,$E$5+$E93,0),2),ROUND(AL92+AK93,2)),0)</f>
        <v>0</v>
      </c>
      <c r="AK93" s="24">
        <f>IF(AL92&gt;0,ROUND(ROUND(AL92*100,0)*ROUND(AJ$7*10000,0)/12000000,0)/100,0)</f>
        <v>0</v>
      </c>
      <c r="AL93" s="24">
        <f>IF(AL92&gt;0,ROUND(AL92+AK93-AJ93,2),0)</f>
        <v>0</v>
      </c>
    </row>
    <row r="94" spans="1:38" x14ac:dyDescent="0.25">
      <c r="A94" s="17" t="str">
        <f>IF(F94&gt;0,84,"")</f>
        <v/>
      </c>
      <c r="B94" s="18" t="str">
        <f>IF(F94&gt;0,EDATE($E$6,84),"")</f>
        <v/>
      </c>
      <c r="C94" s="21">
        <f>IF(H93&gt;0,MIN(IF(K93&gt;0,I$5,99),IF(N93&gt;0,L$5,99),IF(Q93&gt;0,O$5,99),IF(T93&gt;0,R$5,99),IF(W93&gt;0,U$5,99),IF(Z93&gt;0,X$5,99),IF(AC93&gt;0,AA$5,99),IF(AF93&gt;0,AD$5,99),IF(AI93&gt;0,AG$5,99),IF(AL93&gt;0,AJ$5,99)),0)</f>
        <v>0</v>
      </c>
      <c r="D94" t="str">
        <f>IF(C94&gt;0,INDEX($I$4:$AL$4,1,MATCH(C94,$I$5:$AL$5,0)),"")</f>
        <v/>
      </c>
      <c r="E94" s="24">
        <f>ROUND(IF(AND(I$8&gt;0,K93=0),I$6,0)+IF(AND(L$8&gt;0,N93=0),L$6,0)+IF(AND(O$8&gt;0,Q93=0),O$6,0)+IF(AND(R$8&gt;0,T93=0),R$6,0)+IF(AND(U$8&gt;0,W93=0),U$6,0)+IF(AND(X$8&gt;0,Z93=0),X$6,0)+IF(AND(AA$8&gt;0,AC93=0),AA$6,0)+IF(AND(AD$8&gt;0,AF93=0),AD$6,0)+IF(AND(AG$8&gt;0,AI93=0),AG$6,0)+IF(AND(AJ$8&gt;0,AL93=0),AJ$6,0),2)</f>
        <v>330</v>
      </c>
      <c r="F94" s="24">
        <f>ROUND(I94+L94+O94+R94+U94+X94+AA94+AD94+AG94+AJ94,2)</f>
        <v>0</v>
      </c>
      <c r="G94" s="24">
        <f>ROUND(J94+M94+P94+S94+V94+Y94+AB94+AE94+AH94+AK94,2)</f>
        <v>0</v>
      </c>
      <c r="H94" s="24">
        <f>ROUND(K94+N94+Q94+T94+W94+Z94+AC94+AF94+AI94+AL94,2)</f>
        <v>0</v>
      </c>
      <c r="I94" s="24">
        <f>IF(K93&gt;0,MIN(ROUND(I$6+IF(I$5=$C94,$E$5+$E94,0),2),ROUND(K93+J94,2)),0)</f>
        <v>0</v>
      </c>
      <c r="J94" s="24">
        <f>IF(K93&gt;0,ROUND(ROUND(K93*100,0)*ROUND(I$7*10000,0)/12000000,0)/100,0)</f>
        <v>0</v>
      </c>
      <c r="K94" s="24">
        <f>IF(K93&gt;0,ROUND(K93+J94-I94,2),0)</f>
        <v>0</v>
      </c>
      <c r="L94" s="24">
        <f>IF(N93&gt;0,MIN(ROUND(L$6+IF(L$5=$C94,$E$5+$E94,0),2),ROUND(N93+M94,2)),0)</f>
        <v>0</v>
      </c>
      <c r="M94" s="24">
        <f>IF(N93&gt;0,ROUND(ROUND(N93*100,0)*ROUND(L$7*10000,0)/12000000,0)/100,0)</f>
        <v>0</v>
      </c>
      <c r="N94" s="24">
        <f>IF(N93&gt;0,ROUND(N93+M94-L94,2),0)</f>
        <v>0</v>
      </c>
      <c r="O94" s="24">
        <f>IF(Q93&gt;0,MIN(ROUND(O$6+IF(O$5=$C94,$E$5+$E94,0),2),ROUND(Q93+P94,2)),0)</f>
        <v>0</v>
      </c>
      <c r="P94" s="24">
        <f>IF(Q93&gt;0,ROUND(ROUND(Q93*100,0)*ROUND(O$7*10000,0)/12000000,0)/100,0)</f>
        <v>0</v>
      </c>
      <c r="Q94" s="24">
        <f>IF(Q93&gt;0,ROUND(Q93+P94-O94,2),0)</f>
        <v>0</v>
      </c>
      <c r="R94" s="24">
        <f>IF(T93&gt;0,MIN(ROUND(R$6+IF(R$5=$C94,$E$5+$E94,0),2),ROUND(T93+S94,2)),0)</f>
        <v>0</v>
      </c>
      <c r="S94" s="24">
        <f>IF(T93&gt;0,ROUND(ROUND(T93*100,0)*ROUND(R$7*10000,0)/12000000,0)/100,0)</f>
        <v>0</v>
      </c>
      <c r="T94" s="24">
        <f>IF(T93&gt;0,ROUND(T93+S94-R94,2),0)</f>
        <v>0</v>
      </c>
      <c r="U94" s="24">
        <f>IF(W93&gt;0,MIN(ROUND(U$6+IF(U$5=$C94,$E$5+$E94,0),2),ROUND(W93+V94,2)),0)</f>
        <v>0</v>
      </c>
      <c r="V94" s="24">
        <f>IF(W93&gt;0,ROUND(ROUND(W93*100,0)*ROUND(U$7*10000,0)/12000000,0)/100,0)</f>
        <v>0</v>
      </c>
      <c r="W94" s="24">
        <f>IF(W93&gt;0,ROUND(W93+V94-U94,2),0)</f>
        <v>0</v>
      </c>
      <c r="X94" s="24">
        <f>IF(Z93&gt;0,MIN(ROUND(X$6+IF(X$5=$C94,$E$5+$E94,0),2),ROUND(Z93+Y94,2)),0)</f>
        <v>0</v>
      </c>
      <c r="Y94" s="24">
        <f>IF(Z93&gt;0,ROUND(ROUND(Z93*100,0)*ROUND(X$7*10000,0)/12000000,0)/100,0)</f>
        <v>0</v>
      </c>
      <c r="Z94" s="24">
        <f>IF(Z93&gt;0,ROUND(Z93+Y94-X94,2),0)</f>
        <v>0</v>
      </c>
      <c r="AA94" s="24">
        <f>IF(AC93&gt;0,MIN(ROUND(AA$6+IF(AA$5=$C94,$E$5+$E94,0),2),ROUND(AC93+AB94,2)),0)</f>
        <v>0</v>
      </c>
      <c r="AB94" s="24">
        <f>IF(AC93&gt;0,ROUND(ROUND(AC93*100,0)*ROUND(AA$7*10000,0)/12000000,0)/100,0)</f>
        <v>0</v>
      </c>
      <c r="AC94" s="24">
        <f>IF(AC93&gt;0,ROUND(AC93+AB94-AA94,2),0)</f>
        <v>0</v>
      </c>
      <c r="AD94" s="24">
        <f>IF(AF93&gt;0,MIN(ROUND(AD$6+IF(AD$5=$C94,$E$5+$E94,0),2),ROUND(AF93+AE94,2)),0)</f>
        <v>0</v>
      </c>
      <c r="AE94" s="24">
        <f>IF(AF93&gt;0,ROUND(ROUND(AF93*100,0)*ROUND(AD$7*10000,0)/12000000,0)/100,0)</f>
        <v>0</v>
      </c>
      <c r="AF94" s="24">
        <f>IF(AF93&gt;0,ROUND(AF93+AE94-AD94,2),0)</f>
        <v>0</v>
      </c>
      <c r="AG94" s="24">
        <f>IF(AI93&gt;0,MIN(ROUND(AG$6+IF(AG$5=$C94,$E$5+$E94,0),2),ROUND(AI93+AH94,2)),0)</f>
        <v>0</v>
      </c>
      <c r="AH94" s="24">
        <f>IF(AI93&gt;0,ROUND(ROUND(AI93*100,0)*ROUND(AG$7*10000,0)/12000000,0)/100,0)</f>
        <v>0</v>
      </c>
      <c r="AI94" s="24">
        <f>IF(AI93&gt;0,ROUND(AI93+AH94-AG94,2),0)</f>
        <v>0</v>
      </c>
      <c r="AJ94" s="24">
        <f>IF(AL93&gt;0,MIN(ROUND(AJ$6+IF(AJ$5=$C94,$E$5+$E94,0),2),ROUND(AL93+AK94,2)),0)</f>
        <v>0</v>
      </c>
      <c r="AK94" s="24">
        <f>IF(AL93&gt;0,ROUND(ROUND(AL93*100,0)*ROUND(AJ$7*10000,0)/12000000,0)/100,0)</f>
        <v>0</v>
      </c>
      <c r="AL94" s="24">
        <f>IF(AL93&gt;0,ROUND(AL93+AK94-AJ94,2),0)</f>
        <v>0</v>
      </c>
    </row>
    <row r="95" spans="1:38" x14ac:dyDescent="0.25">
      <c r="A95" s="17" t="str">
        <f>IF(F95&gt;0,85,"")</f>
        <v/>
      </c>
      <c r="B95" s="18" t="str">
        <f>IF(F95&gt;0,EDATE($E$6,85),"")</f>
        <v/>
      </c>
      <c r="C95" s="21">
        <f>IF(H94&gt;0,MIN(IF(K94&gt;0,I$5,99),IF(N94&gt;0,L$5,99),IF(Q94&gt;0,O$5,99),IF(T94&gt;0,R$5,99),IF(W94&gt;0,U$5,99),IF(Z94&gt;0,X$5,99),IF(AC94&gt;0,AA$5,99),IF(AF94&gt;0,AD$5,99),IF(AI94&gt;0,AG$5,99),IF(AL94&gt;0,AJ$5,99)),0)</f>
        <v>0</v>
      </c>
      <c r="D95" t="str">
        <f>IF(C95&gt;0,INDEX($I$4:$AL$4,1,MATCH(C95,$I$5:$AL$5,0)),"")</f>
        <v/>
      </c>
      <c r="E95" s="24">
        <f>ROUND(IF(AND(I$8&gt;0,K94=0),I$6,0)+IF(AND(L$8&gt;0,N94=0),L$6,0)+IF(AND(O$8&gt;0,Q94=0),O$6,0)+IF(AND(R$8&gt;0,T94=0),R$6,0)+IF(AND(U$8&gt;0,W94=0),U$6,0)+IF(AND(X$8&gt;0,Z94=0),X$6,0)+IF(AND(AA$8&gt;0,AC94=0),AA$6,0)+IF(AND(AD$8&gt;0,AF94=0),AD$6,0)+IF(AND(AG$8&gt;0,AI94=0),AG$6,0)+IF(AND(AJ$8&gt;0,AL94=0),AJ$6,0),2)</f>
        <v>330</v>
      </c>
      <c r="F95" s="24">
        <f>ROUND(I95+L95+O95+R95+U95+X95+AA95+AD95+AG95+AJ95,2)</f>
        <v>0</v>
      </c>
      <c r="G95" s="24">
        <f>ROUND(J95+M95+P95+S95+V95+Y95+AB95+AE95+AH95+AK95,2)</f>
        <v>0</v>
      </c>
      <c r="H95" s="24">
        <f>ROUND(K95+N95+Q95+T95+W95+Z95+AC95+AF95+AI95+AL95,2)</f>
        <v>0</v>
      </c>
      <c r="I95" s="24">
        <f>IF(K94&gt;0,MIN(ROUND(I$6+IF(I$5=$C95,$E$5+$E95,0),2),ROUND(K94+J95,2)),0)</f>
        <v>0</v>
      </c>
      <c r="J95" s="24">
        <f>IF(K94&gt;0,ROUND(ROUND(K94*100,0)*ROUND(I$7*10000,0)/12000000,0)/100,0)</f>
        <v>0</v>
      </c>
      <c r="K95" s="24">
        <f>IF(K94&gt;0,ROUND(K94+J95-I95,2),0)</f>
        <v>0</v>
      </c>
      <c r="L95" s="24">
        <f>IF(N94&gt;0,MIN(ROUND(L$6+IF(L$5=$C95,$E$5+$E95,0),2),ROUND(N94+M95,2)),0)</f>
        <v>0</v>
      </c>
      <c r="M95" s="24">
        <f>IF(N94&gt;0,ROUND(ROUND(N94*100,0)*ROUND(L$7*10000,0)/12000000,0)/100,0)</f>
        <v>0</v>
      </c>
      <c r="N95" s="24">
        <f>IF(N94&gt;0,ROUND(N94+M95-L95,2),0)</f>
        <v>0</v>
      </c>
      <c r="O95" s="24">
        <f>IF(Q94&gt;0,MIN(ROUND(O$6+IF(O$5=$C95,$E$5+$E95,0),2),ROUND(Q94+P95,2)),0)</f>
        <v>0</v>
      </c>
      <c r="P95" s="24">
        <f>IF(Q94&gt;0,ROUND(ROUND(Q94*100,0)*ROUND(O$7*10000,0)/12000000,0)/100,0)</f>
        <v>0</v>
      </c>
      <c r="Q95" s="24">
        <f>IF(Q94&gt;0,ROUND(Q94+P95-O95,2),0)</f>
        <v>0</v>
      </c>
      <c r="R95" s="24">
        <f>IF(T94&gt;0,MIN(ROUND(R$6+IF(R$5=$C95,$E$5+$E95,0),2),ROUND(T94+S95,2)),0)</f>
        <v>0</v>
      </c>
      <c r="S95" s="24">
        <f>IF(T94&gt;0,ROUND(ROUND(T94*100,0)*ROUND(R$7*10000,0)/12000000,0)/100,0)</f>
        <v>0</v>
      </c>
      <c r="T95" s="24">
        <f>IF(T94&gt;0,ROUND(T94+S95-R95,2),0)</f>
        <v>0</v>
      </c>
      <c r="U95" s="24">
        <f>IF(W94&gt;0,MIN(ROUND(U$6+IF(U$5=$C95,$E$5+$E95,0),2),ROUND(W94+V95,2)),0)</f>
        <v>0</v>
      </c>
      <c r="V95" s="24">
        <f>IF(W94&gt;0,ROUND(ROUND(W94*100,0)*ROUND(U$7*10000,0)/12000000,0)/100,0)</f>
        <v>0</v>
      </c>
      <c r="W95" s="24">
        <f>IF(W94&gt;0,ROUND(W94+V95-U95,2),0)</f>
        <v>0</v>
      </c>
      <c r="X95" s="24">
        <f>IF(Z94&gt;0,MIN(ROUND(X$6+IF(X$5=$C95,$E$5+$E95,0),2),ROUND(Z94+Y95,2)),0)</f>
        <v>0</v>
      </c>
      <c r="Y95" s="24">
        <f>IF(Z94&gt;0,ROUND(ROUND(Z94*100,0)*ROUND(X$7*10000,0)/12000000,0)/100,0)</f>
        <v>0</v>
      </c>
      <c r="Z95" s="24">
        <f>IF(Z94&gt;0,ROUND(Z94+Y95-X95,2),0)</f>
        <v>0</v>
      </c>
      <c r="AA95" s="24">
        <f>IF(AC94&gt;0,MIN(ROUND(AA$6+IF(AA$5=$C95,$E$5+$E95,0),2),ROUND(AC94+AB95,2)),0)</f>
        <v>0</v>
      </c>
      <c r="AB95" s="24">
        <f>IF(AC94&gt;0,ROUND(ROUND(AC94*100,0)*ROUND(AA$7*10000,0)/12000000,0)/100,0)</f>
        <v>0</v>
      </c>
      <c r="AC95" s="24">
        <f>IF(AC94&gt;0,ROUND(AC94+AB95-AA95,2),0)</f>
        <v>0</v>
      </c>
      <c r="AD95" s="24">
        <f>IF(AF94&gt;0,MIN(ROUND(AD$6+IF(AD$5=$C95,$E$5+$E95,0),2),ROUND(AF94+AE95,2)),0)</f>
        <v>0</v>
      </c>
      <c r="AE95" s="24">
        <f>IF(AF94&gt;0,ROUND(ROUND(AF94*100,0)*ROUND(AD$7*10000,0)/12000000,0)/100,0)</f>
        <v>0</v>
      </c>
      <c r="AF95" s="24">
        <f>IF(AF94&gt;0,ROUND(AF94+AE95-AD95,2),0)</f>
        <v>0</v>
      </c>
      <c r="AG95" s="24">
        <f>IF(AI94&gt;0,MIN(ROUND(AG$6+IF(AG$5=$C95,$E$5+$E95,0),2),ROUND(AI94+AH95,2)),0)</f>
        <v>0</v>
      </c>
      <c r="AH95" s="24">
        <f>IF(AI94&gt;0,ROUND(ROUND(AI94*100,0)*ROUND(AG$7*10000,0)/12000000,0)/100,0)</f>
        <v>0</v>
      </c>
      <c r="AI95" s="24">
        <f>IF(AI94&gt;0,ROUND(AI94+AH95-AG95,2),0)</f>
        <v>0</v>
      </c>
      <c r="AJ95" s="24">
        <f>IF(AL94&gt;0,MIN(ROUND(AJ$6+IF(AJ$5=$C95,$E$5+$E95,0),2),ROUND(AL94+AK95,2)),0)</f>
        <v>0</v>
      </c>
      <c r="AK95" s="24">
        <f>IF(AL94&gt;0,ROUND(ROUND(AL94*100,0)*ROUND(AJ$7*10000,0)/12000000,0)/100,0)</f>
        <v>0</v>
      </c>
      <c r="AL95" s="24">
        <f>IF(AL94&gt;0,ROUND(AL94+AK95-AJ95,2),0)</f>
        <v>0</v>
      </c>
    </row>
    <row r="96" spans="1:38" x14ac:dyDescent="0.25">
      <c r="A96" s="17" t="str">
        <f>IF(F96&gt;0,86,"")</f>
        <v/>
      </c>
      <c r="B96" s="18" t="str">
        <f>IF(F96&gt;0,EDATE($E$6,86),"")</f>
        <v/>
      </c>
      <c r="C96" s="21">
        <f>IF(H95&gt;0,MIN(IF(K95&gt;0,I$5,99),IF(N95&gt;0,L$5,99),IF(Q95&gt;0,O$5,99),IF(T95&gt;0,R$5,99),IF(W95&gt;0,U$5,99),IF(Z95&gt;0,X$5,99),IF(AC95&gt;0,AA$5,99),IF(AF95&gt;0,AD$5,99),IF(AI95&gt;0,AG$5,99),IF(AL95&gt;0,AJ$5,99)),0)</f>
        <v>0</v>
      </c>
      <c r="D96" t="str">
        <f>IF(C96&gt;0,INDEX($I$4:$AL$4,1,MATCH(C96,$I$5:$AL$5,0)),"")</f>
        <v/>
      </c>
      <c r="E96" s="24">
        <f>ROUND(IF(AND(I$8&gt;0,K95=0),I$6,0)+IF(AND(L$8&gt;0,N95=0),L$6,0)+IF(AND(O$8&gt;0,Q95=0),O$6,0)+IF(AND(R$8&gt;0,T95=0),R$6,0)+IF(AND(U$8&gt;0,W95=0),U$6,0)+IF(AND(X$8&gt;0,Z95=0),X$6,0)+IF(AND(AA$8&gt;0,AC95=0),AA$6,0)+IF(AND(AD$8&gt;0,AF95=0),AD$6,0)+IF(AND(AG$8&gt;0,AI95=0),AG$6,0)+IF(AND(AJ$8&gt;0,AL95=0),AJ$6,0),2)</f>
        <v>330</v>
      </c>
      <c r="F96" s="24">
        <f>ROUND(I96+L96+O96+R96+U96+X96+AA96+AD96+AG96+AJ96,2)</f>
        <v>0</v>
      </c>
      <c r="G96" s="24">
        <f>ROUND(J96+M96+P96+S96+V96+Y96+AB96+AE96+AH96+AK96,2)</f>
        <v>0</v>
      </c>
      <c r="H96" s="24">
        <f>ROUND(K96+N96+Q96+T96+W96+Z96+AC96+AF96+AI96+AL96,2)</f>
        <v>0</v>
      </c>
      <c r="I96" s="24">
        <f>IF(K95&gt;0,MIN(ROUND(I$6+IF(I$5=$C96,$E$5+$E96,0),2),ROUND(K95+J96,2)),0)</f>
        <v>0</v>
      </c>
      <c r="J96" s="24">
        <f>IF(K95&gt;0,ROUND(ROUND(K95*100,0)*ROUND(I$7*10000,0)/12000000,0)/100,0)</f>
        <v>0</v>
      </c>
      <c r="K96" s="24">
        <f>IF(K95&gt;0,ROUND(K95+J96-I96,2),0)</f>
        <v>0</v>
      </c>
      <c r="L96" s="24">
        <f>IF(N95&gt;0,MIN(ROUND(L$6+IF(L$5=$C96,$E$5+$E96,0),2),ROUND(N95+M96,2)),0)</f>
        <v>0</v>
      </c>
      <c r="M96" s="24">
        <f>IF(N95&gt;0,ROUND(ROUND(N95*100,0)*ROUND(L$7*10000,0)/12000000,0)/100,0)</f>
        <v>0</v>
      </c>
      <c r="N96" s="24">
        <f>IF(N95&gt;0,ROUND(N95+M96-L96,2),0)</f>
        <v>0</v>
      </c>
      <c r="O96" s="24">
        <f>IF(Q95&gt;0,MIN(ROUND(O$6+IF(O$5=$C96,$E$5+$E96,0),2),ROUND(Q95+P96,2)),0)</f>
        <v>0</v>
      </c>
      <c r="P96" s="24">
        <f>IF(Q95&gt;0,ROUND(ROUND(Q95*100,0)*ROUND(O$7*10000,0)/12000000,0)/100,0)</f>
        <v>0</v>
      </c>
      <c r="Q96" s="24">
        <f>IF(Q95&gt;0,ROUND(Q95+P96-O96,2),0)</f>
        <v>0</v>
      </c>
      <c r="R96" s="24">
        <f>IF(T95&gt;0,MIN(ROUND(R$6+IF(R$5=$C96,$E$5+$E96,0),2),ROUND(T95+S96,2)),0)</f>
        <v>0</v>
      </c>
      <c r="S96" s="24">
        <f>IF(T95&gt;0,ROUND(ROUND(T95*100,0)*ROUND(R$7*10000,0)/12000000,0)/100,0)</f>
        <v>0</v>
      </c>
      <c r="T96" s="24">
        <f>IF(T95&gt;0,ROUND(T95+S96-R96,2),0)</f>
        <v>0</v>
      </c>
      <c r="U96" s="24">
        <f>IF(W95&gt;0,MIN(ROUND(U$6+IF(U$5=$C96,$E$5+$E96,0),2),ROUND(W95+V96,2)),0)</f>
        <v>0</v>
      </c>
      <c r="V96" s="24">
        <f>IF(W95&gt;0,ROUND(ROUND(W95*100,0)*ROUND(U$7*10000,0)/12000000,0)/100,0)</f>
        <v>0</v>
      </c>
      <c r="W96" s="24">
        <f>IF(W95&gt;0,ROUND(W95+V96-U96,2),0)</f>
        <v>0</v>
      </c>
      <c r="X96" s="24">
        <f>IF(Z95&gt;0,MIN(ROUND(X$6+IF(X$5=$C96,$E$5+$E96,0),2),ROUND(Z95+Y96,2)),0)</f>
        <v>0</v>
      </c>
      <c r="Y96" s="24">
        <f>IF(Z95&gt;0,ROUND(ROUND(Z95*100,0)*ROUND(X$7*10000,0)/12000000,0)/100,0)</f>
        <v>0</v>
      </c>
      <c r="Z96" s="24">
        <f>IF(Z95&gt;0,ROUND(Z95+Y96-X96,2),0)</f>
        <v>0</v>
      </c>
      <c r="AA96" s="24">
        <f>IF(AC95&gt;0,MIN(ROUND(AA$6+IF(AA$5=$C96,$E$5+$E96,0),2),ROUND(AC95+AB96,2)),0)</f>
        <v>0</v>
      </c>
      <c r="AB96" s="24">
        <f>IF(AC95&gt;0,ROUND(ROUND(AC95*100,0)*ROUND(AA$7*10000,0)/12000000,0)/100,0)</f>
        <v>0</v>
      </c>
      <c r="AC96" s="24">
        <f>IF(AC95&gt;0,ROUND(AC95+AB96-AA96,2),0)</f>
        <v>0</v>
      </c>
      <c r="AD96" s="24">
        <f>IF(AF95&gt;0,MIN(ROUND(AD$6+IF(AD$5=$C96,$E$5+$E96,0),2),ROUND(AF95+AE96,2)),0)</f>
        <v>0</v>
      </c>
      <c r="AE96" s="24">
        <f>IF(AF95&gt;0,ROUND(ROUND(AF95*100,0)*ROUND(AD$7*10000,0)/12000000,0)/100,0)</f>
        <v>0</v>
      </c>
      <c r="AF96" s="24">
        <f>IF(AF95&gt;0,ROUND(AF95+AE96-AD96,2),0)</f>
        <v>0</v>
      </c>
      <c r="AG96" s="24">
        <f>IF(AI95&gt;0,MIN(ROUND(AG$6+IF(AG$5=$C96,$E$5+$E96,0),2),ROUND(AI95+AH96,2)),0)</f>
        <v>0</v>
      </c>
      <c r="AH96" s="24">
        <f>IF(AI95&gt;0,ROUND(ROUND(AI95*100,0)*ROUND(AG$7*10000,0)/12000000,0)/100,0)</f>
        <v>0</v>
      </c>
      <c r="AI96" s="24">
        <f>IF(AI95&gt;0,ROUND(AI95+AH96-AG96,2),0)</f>
        <v>0</v>
      </c>
      <c r="AJ96" s="24">
        <f>IF(AL95&gt;0,MIN(ROUND(AJ$6+IF(AJ$5=$C96,$E$5+$E96,0),2),ROUND(AL95+AK96,2)),0)</f>
        <v>0</v>
      </c>
      <c r="AK96" s="24">
        <f>IF(AL95&gt;0,ROUND(ROUND(AL95*100,0)*ROUND(AJ$7*10000,0)/12000000,0)/100,0)</f>
        <v>0</v>
      </c>
      <c r="AL96" s="24">
        <f>IF(AL95&gt;0,ROUND(AL95+AK96-AJ96,2),0)</f>
        <v>0</v>
      </c>
    </row>
    <row r="97" spans="1:38" x14ac:dyDescent="0.25">
      <c r="A97" s="17" t="str">
        <f>IF(F97&gt;0,87,"")</f>
        <v/>
      </c>
      <c r="B97" s="18" t="str">
        <f>IF(F97&gt;0,EDATE($E$6,87),"")</f>
        <v/>
      </c>
      <c r="C97" s="21">
        <f>IF(H96&gt;0,MIN(IF(K96&gt;0,I$5,99),IF(N96&gt;0,L$5,99),IF(Q96&gt;0,O$5,99),IF(T96&gt;0,R$5,99),IF(W96&gt;0,U$5,99),IF(Z96&gt;0,X$5,99),IF(AC96&gt;0,AA$5,99),IF(AF96&gt;0,AD$5,99),IF(AI96&gt;0,AG$5,99),IF(AL96&gt;0,AJ$5,99)),0)</f>
        <v>0</v>
      </c>
      <c r="D97" t="str">
        <f>IF(C97&gt;0,INDEX($I$4:$AL$4,1,MATCH(C97,$I$5:$AL$5,0)),"")</f>
        <v/>
      </c>
      <c r="E97" s="24">
        <f>ROUND(IF(AND(I$8&gt;0,K96=0),I$6,0)+IF(AND(L$8&gt;0,N96=0),L$6,0)+IF(AND(O$8&gt;0,Q96=0),O$6,0)+IF(AND(R$8&gt;0,T96=0),R$6,0)+IF(AND(U$8&gt;0,W96=0),U$6,0)+IF(AND(X$8&gt;0,Z96=0),X$6,0)+IF(AND(AA$8&gt;0,AC96=0),AA$6,0)+IF(AND(AD$8&gt;0,AF96=0),AD$6,0)+IF(AND(AG$8&gt;0,AI96=0),AG$6,0)+IF(AND(AJ$8&gt;0,AL96=0),AJ$6,0),2)</f>
        <v>330</v>
      </c>
      <c r="F97" s="24">
        <f>ROUND(I97+L97+O97+R97+U97+X97+AA97+AD97+AG97+AJ97,2)</f>
        <v>0</v>
      </c>
      <c r="G97" s="24">
        <f>ROUND(J97+M97+P97+S97+V97+Y97+AB97+AE97+AH97+AK97,2)</f>
        <v>0</v>
      </c>
      <c r="H97" s="24">
        <f>ROUND(K97+N97+Q97+T97+W97+Z97+AC97+AF97+AI97+AL97,2)</f>
        <v>0</v>
      </c>
      <c r="I97" s="24">
        <f>IF(K96&gt;0,MIN(ROUND(I$6+IF(I$5=$C97,$E$5+$E97,0),2),ROUND(K96+J97,2)),0)</f>
        <v>0</v>
      </c>
      <c r="J97" s="24">
        <f>IF(K96&gt;0,ROUND(ROUND(K96*100,0)*ROUND(I$7*10000,0)/12000000,0)/100,0)</f>
        <v>0</v>
      </c>
      <c r="K97" s="24">
        <f>IF(K96&gt;0,ROUND(K96+J97-I97,2),0)</f>
        <v>0</v>
      </c>
      <c r="L97" s="24">
        <f>IF(N96&gt;0,MIN(ROUND(L$6+IF(L$5=$C97,$E$5+$E97,0),2),ROUND(N96+M97,2)),0)</f>
        <v>0</v>
      </c>
      <c r="M97" s="24">
        <f>IF(N96&gt;0,ROUND(ROUND(N96*100,0)*ROUND(L$7*10000,0)/12000000,0)/100,0)</f>
        <v>0</v>
      </c>
      <c r="N97" s="24">
        <f>IF(N96&gt;0,ROUND(N96+M97-L97,2),0)</f>
        <v>0</v>
      </c>
      <c r="O97" s="24">
        <f>IF(Q96&gt;0,MIN(ROUND(O$6+IF(O$5=$C97,$E$5+$E97,0),2),ROUND(Q96+P97,2)),0)</f>
        <v>0</v>
      </c>
      <c r="P97" s="24">
        <f>IF(Q96&gt;0,ROUND(ROUND(Q96*100,0)*ROUND(O$7*10000,0)/12000000,0)/100,0)</f>
        <v>0</v>
      </c>
      <c r="Q97" s="24">
        <f>IF(Q96&gt;0,ROUND(Q96+P97-O97,2),0)</f>
        <v>0</v>
      </c>
      <c r="R97" s="24">
        <f>IF(T96&gt;0,MIN(ROUND(R$6+IF(R$5=$C97,$E$5+$E97,0),2),ROUND(T96+S97,2)),0)</f>
        <v>0</v>
      </c>
      <c r="S97" s="24">
        <f>IF(T96&gt;0,ROUND(ROUND(T96*100,0)*ROUND(R$7*10000,0)/12000000,0)/100,0)</f>
        <v>0</v>
      </c>
      <c r="T97" s="24">
        <f>IF(T96&gt;0,ROUND(T96+S97-R97,2),0)</f>
        <v>0</v>
      </c>
      <c r="U97" s="24">
        <f>IF(W96&gt;0,MIN(ROUND(U$6+IF(U$5=$C97,$E$5+$E97,0),2),ROUND(W96+V97,2)),0)</f>
        <v>0</v>
      </c>
      <c r="V97" s="24">
        <f>IF(W96&gt;0,ROUND(ROUND(W96*100,0)*ROUND(U$7*10000,0)/12000000,0)/100,0)</f>
        <v>0</v>
      </c>
      <c r="W97" s="24">
        <f>IF(W96&gt;0,ROUND(W96+V97-U97,2),0)</f>
        <v>0</v>
      </c>
      <c r="X97" s="24">
        <f>IF(Z96&gt;0,MIN(ROUND(X$6+IF(X$5=$C97,$E$5+$E97,0),2),ROUND(Z96+Y97,2)),0)</f>
        <v>0</v>
      </c>
      <c r="Y97" s="24">
        <f>IF(Z96&gt;0,ROUND(ROUND(Z96*100,0)*ROUND(X$7*10000,0)/12000000,0)/100,0)</f>
        <v>0</v>
      </c>
      <c r="Z97" s="24">
        <f>IF(Z96&gt;0,ROUND(Z96+Y97-X97,2),0)</f>
        <v>0</v>
      </c>
      <c r="AA97" s="24">
        <f>IF(AC96&gt;0,MIN(ROUND(AA$6+IF(AA$5=$C97,$E$5+$E97,0),2),ROUND(AC96+AB97,2)),0)</f>
        <v>0</v>
      </c>
      <c r="AB97" s="24">
        <f>IF(AC96&gt;0,ROUND(ROUND(AC96*100,0)*ROUND(AA$7*10000,0)/12000000,0)/100,0)</f>
        <v>0</v>
      </c>
      <c r="AC97" s="24">
        <f>IF(AC96&gt;0,ROUND(AC96+AB97-AA97,2),0)</f>
        <v>0</v>
      </c>
      <c r="AD97" s="24">
        <f>IF(AF96&gt;0,MIN(ROUND(AD$6+IF(AD$5=$C97,$E$5+$E97,0),2),ROUND(AF96+AE97,2)),0)</f>
        <v>0</v>
      </c>
      <c r="AE97" s="24">
        <f>IF(AF96&gt;0,ROUND(ROUND(AF96*100,0)*ROUND(AD$7*10000,0)/12000000,0)/100,0)</f>
        <v>0</v>
      </c>
      <c r="AF97" s="24">
        <f>IF(AF96&gt;0,ROUND(AF96+AE97-AD97,2),0)</f>
        <v>0</v>
      </c>
      <c r="AG97" s="24">
        <f>IF(AI96&gt;0,MIN(ROUND(AG$6+IF(AG$5=$C97,$E$5+$E97,0),2),ROUND(AI96+AH97,2)),0)</f>
        <v>0</v>
      </c>
      <c r="AH97" s="24">
        <f>IF(AI96&gt;0,ROUND(ROUND(AI96*100,0)*ROUND(AG$7*10000,0)/12000000,0)/100,0)</f>
        <v>0</v>
      </c>
      <c r="AI97" s="24">
        <f>IF(AI96&gt;0,ROUND(AI96+AH97-AG97,2),0)</f>
        <v>0</v>
      </c>
      <c r="AJ97" s="24">
        <f>IF(AL96&gt;0,MIN(ROUND(AJ$6+IF(AJ$5=$C97,$E$5+$E97,0),2),ROUND(AL96+AK97,2)),0)</f>
        <v>0</v>
      </c>
      <c r="AK97" s="24">
        <f>IF(AL96&gt;0,ROUND(ROUND(AL96*100,0)*ROUND(AJ$7*10000,0)/12000000,0)/100,0)</f>
        <v>0</v>
      </c>
      <c r="AL97" s="24">
        <f>IF(AL96&gt;0,ROUND(AL96+AK97-AJ97,2),0)</f>
        <v>0</v>
      </c>
    </row>
    <row r="98" spans="1:38" x14ac:dyDescent="0.25">
      <c r="A98" s="17" t="str">
        <f>IF(F98&gt;0,88,"")</f>
        <v/>
      </c>
      <c r="B98" s="18" t="str">
        <f>IF(F98&gt;0,EDATE($E$6,88),"")</f>
        <v/>
      </c>
      <c r="C98" s="21">
        <f>IF(H97&gt;0,MIN(IF(K97&gt;0,I$5,99),IF(N97&gt;0,L$5,99),IF(Q97&gt;0,O$5,99),IF(T97&gt;0,R$5,99),IF(W97&gt;0,U$5,99),IF(Z97&gt;0,X$5,99),IF(AC97&gt;0,AA$5,99),IF(AF97&gt;0,AD$5,99),IF(AI97&gt;0,AG$5,99),IF(AL97&gt;0,AJ$5,99)),0)</f>
        <v>0</v>
      </c>
      <c r="D98" t="str">
        <f>IF(C98&gt;0,INDEX($I$4:$AL$4,1,MATCH(C98,$I$5:$AL$5,0)),"")</f>
        <v/>
      </c>
      <c r="E98" s="24">
        <f>ROUND(IF(AND(I$8&gt;0,K97=0),I$6,0)+IF(AND(L$8&gt;0,N97=0),L$6,0)+IF(AND(O$8&gt;0,Q97=0),O$6,0)+IF(AND(R$8&gt;0,T97=0),R$6,0)+IF(AND(U$8&gt;0,W97=0),U$6,0)+IF(AND(X$8&gt;0,Z97=0),X$6,0)+IF(AND(AA$8&gt;0,AC97=0),AA$6,0)+IF(AND(AD$8&gt;0,AF97=0),AD$6,0)+IF(AND(AG$8&gt;0,AI97=0),AG$6,0)+IF(AND(AJ$8&gt;0,AL97=0),AJ$6,0),2)</f>
        <v>330</v>
      </c>
      <c r="F98" s="24">
        <f>ROUND(I98+L98+O98+R98+U98+X98+AA98+AD98+AG98+AJ98,2)</f>
        <v>0</v>
      </c>
      <c r="G98" s="24">
        <f>ROUND(J98+M98+P98+S98+V98+Y98+AB98+AE98+AH98+AK98,2)</f>
        <v>0</v>
      </c>
      <c r="H98" s="24">
        <f>ROUND(K98+N98+Q98+T98+W98+Z98+AC98+AF98+AI98+AL98,2)</f>
        <v>0</v>
      </c>
      <c r="I98" s="24">
        <f>IF(K97&gt;0,MIN(ROUND(I$6+IF(I$5=$C98,$E$5+$E98,0),2),ROUND(K97+J98,2)),0)</f>
        <v>0</v>
      </c>
      <c r="J98" s="24">
        <f>IF(K97&gt;0,ROUND(ROUND(K97*100,0)*ROUND(I$7*10000,0)/12000000,0)/100,0)</f>
        <v>0</v>
      </c>
      <c r="K98" s="24">
        <f>IF(K97&gt;0,ROUND(K97+J98-I98,2),0)</f>
        <v>0</v>
      </c>
      <c r="L98" s="24">
        <f>IF(N97&gt;0,MIN(ROUND(L$6+IF(L$5=$C98,$E$5+$E98,0),2),ROUND(N97+M98,2)),0)</f>
        <v>0</v>
      </c>
      <c r="M98" s="24">
        <f>IF(N97&gt;0,ROUND(ROUND(N97*100,0)*ROUND(L$7*10000,0)/12000000,0)/100,0)</f>
        <v>0</v>
      </c>
      <c r="N98" s="24">
        <f>IF(N97&gt;0,ROUND(N97+M98-L98,2),0)</f>
        <v>0</v>
      </c>
      <c r="O98" s="24">
        <f>IF(Q97&gt;0,MIN(ROUND(O$6+IF(O$5=$C98,$E$5+$E98,0),2),ROUND(Q97+P98,2)),0)</f>
        <v>0</v>
      </c>
      <c r="P98" s="24">
        <f>IF(Q97&gt;0,ROUND(ROUND(Q97*100,0)*ROUND(O$7*10000,0)/12000000,0)/100,0)</f>
        <v>0</v>
      </c>
      <c r="Q98" s="24">
        <f>IF(Q97&gt;0,ROUND(Q97+P98-O98,2),0)</f>
        <v>0</v>
      </c>
      <c r="R98" s="24">
        <f>IF(T97&gt;0,MIN(ROUND(R$6+IF(R$5=$C98,$E$5+$E98,0),2),ROUND(T97+S98,2)),0)</f>
        <v>0</v>
      </c>
      <c r="S98" s="24">
        <f>IF(T97&gt;0,ROUND(ROUND(T97*100,0)*ROUND(R$7*10000,0)/12000000,0)/100,0)</f>
        <v>0</v>
      </c>
      <c r="T98" s="24">
        <f>IF(T97&gt;0,ROUND(T97+S98-R98,2),0)</f>
        <v>0</v>
      </c>
      <c r="U98" s="24">
        <f>IF(W97&gt;0,MIN(ROUND(U$6+IF(U$5=$C98,$E$5+$E98,0),2),ROUND(W97+V98,2)),0)</f>
        <v>0</v>
      </c>
      <c r="V98" s="24">
        <f>IF(W97&gt;0,ROUND(ROUND(W97*100,0)*ROUND(U$7*10000,0)/12000000,0)/100,0)</f>
        <v>0</v>
      </c>
      <c r="W98" s="24">
        <f>IF(W97&gt;0,ROUND(W97+V98-U98,2),0)</f>
        <v>0</v>
      </c>
      <c r="X98" s="24">
        <f>IF(Z97&gt;0,MIN(ROUND(X$6+IF(X$5=$C98,$E$5+$E98,0),2),ROUND(Z97+Y98,2)),0)</f>
        <v>0</v>
      </c>
      <c r="Y98" s="24">
        <f>IF(Z97&gt;0,ROUND(ROUND(Z97*100,0)*ROUND(X$7*10000,0)/12000000,0)/100,0)</f>
        <v>0</v>
      </c>
      <c r="Z98" s="24">
        <f>IF(Z97&gt;0,ROUND(Z97+Y98-X98,2),0)</f>
        <v>0</v>
      </c>
      <c r="AA98" s="24">
        <f>IF(AC97&gt;0,MIN(ROUND(AA$6+IF(AA$5=$C98,$E$5+$E98,0),2),ROUND(AC97+AB98,2)),0)</f>
        <v>0</v>
      </c>
      <c r="AB98" s="24">
        <f>IF(AC97&gt;0,ROUND(ROUND(AC97*100,0)*ROUND(AA$7*10000,0)/12000000,0)/100,0)</f>
        <v>0</v>
      </c>
      <c r="AC98" s="24">
        <f>IF(AC97&gt;0,ROUND(AC97+AB98-AA98,2),0)</f>
        <v>0</v>
      </c>
      <c r="AD98" s="24">
        <f>IF(AF97&gt;0,MIN(ROUND(AD$6+IF(AD$5=$C98,$E$5+$E98,0),2),ROUND(AF97+AE98,2)),0)</f>
        <v>0</v>
      </c>
      <c r="AE98" s="24">
        <f>IF(AF97&gt;0,ROUND(ROUND(AF97*100,0)*ROUND(AD$7*10000,0)/12000000,0)/100,0)</f>
        <v>0</v>
      </c>
      <c r="AF98" s="24">
        <f>IF(AF97&gt;0,ROUND(AF97+AE98-AD98,2),0)</f>
        <v>0</v>
      </c>
      <c r="AG98" s="24">
        <f>IF(AI97&gt;0,MIN(ROUND(AG$6+IF(AG$5=$C98,$E$5+$E98,0),2),ROUND(AI97+AH98,2)),0)</f>
        <v>0</v>
      </c>
      <c r="AH98" s="24">
        <f>IF(AI97&gt;0,ROUND(ROUND(AI97*100,0)*ROUND(AG$7*10000,0)/12000000,0)/100,0)</f>
        <v>0</v>
      </c>
      <c r="AI98" s="24">
        <f>IF(AI97&gt;0,ROUND(AI97+AH98-AG98,2),0)</f>
        <v>0</v>
      </c>
      <c r="AJ98" s="24">
        <f>IF(AL97&gt;0,MIN(ROUND(AJ$6+IF(AJ$5=$C98,$E$5+$E98,0),2),ROUND(AL97+AK98,2)),0)</f>
        <v>0</v>
      </c>
      <c r="AK98" s="24">
        <f>IF(AL97&gt;0,ROUND(ROUND(AL97*100,0)*ROUND(AJ$7*10000,0)/12000000,0)/100,0)</f>
        <v>0</v>
      </c>
      <c r="AL98" s="24">
        <f>IF(AL97&gt;0,ROUND(AL97+AK98-AJ98,2),0)</f>
        <v>0</v>
      </c>
    </row>
    <row r="99" spans="1:38" x14ac:dyDescent="0.25">
      <c r="A99" s="17" t="str">
        <f>IF(F99&gt;0,89,"")</f>
        <v/>
      </c>
      <c r="B99" s="18" t="str">
        <f>IF(F99&gt;0,EDATE($E$6,89),"")</f>
        <v/>
      </c>
      <c r="C99" s="21">
        <f>IF(H98&gt;0,MIN(IF(K98&gt;0,I$5,99),IF(N98&gt;0,L$5,99),IF(Q98&gt;0,O$5,99),IF(T98&gt;0,R$5,99),IF(W98&gt;0,U$5,99),IF(Z98&gt;0,X$5,99),IF(AC98&gt;0,AA$5,99),IF(AF98&gt;0,AD$5,99),IF(AI98&gt;0,AG$5,99),IF(AL98&gt;0,AJ$5,99)),0)</f>
        <v>0</v>
      </c>
      <c r="D99" t="str">
        <f>IF(C99&gt;0,INDEX($I$4:$AL$4,1,MATCH(C99,$I$5:$AL$5,0)),"")</f>
        <v/>
      </c>
      <c r="E99" s="24">
        <f>ROUND(IF(AND(I$8&gt;0,K98=0),I$6,0)+IF(AND(L$8&gt;0,N98=0),L$6,0)+IF(AND(O$8&gt;0,Q98=0),O$6,0)+IF(AND(R$8&gt;0,T98=0),R$6,0)+IF(AND(U$8&gt;0,W98=0),U$6,0)+IF(AND(X$8&gt;0,Z98=0),X$6,0)+IF(AND(AA$8&gt;0,AC98=0),AA$6,0)+IF(AND(AD$8&gt;0,AF98=0),AD$6,0)+IF(AND(AG$8&gt;0,AI98=0),AG$6,0)+IF(AND(AJ$8&gt;0,AL98=0),AJ$6,0),2)</f>
        <v>330</v>
      </c>
      <c r="F99" s="24">
        <f>ROUND(I99+L99+O99+R99+U99+X99+AA99+AD99+AG99+AJ99,2)</f>
        <v>0</v>
      </c>
      <c r="G99" s="24">
        <f>ROUND(J99+M99+P99+S99+V99+Y99+AB99+AE99+AH99+AK99,2)</f>
        <v>0</v>
      </c>
      <c r="H99" s="24">
        <f>ROUND(K99+N99+Q99+T99+W99+Z99+AC99+AF99+AI99+AL99,2)</f>
        <v>0</v>
      </c>
      <c r="I99" s="24">
        <f>IF(K98&gt;0,MIN(ROUND(I$6+IF(I$5=$C99,$E$5+$E99,0),2),ROUND(K98+J99,2)),0)</f>
        <v>0</v>
      </c>
      <c r="J99" s="24">
        <f>IF(K98&gt;0,ROUND(ROUND(K98*100,0)*ROUND(I$7*10000,0)/12000000,0)/100,0)</f>
        <v>0</v>
      </c>
      <c r="K99" s="24">
        <f>IF(K98&gt;0,ROUND(K98+J99-I99,2),0)</f>
        <v>0</v>
      </c>
      <c r="L99" s="24">
        <f>IF(N98&gt;0,MIN(ROUND(L$6+IF(L$5=$C99,$E$5+$E99,0),2),ROUND(N98+M99,2)),0)</f>
        <v>0</v>
      </c>
      <c r="M99" s="24">
        <f>IF(N98&gt;0,ROUND(ROUND(N98*100,0)*ROUND(L$7*10000,0)/12000000,0)/100,0)</f>
        <v>0</v>
      </c>
      <c r="N99" s="24">
        <f>IF(N98&gt;0,ROUND(N98+M99-L99,2),0)</f>
        <v>0</v>
      </c>
      <c r="O99" s="24">
        <f>IF(Q98&gt;0,MIN(ROUND(O$6+IF(O$5=$C99,$E$5+$E99,0),2),ROUND(Q98+P99,2)),0)</f>
        <v>0</v>
      </c>
      <c r="P99" s="24">
        <f>IF(Q98&gt;0,ROUND(ROUND(Q98*100,0)*ROUND(O$7*10000,0)/12000000,0)/100,0)</f>
        <v>0</v>
      </c>
      <c r="Q99" s="24">
        <f>IF(Q98&gt;0,ROUND(Q98+P99-O99,2),0)</f>
        <v>0</v>
      </c>
      <c r="R99" s="24">
        <f>IF(T98&gt;0,MIN(ROUND(R$6+IF(R$5=$C99,$E$5+$E99,0),2),ROUND(T98+S99,2)),0)</f>
        <v>0</v>
      </c>
      <c r="S99" s="24">
        <f>IF(T98&gt;0,ROUND(ROUND(T98*100,0)*ROUND(R$7*10000,0)/12000000,0)/100,0)</f>
        <v>0</v>
      </c>
      <c r="T99" s="24">
        <f>IF(T98&gt;0,ROUND(T98+S99-R99,2),0)</f>
        <v>0</v>
      </c>
      <c r="U99" s="24">
        <f>IF(W98&gt;0,MIN(ROUND(U$6+IF(U$5=$C99,$E$5+$E99,0),2),ROUND(W98+V99,2)),0)</f>
        <v>0</v>
      </c>
      <c r="V99" s="24">
        <f>IF(W98&gt;0,ROUND(ROUND(W98*100,0)*ROUND(U$7*10000,0)/12000000,0)/100,0)</f>
        <v>0</v>
      </c>
      <c r="W99" s="24">
        <f>IF(W98&gt;0,ROUND(W98+V99-U99,2),0)</f>
        <v>0</v>
      </c>
      <c r="X99" s="24">
        <f>IF(Z98&gt;0,MIN(ROUND(X$6+IF(X$5=$C99,$E$5+$E99,0),2),ROUND(Z98+Y99,2)),0)</f>
        <v>0</v>
      </c>
      <c r="Y99" s="24">
        <f>IF(Z98&gt;0,ROUND(ROUND(Z98*100,0)*ROUND(X$7*10000,0)/12000000,0)/100,0)</f>
        <v>0</v>
      </c>
      <c r="Z99" s="24">
        <f>IF(Z98&gt;0,ROUND(Z98+Y99-X99,2),0)</f>
        <v>0</v>
      </c>
      <c r="AA99" s="24">
        <f>IF(AC98&gt;0,MIN(ROUND(AA$6+IF(AA$5=$C99,$E$5+$E99,0),2),ROUND(AC98+AB99,2)),0)</f>
        <v>0</v>
      </c>
      <c r="AB99" s="24">
        <f>IF(AC98&gt;0,ROUND(ROUND(AC98*100,0)*ROUND(AA$7*10000,0)/12000000,0)/100,0)</f>
        <v>0</v>
      </c>
      <c r="AC99" s="24">
        <f>IF(AC98&gt;0,ROUND(AC98+AB99-AA99,2),0)</f>
        <v>0</v>
      </c>
      <c r="AD99" s="24">
        <f>IF(AF98&gt;0,MIN(ROUND(AD$6+IF(AD$5=$C99,$E$5+$E99,0),2),ROUND(AF98+AE99,2)),0)</f>
        <v>0</v>
      </c>
      <c r="AE99" s="24">
        <f>IF(AF98&gt;0,ROUND(ROUND(AF98*100,0)*ROUND(AD$7*10000,0)/12000000,0)/100,0)</f>
        <v>0</v>
      </c>
      <c r="AF99" s="24">
        <f>IF(AF98&gt;0,ROUND(AF98+AE99-AD99,2),0)</f>
        <v>0</v>
      </c>
      <c r="AG99" s="24">
        <f>IF(AI98&gt;0,MIN(ROUND(AG$6+IF(AG$5=$C99,$E$5+$E99,0),2),ROUND(AI98+AH99,2)),0)</f>
        <v>0</v>
      </c>
      <c r="AH99" s="24">
        <f>IF(AI98&gt;0,ROUND(ROUND(AI98*100,0)*ROUND(AG$7*10000,0)/12000000,0)/100,0)</f>
        <v>0</v>
      </c>
      <c r="AI99" s="24">
        <f>IF(AI98&gt;0,ROUND(AI98+AH99-AG99,2),0)</f>
        <v>0</v>
      </c>
      <c r="AJ99" s="24">
        <f>IF(AL98&gt;0,MIN(ROUND(AJ$6+IF(AJ$5=$C99,$E$5+$E99,0),2),ROUND(AL98+AK99,2)),0)</f>
        <v>0</v>
      </c>
      <c r="AK99" s="24">
        <f>IF(AL98&gt;0,ROUND(ROUND(AL98*100,0)*ROUND(AJ$7*10000,0)/12000000,0)/100,0)</f>
        <v>0</v>
      </c>
      <c r="AL99" s="24">
        <f>IF(AL98&gt;0,ROUND(AL98+AK99-AJ99,2),0)</f>
        <v>0</v>
      </c>
    </row>
    <row r="100" spans="1:38" x14ac:dyDescent="0.25">
      <c r="A100" s="17" t="str">
        <f>IF(F100&gt;0,90,"")</f>
        <v/>
      </c>
      <c r="B100" s="18" t="str">
        <f>IF(F100&gt;0,EDATE($E$6,90),"")</f>
        <v/>
      </c>
      <c r="C100" s="21">
        <f>IF(H99&gt;0,MIN(IF(K99&gt;0,I$5,99),IF(N99&gt;0,L$5,99),IF(Q99&gt;0,O$5,99),IF(T99&gt;0,R$5,99),IF(W99&gt;0,U$5,99),IF(Z99&gt;0,X$5,99),IF(AC99&gt;0,AA$5,99),IF(AF99&gt;0,AD$5,99),IF(AI99&gt;0,AG$5,99),IF(AL99&gt;0,AJ$5,99)),0)</f>
        <v>0</v>
      </c>
      <c r="D100" t="str">
        <f>IF(C100&gt;0,INDEX($I$4:$AL$4,1,MATCH(C100,$I$5:$AL$5,0)),"")</f>
        <v/>
      </c>
      <c r="E100" s="24">
        <f>ROUND(IF(AND(I$8&gt;0,K99=0),I$6,0)+IF(AND(L$8&gt;0,N99=0),L$6,0)+IF(AND(O$8&gt;0,Q99=0),O$6,0)+IF(AND(R$8&gt;0,T99=0),R$6,0)+IF(AND(U$8&gt;0,W99=0),U$6,0)+IF(AND(X$8&gt;0,Z99=0),X$6,0)+IF(AND(AA$8&gt;0,AC99=0),AA$6,0)+IF(AND(AD$8&gt;0,AF99=0),AD$6,0)+IF(AND(AG$8&gt;0,AI99=0),AG$6,0)+IF(AND(AJ$8&gt;0,AL99=0),AJ$6,0),2)</f>
        <v>330</v>
      </c>
      <c r="F100" s="24">
        <f>ROUND(I100+L100+O100+R100+U100+X100+AA100+AD100+AG100+AJ100,2)</f>
        <v>0</v>
      </c>
      <c r="G100" s="24">
        <f>ROUND(J100+M100+P100+S100+V100+Y100+AB100+AE100+AH100+AK100,2)</f>
        <v>0</v>
      </c>
      <c r="H100" s="24">
        <f>ROUND(K100+N100+Q100+T100+W100+Z100+AC100+AF100+AI100+AL100,2)</f>
        <v>0</v>
      </c>
      <c r="I100" s="24">
        <f>IF(K99&gt;0,MIN(ROUND(I$6+IF(I$5=$C100,$E$5+$E100,0),2),ROUND(K99+J100,2)),0)</f>
        <v>0</v>
      </c>
      <c r="J100" s="24">
        <f>IF(K99&gt;0,ROUND(ROUND(K99*100,0)*ROUND(I$7*10000,0)/12000000,0)/100,0)</f>
        <v>0</v>
      </c>
      <c r="K100" s="24">
        <f>IF(K99&gt;0,ROUND(K99+J100-I100,2),0)</f>
        <v>0</v>
      </c>
      <c r="L100" s="24">
        <f>IF(N99&gt;0,MIN(ROUND(L$6+IF(L$5=$C100,$E$5+$E100,0),2),ROUND(N99+M100,2)),0)</f>
        <v>0</v>
      </c>
      <c r="M100" s="24">
        <f>IF(N99&gt;0,ROUND(ROUND(N99*100,0)*ROUND(L$7*10000,0)/12000000,0)/100,0)</f>
        <v>0</v>
      </c>
      <c r="N100" s="24">
        <f>IF(N99&gt;0,ROUND(N99+M100-L100,2),0)</f>
        <v>0</v>
      </c>
      <c r="O100" s="24">
        <f>IF(Q99&gt;0,MIN(ROUND(O$6+IF(O$5=$C100,$E$5+$E100,0),2),ROUND(Q99+P100,2)),0)</f>
        <v>0</v>
      </c>
      <c r="P100" s="24">
        <f>IF(Q99&gt;0,ROUND(ROUND(Q99*100,0)*ROUND(O$7*10000,0)/12000000,0)/100,0)</f>
        <v>0</v>
      </c>
      <c r="Q100" s="24">
        <f>IF(Q99&gt;0,ROUND(Q99+P100-O100,2),0)</f>
        <v>0</v>
      </c>
      <c r="R100" s="24">
        <f>IF(T99&gt;0,MIN(ROUND(R$6+IF(R$5=$C100,$E$5+$E100,0),2),ROUND(T99+S100,2)),0)</f>
        <v>0</v>
      </c>
      <c r="S100" s="24">
        <f>IF(T99&gt;0,ROUND(ROUND(T99*100,0)*ROUND(R$7*10000,0)/12000000,0)/100,0)</f>
        <v>0</v>
      </c>
      <c r="T100" s="24">
        <f>IF(T99&gt;0,ROUND(T99+S100-R100,2),0)</f>
        <v>0</v>
      </c>
      <c r="U100" s="24">
        <f>IF(W99&gt;0,MIN(ROUND(U$6+IF(U$5=$C100,$E$5+$E100,0),2),ROUND(W99+V100,2)),0)</f>
        <v>0</v>
      </c>
      <c r="V100" s="24">
        <f>IF(W99&gt;0,ROUND(ROUND(W99*100,0)*ROUND(U$7*10000,0)/12000000,0)/100,0)</f>
        <v>0</v>
      </c>
      <c r="W100" s="24">
        <f>IF(W99&gt;0,ROUND(W99+V100-U100,2),0)</f>
        <v>0</v>
      </c>
      <c r="X100" s="24">
        <f>IF(Z99&gt;0,MIN(ROUND(X$6+IF(X$5=$C100,$E$5+$E100,0),2),ROUND(Z99+Y100,2)),0)</f>
        <v>0</v>
      </c>
      <c r="Y100" s="24">
        <f>IF(Z99&gt;0,ROUND(ROUND(Z99*100,0)*ROUND(X$7*10000,0)/12000000,0)/100,0)</f>
        <v>0</v>
      </c>
      <c r="Z100" s="24">
        <f>IF(Z99&gt;0,ROUND(Z99+Y100-X100,2),0)</f>
        <v>0</v>
      </c>
      <c r="AA100" s="24">
        <f>IF(AC99&gt;0,MIN(ROUND(AA$6+IF(AA$5=$C100,$E$5+$E100,0),2),ROUND(AC99+AB100,2)),0)</f>
        <v>0</v>
      </c>
      <c r="AB100" s="24">
        <f>IF(AC99&gt;0,ROUND(ROUND(AC99*100,0)*ROUND(AA$7*10000,0)/12000000,0)/100,0)</f>
        <v>0</v>
      </c>
      <c r="AC100" s="24">
        <f>IF(AC99&gt;0,ROUND(AC99+AB100-AA100,2),0)</f>
        <v>0</v>
      </c>
      <c r="AD100" s="24">
        <f>IF(AF99&gt;0,MIN(ROUND(AD$6+IF(AD$5=$C100,$E$5+$E100,0),2),ROUND(AF99+AE100,2)),0)</f>
        <v>0</v>
      </c>
      <c r="AE100" s="24">
        <f>IF(AF99&gt;0,ROUND(ROUND(AF99*100,0)*ROUND(AD$7*10000,0)/12000000,0)/100,0)</f>
        <v>0</v>
      </c>
      <c r="AF100" s="24">
        <f>IF(AF99&gt;0,ROUND(AF99+AE100-AD100,2),0)</f>
        <v>0</v>
      </c>
      <c r="AG100" s="24">
        <f>IF(AI99&gt;0,MIN(ROUND(AG$6+IF(AG$5=$C100,$E$5+$E100,0),2),ROUND(AI99+AH100,2)),0)</f>
        <v>0</v>
      </c>
      <c r="AH100" s="24">
        <f>IF(AI99&gt;0,ROUND(ROUND(AI99*100,0)*ROUND(AG$7*10000,0)/12000000,0)/100,0)</f>
        <v>0</v>
      </c>
      <c r="AI100" s="24">
        <f>IF(AI99&gt;0,ROUND(AI99+AH100-AG100,2),0)</f>
        <v>0</v>
      </c>
      <c r="AJ100" s="24">
        <f>IF(AL99&gt;0,MIN(ROUND(AJ$6+IF(AJ$5=$C100,$E$5+$E100,0),2),ROUND(AL99+AK100,2)),0)</f>
        <v>0</v>
      </c>
      <c r="AK100" s="24">
        <f>IF(AL99&gt;0,ROUND(ROUND(AL99*100,0)*ROUND(AJ$7*10000,0)/12000000,0)/100,0)</f>
        <v>0</v>
      </c>
      <c r="AL100" s="24">
        <f>IF(AL99&gt;0,ROUND(AL99+AK100-AJ100,2),0)</f>
        <v>0</v>
      </c>
    </row>
    <row r="101" spans="1:38" x14ac:dyDescent="0.25">
      <c r="A101" s="17" t="str">
        <f>IF(F101&gt;0,91,"")</f>
        <v/>
      </c>
      <c r="B101" s="18" t="str">
        <f>IF(F101&gt;0,EDATE($E$6,91),"")</f>
        <v/>
      </c>
      <c r="C101" s="21">
        <f>IF(H100&gt;0,MIN(IF(K100&gt;0,I$5,99),IF(N100&gt;0,L$5,99),IF(Q100&gt;0,O$5,99),IF(T100&gt;0,R$5,99),IF(W100&gt;0,U$5,99),IF(Z100&gt;0,X$5,99),IF(AC100&gt;0,AA$5,99),IF(AF100&gt;0,AD$5,99),IF(AI100&gt;0,AG$5,99),IF(AL100&gt;0,AJ$5,99)),0)</f>
        <v>0</v>
      </c>
      <c r="D101" t="str">
        <f>IF(C101&gt;0,INDEX($I$4:$AL$4,1,MATCH(C101,$I$5:$AL$5,0)),"")</f>
        <v/>
      </c>
      <c r="E101" s="24">
        <f>ROUND(IF(AND(I$8&gt;0,K100=0),I$6,0)+IF(AND(L$8&gt;0,N100=0),L$6,0)+IF(AND(O$8&gt;0,Q100=0),O$6,0)+IF(AND(R$8&gt;0,T100=0),R$6,0)+IF(AND(U$8&gt;0,W100=0),U$6,0)+IF(AND(X$8&gt;0,Z100=0),X$6,0)+IF(AND(AA$8&gt;0,AC100=0),AA$6,0)+IF(AND(AD$8&gt;0,AF100=0),AD$6,0)+IF(AND(AG$8&gt;0,AI100=0),AG$6,0)+IF(AND(AJ$8&gt;0,AL100=0),AJ$6,0),2)</f>
        <v>330</v>
      </c>
      <c r="F101" s="24">
        <f>ROUND(I101+L101+O101+R101+U101+X101+AA101+AD101+AG101+AJ101,2)</f>
        <v>0</v>
      </c>
      <c r="G101" s="24">
        <f>ROUND(J101+M101+P101+S101+V101+Y101+AB101+AE101+AH101+AK101,2)</f>
        <v>0</v>
      </c>
      <c r="H101" s="24">
        <f>ROUND(K101+N101+Q101+T101+W101+Z101+AC101+AF101+AI101+AL101,2)</f>
        <v>0</v>
      </c>
      <c r="I101" s="24">
        <f>IF(K100&gt;0,MIN(ROUND(I$6+IF(I$5=$C101,$E$5+$E101,0),2),ROUND(K100+J101,2)),0)</f>
        <v>0</v>
      </c>
      <c r="J101" s="24">
        <f>IF(K100&gt;0,ROUND(ROUND(K100*100,0)*ROUND(I$7*10000,0)/12000000,0)/100,0)</f>
        <v>0</v>
      </c>
      <c r="K101" s="24">
        <f>IF(K100&gt;0,ROUND(K100+J101-I101,2),0)</f>
        <v>0</v>
      </c>
      <c r="L101" s="24">
        <f>IF(N100&gt;0,MIN(ROUND(L$6+IF(L$5=$C101,$E$5+$E101,0),2),ROUND(N100+M101,2)),0)</f>
        <v>0</v>
      </c>
      <c r="M101" s="24">
        <f>IF(N100&gt;0,ROUND(ROUND(N100*100,0)*ROUND(L$7*10000,0)/12000000,0)/100,0)</f>
        <v>0</v>
      </c>
      <c r="N101" s="24">
        <f>IF(N100&gt;0,ROUND(N100+M101-L101,2),0)</f>
        <v>0</v>
      </c>
      <c r="O101" s="24">
        <f>IF(Q100&gt;0,MIN(ROUND(O$6+IF(O$5=$C101,$E$5+$E101,0),2),ROUND(Q100+P101,2)),0)</f>
        <v>0</v>
      </c>
      <c r="P101" s="24">
        <f>IF(Q100&gt;0,ROUND(ROUND(Q100*100,0)*ROUND(O$7*10000,0)/12000000,0)/100,0)</f>
        <v>0</v>
      </c>
      <c r="Q101" s="24">
        <f>IF(Q100&gt;0,ROUND(Q100+P101-O101,2),0)</f>
        <v>0</v>
      </c>
      <c r="R101" s="24">
        <f>IF(T100&gt;0,MIN(ROUND(R$6+IF(R$5=$C101,$E$5+$E101,0),2),ROUND(T100+S101,2)),0)</f>
        <v>0</v>
      </c>
      <c r="S101" s="24">
        <f>IF(T100&gt;0,ROUND(ROUND(T100*100,0)*ROUND(R$7*10000,0)/12000000,0)/100,0)</f>
        <v>0</v>
      </c>
      <c r="T101" s="24">
        <f>IF(T100&gt;0,ROUND(T100+S101-R101,2),0)</f>
        <v>0</v>
      </c>
      <c r="U101" s="24">
        <f>IF(W100&gt;0,MIN(ROUND(U$6+IF(U$5=$C101,$E$5+$E101,0),2),ROUND(W100+V101,2)),0)</f>
        <v>0</v>
      </c>
      <c r="V101" s="24">
        <f>IF(W100&gt;0,ROUND(ROUND(W100*100,0)*ROUND(U$7*10000,0)/12000000,0)/100,0)</f>
        <v>0</v>
      </c>
      <c r="W101" s="24">
        <f>IF(W100&gt;0,ROUND(W100+V101-U101,2),0)</f>
        <v>0</v>
      </c>
      <c r="X101" s="24">
        <f>IF(Z100&gt;0,MIN(ROUND(X$6+IF(X$5=$C101,$E$5+$E101,0),2),ROUND(Z100+Y101,2)),0)</f>
        <v>0</v>
      </c>
      <c r="Y101" s="24">
        <f>IF(Z100&gt;0,ROUND(ROUND(Z100*100,0)*ROUND(X$7*10000,0)/12000000,0)/100,0)</f>
        <v>0</v>
      </c>
      <c r="Z101" s="24">
        <f>IF(Z100&gt;0,ROUND(Z100+Y101-X101,2),0)</f>
        <v>0</v>
      </c>
      <c r="AA101" s="24">
        <f>IF(AC100&gt;0,MIN(ROUND(AA$6+IF(AA$5=$C101,$E$5+$E101,0),2),ROUND(AC100+AB101,2)),0)</f>
        <v>0</v>
      </c>
      <c r="AB101" s="24">
        <f>IF(AC100&gt;0,ROUND(ROUND(AC100*100,0)*ROUND(AA$7*10000,0)/12000000,0)/100,0)</f>
        <v>0</v>
      </c>
      <c r="AC101" s="24">
        <f>IF(AC100&gt;0,ROUND(AC100+AB101-AA101,2),0)</f>
        <v>0</v>
      </c>
      <c r="AD101" s="24">
        <f>IF(AF100&gt;0,MIN(ROUND(AD$6+IF(AD$5=$C101,$E$5+$E101,0),2),ROUND(AF100+AE101,2)),0)</f>
        <v>0</v>
      </c>
      <c r="AE101" s="24">
        <f>IF(AF100&gt;0,ROUND(ROUND(AF100*100,0)*ROUND(AD$7*10000,0)/12000000,0)/100,0)</f>
        <v>0</v>
      </c>
      <c r="AF101" s="24">
        <f>IF(AF100&gt;0,ROUND(AF100+AE101-AD101,2),0)</f>
        <v>0</v>
      </c>
      <c r="AG101" s="24">
        <f>IF(AI100&gt;0,MIN(ROUND(AG$6+IF(AG$5=$C101,$E$5+$E101,0),2),ROUND(AI100+AH101,2)),0)</f>
        <v>0</v>
      </c>
      <c r="AH101" s="24">
        <f>IF(AI100&gt;0,ROUND(ROUND(AI100*100,0)*ROUND(AG$7*10000,0)/12000000,0)/100,0)</f>
        <v>0</v>
      </c>
      <c r="AI101" s="24">
        <f>IF(AI100&gt;0,ROUND(AI100+AH101-AG101,2),0)</f>
        <v>0</v>
      </c>
      <c r="AJ101" s="24">
        <f>IF(AL100&gt;0,MIN(ROUND(AJ$6+IF(AJ$5=$C101,$E$5+$E101,0),2),ROUND(AL100+AK101,2)),0)</f>
        <v>0</v>
      </c>
      <c r="AK101" s="24">
        <f>IF(AL100&gt;0,ROUND(ROUND(AL100*100,0)*ROUND(AJ$7*10000,0)/12000000,0)/100,0)</f>
        <v>0</v>
      </c>
      <c r="AL101" s="24">
        <f>IF(AL100&gt;0,ROUND(AL100+AK101-AJ101,2),0)</f>
        <v>0</v>
      </c>
    </row>
    <row r="102" spans="1:38" x14ac:dyDescent="0.25">
      <c r="A102" s="17" t="str">
        <f>IF(F102&gt;0,92,"")</f>
        <v/>
      </c>
      <c r="B102" s="18" t="str">
        <f>IF(F102&gt;0,EDATE($E$6,92),"")</f>
        <v/>
      </c>
      <c r="C102" s="21">
        <f>IF(H101&gt;0,MIN(IF(K101&gt;0,I$5,99),IF(N101&gt;0,L$5,99),IF(Q101&gt;0,O$5,99),IF(T101&gt;0,R$5,99),IF(W101&gt;0,U$5,99),IF(Z101&gt;0,X$5,99),IF(AC101&gt;0,AA$5,99),IF(AF101&gt;0,AD$5,99),IF(AI101&gt;0,AG$5,99),IF(AL101&gt;0,AJ$5,99)),0)</f>
        <v>0</v>
      </c>
      <c r="D102" t="str">
        <f>IF(C102&gt;0,INDEX($I$4:$AL$4,1,MATCH(C102,$I$5:$AL$5,0)),"")</f>
        <v/>
      </c>
      <c r="E102" s="24">
        <f>ROUND(IF(AND(I$8&gt;0,K101=0),I$6,0)+IF(AND(L$8&gt;0,N101=0),L$6,0)+IF(AND(O$8&gt;0,Q101=0),O$6,0)+IF(AND(R$8&gt;0,T101=0),R$6,0)+IF(AND(U$8&gt;0,W101=0),U$6,0)+IF(AND(X$8&gt;0,Z101=0),X$6,0)+IF(AND(AA$8&gt;0,AC101=0),AA$6,0)+IF(AND(AD$8&gt;0,AF101=0),AD$6,0)+IF(AND(AG$8&gt;0,AI101=0),AG$6,0)+IF(AND(AJ$8&gt;0,AL101=0),AJ$6,0),2)</f>
        <v>330</v>
      </c>
      <c r="F102" s="24">
        <f>ROUND(I102+L102+O102+R102+U102+X102+AA102+AD102+AG102+AJ102,2)</f>
        <v>0</v>
      </c>
      <c r="G102" s="24">
        <f>ROUND(J102+M102+P102+S102+V102+Y102+AB102+AE102+AH102+AK102,2)</f>
        <v>0</v>
      </c>
      <c r="H102" s="24">
        <f>ROUND(K102+N102+Q102+T102+W102+Z102+AC102+AF102+AI102+AL102,2)</f>
        <v>0</v>
      </c>
      <c r="I102" s="24">
        <f>IF(K101&gt;0,MIN(ROUND(I$6+IF(I$5=$C102,$E$5+$E102,0),2),ROUND(K101+J102,2)),0)</f>
        <v>0</v>
      </c>
      <c r="J102" s="24">
        <f>IF(K101&gt;0,ROUND(ROUND(K101*100,0)*ROUND(I$7*10000,0)/12000000,0)/100,0)</f>
        <v>0</v>
      </c>
      <c r="K102" s="24">
        <f>IF(K101&gt;0,ROUND(K101+J102-I102,2),0)</f>
        <v>0</v>
      </c>
      <c r="L102" s="24">
        <f>IF(N101&gt;0,MIN(ROUND(L$6+IF(L$5=$C102,$E$5+$E102,0),2),ROUND(N101+M102,2)),0)</f>
        <v>0</v>
      </c>
      <c r="M102" s="24">
        <f>IF(N101&gt;0,ROUND(ROUND(N101*100,0)*ROUND(L$7*10000,0)/12000000,0)/100,0)</f>
        <v>0</v>
      </c>
      <c r="N102" s="24">
        <f>IF(N101&gt;0,ROUND(N101+M102-L102,2),0)</f>
        <v>0</v>
      </c>
      <c r="O102" s="24">
        <f>IF(Q101&gt;0,MIN(ROUND(O$6+IF(O$5=$C102,$E$5+$E102,0),2),ROUND(Q101+P102,2)),0)</f>
        <v>0</v>
      </c>
      <c r="P102" s="24">
        <f>IF(Q101&gt;0,ROUND(ROUND(Q101*100,0)*ROUND(O$7*10000,0)/12000000,0)/100,0)</f>
        <v>0</v>
      </c>
      <c r="Q102" s="24">
        <f>IF(Q101&gt;0,ROUND(Q101+P102-O102,2),0)</f>
        <v>0</v>
      </c>
      <c r="R102" s="24">
        <f>IF(T101&gt;0,MIN(ROUND(R$6+IF(R$5=$C102,$E$5+$E102,0),2),ROUND(T101+S102,2)),0)</f>
        <v>0</v>
      </c>
      <c r="S102" s="24">
        <f>IF(T101&gt;0,ROUND(ROUND(T101*100,0)*ROUND(R$7*10000,0)/12000000,0)/100,0)</f>
        <v>0</v>
      </c>
      <c r="T102" s="24">
        <f>IF(T101&gt;0,ROUND(T101+S102-R102,2),0)</f>
        <v>0</v>
      </c>
      <c r="U102" s="24">
        <f>IF(W101&gt;0,MIN(ROUND(U$6+IF(U$5=$C102,$E$5+$E102,0),2),ROUND(W101+V102,2)),0)</f>
        <v>0</v>
      </c>
      <c r="V102" s="24">
        <f>IF(W101&gt;0,ROUND(ROUND(W101*100,0)*ROUND(U$7*10000,0)/12000000,0)/100,0)</f>
        <v>0</v>
      </c>
      <c r="W102" s="24">
        <f>IF(W101&gt;0,ROUND(W101+V102-U102,2),0)</f>
        <v>0</v>
      </c>
      <c r="X102" s="24">
        <f>IF(Z101&gt;0,MIN(ROUND(X$6+IF(X$5=$C102,$E$5+$E102,0),2),ROUND(Z101+Y102,2)),0)</f>
        <v>0</v>
      </c>
      <c r="Y102" s="24">
        <f>IF(Z101&gt;0,ROUND(ROUND(Z101*100,0)*ROUND(X$7*10000,0)/12000000,0)/100,0)</f>
        <v>0</v>
      </c>
      <c r="Z102" s="24">
        <f>IF(Z101&gt;0,ROUND(Z101+Y102-X102,2),0)</f>
        <v>0</v>
      </c>
      <c r="AA102" s="24">
        <f>IF(AC101&gt;0,MIN(ROUND(AA$6+IF(AA$5=$C102,$E$5+$E102,0),2),ROUND(AC101+AB102,2)),0)</f>
        <v>0</v>
      </c>
      <c r="AB102" s="24">
        <f>IF(AC101&gt;0,ROUND(ROUND(AC101*100,0)*ROUND(AA$7*10000,0)/12000000,0)/100,0)</f>
        <v>0</v>
      </c>
      <c r="AC102" s="24">
        <f>IF(AC101&gt;0,ROUND(AC101+AB102-AA102,2),0)</f>
        <v>0</v>
      </c>
      <c r="AD102" s="24">
        <f>IF(AF101&gt;0,MIN(ROUND(AD$6+IF(AD$5=$C102,$E$5+$E102,0),2),ROUND(AF101+AE102,2)),0)</f>
        <v>0</v>
      </c>
      <c r="AE102" s="24">
        <f>IF(AF101&gt;0,ROUND(ROUND(AF101*100,0)*ROUND(AD$7*10000,0)/12000000,0)/100,0)</f>
        <v>0</v>
      </c>
      <c r="AF102" s="24">
        <f>IF(AF101&gt;0,ROUND(AF101+AE102-AD102,2),0)</f>
        <v>0</v>
      </c>
      <c r="AG102" s="24">
        <f>IF(AI101&gt;0,MIN(ROUND(AG$6+IF(AG$5=$C102,$E$5+$E102,0),2),ROUND(AI101+AH102,2)),0)</f>
        <v>0</v>
      </c>
      <c r="AH102" s="24">
        <f>IF(AI101&gt;0,ROUND(ROUND(AI101*100,0)*ROUND(AG$7*10000,0)/12000000,0)/100,0)</f>
        <v>0</v>
      </c>
      <c r="AI102" s="24">
        <f>IF(AI101&gt;0,ROUND(AI101+AH102-AG102,2),0)</f>
        <v>0</v>
      </c>
      <c r="AJ102" s="24">
        <f>IF(AL101&gt;0,MIN(ROUND(AJ$6+IF(AJ$5=$C102,$E$5+$E102,0),2),ROUND(AL101+AK102,2)),0)</f>
        <v>0</v>
      </c>
      <c r="AK102" s="24">
        <f>IF(AL101&gt;0,ROUND(ROUND(AL101*100,0)*ROUND(AJ$7*10000,0)/12000000,0)/100,0)</f>
        <v>0</v>
      </c>
      <c r="AL102" s="24">
        <f>IF(AL101&gt;0,ROUND(AL101+AK102-AJ102,2),0)</f>
        <v>0</v>
      </c>
    </row>
    <row r="103" spans="1:38" x14ac:dyDescent="0.25">
      <c r="A103" s="17" t="str">
        <f>IF(F103&gt;0,93,"")</f>
        <v/>
      </c>
      <c r="B103" s="18" t="str">
        <f>IF(F103&gt;0,EDATE($E$6,93),"")</f>
        <v/>
      </c>
      <c r="C103" s="21">
        <f>IF(H102&gt;0,MIN(IF(K102&gt;0,I$5,99),IF(N102&gt;0,L$5,99),IF(Q102&gt;0,O$5,99),IF(T102&gt;0,R$5,99),IF(W102&gt;0,U$5,99),IF(Z102&gt;0,X$5,99),IF(AC102&gt;0,AA$5,99),IF(AF102&gt;0,AD$5,99),IF(AI102&gt;0,AG$5,99),IF(AL102&gt;0,AJ$5,99)),0)</f>
        <v>0</v>
      </c>
      <c r="D103" t="str">
        <f>IF(C103&gt;0,INDEX($I$4:$AL$4,1,MATCH(C103,$I$5:$AL$5,0)),"")</f>
        <v/>
      </c>
      <c r="E103" s="24">
        <f>ROUND(IF(AND(I$8&gt;0,K102=0),I$6,0)+IF(AND(L$8&gt;0,N102=0),L$6,0)+IF(AND(O$8&gt;0,Q102=0),O$6,0)+IF(AND(R$8&gt;0,T102=0),R$6,0)+IF(AND(U$8&gt;0,W102=0),U$6,0)+IF(AND(X$8&gt;0,Z102=0),X$6,0)+IF(AND(AA$8&gt;0,AC102=0),AA$6,0)+IF(AND(AD$8&gt;0,AF102=0),AD$6,0)+IF(AND(AG$8&gt;0,AI102=0),AG$6,0)+IF(AND(AJ$8&gt;0,AL102=0),AJ$6,0),2)</f>
        <v>330</v>
      </c>
      <c r="F103" s="24">
        <f>ROUND(I103+L103+O103+R103+U103+X103+AA103+AD103+AG103+AJ103,2)</f>
        <v>0</v>
      </c>
      <c r="G103" s="24">
        <f>ROUND(J103+M103+P103+S103+V103+Y103+AB103+AE103+AH103+AK103,2)</f>
        <v>0</v>
      </c>
      <c r="H103" s="24">
        <f>ROUND(K103+N103+Q103+T103+W103+Z103+AC103+AF103+AI103+AL103,2)</f>
        <v>0</v>
      </c>
      <c r="I103" s="24">
        <f>IF(K102&gt;0,MIN(ROUND(I$6+IF(I$5=$C103,$E$5+$E103,0),2),ROUND(K102+J103,2)),0)</f>
        <v>0</v>
      </c>
      <c r="J103" s="24">
        <f>IF(K102&gt;0,ROUND(ROUND(K102*100,0)*ROUND(I$7*10000,0)/12000000,0)/100,0)</f>
        <v>0</v>
      </c>
      <c r="K103" s="24">
        <f>IF(K102&gt;0,ROUND(K102+J103-I103,2),0)</f>
        <v>0</v>
      </c>
      <c r="L103" s="24">
        <f>IF(N102&gt;0,MIN(ROUND(L$6+IF(L$5=$C103,$E$5+$E103,0),2),ROUND(N102+M103,2)),0)</f>
        <v>0</v>
      </c>
      <c r="M103" s="24">
        <f>IF(N102&gt;0,ROUND(ROUND(N102*100,0)*ROUND(L$7*10000,0)/12000000,0)/100,0)</f>
        <v>0</v>
      </c>
      <c r="N103" s="24">
        <f>IF(N102&gt;0,ROUND(N102+M103-L103,2),0)</f>
        <v>0</v>
      </c>
      <c r="O103" s="24">
        <f>IF(Q102&gt;0,MIN(ROUND(O$6+IF(O$5=$C103,$E$5+$E103,0),2),ROUND(Q102+P103,2)),0)</f>
        <v>0</v>
      </c>
      <c r="P103" s="24">
        <f>IF(Q102&gt;0,ROUND(ROUND(Q102*100,0)*ROUND(O$7*10000,0)/12000000,0)/100,0)</f>
        <v>0</v>
      </c>
      <c r="Q103" s="24">
        <f>IF(Q102&gt;0,ROUND(Q102+P103-O103,2),0)</f>
        <v>0</v>
      </c>
      <c r="R103" s="24">
        <f>IF(T102&gt;0,MIN(ROUND(R$6+IF(R$5=$C103,$E$5+$E103,0),2),ROUND(T102+S103,2)),0)</f>
        <v>0</v>
      </c>
      <c r="S103" s="24">
        <f>IF(T102&gt;0,ROUND(ROUND(T102*100,0)*ROUND(R$7*10000,0)/12000000,0)/100,0)</f>
        <v>0</v>
      </c>
      <c r="T103" s="24">
        <f>IF(T102&gt;0,ROUND(T102+S103-R103,2),0)</f>
        <v>0</v>
      </c>
      <c r="U103" s="24">
        <f>IF(W102&gt;0,MIN(ROUND(U$6+IF(U$5=$C103,$E$5+$E103,0),2),ROUND(W102+V103,2)),0)</f>
        <v>0</v>
      </c>
      <c r="V103" s="24">
        <f>IF(W102&gt;0,ROUND(ROUND(W102*100,0)*ROUND(U$7*10000,0)/12000000,0)/100,0)</f>
        <v>0</v>
      </c>
      <c r="W103" s="24">
        <f>IF(W102&gt;0,ROUND(W102+V103-U103,2),0)</f>
        <v>0</v>
      </c>
      <c r="X103" s="24">
        <f>IF(Z102&gt;0,MIN(ROUND(X$6+IF(X$5=$C103,$E$5+$E103,0),2),ROUND(Z102+Y103,2)),0)</f>
        <v>0</v>
      </c>
      <c r="Y103" s="24">
        <f>IF(Z102&gt;0,ROUND(ROUND(Z102*100,0)*ROUND(X$7*10000,0)/12000000,0)/100,0)</f>
        <v>0</v>
      </c>
      <c r="Z103" s="24">
        <f>IF(Z102&gt;0,ROUND(Z102+Y103-X103,2),0)</f>
        <v>0</v>
      </c>
      <c r="AA103" s="24">
        <f>IF(AC102&gt;0,MIN(ROUND(AA$6+IF(AA$5=$C103,$E$5+$E103,0),2),ROUND(AC102+AB103,2)),0)</f>
        <v>0</v>
      </c>
      <c r="AB103" s="24">
        <f>IF(AC102&gt;0,ROUND(ROUND(AC102*100,0)*ROUND(AA$7*10000,0)/12000000,0)/100,0)</f>
        <v>0</v>
      </c>
      <c r="AC103" s="24">
        <f>IF(AC102&gt;0,ROUND(AC102+AB103-AA103,2),0)</f>
        <v>0</v>
      </c>
      <c r="AD103" s="24">
        <f>IF(AF102&gt;0,MIN(ROUND(AD$6+IF(AD$5=$C103,$E$5+$E103,0),2),ROUND(AF102+AE103,2)),0)</f>
        <v>0</v>
      </c>
      <c r="AE103" s="24">
        <f>IF(AF102&gt;0,ROUND(ROUND(AF102*100,0)*ROUND(AD$7*10000,0)/12000000,0)/100,0)</f>
        <v>0</v>
      </c>
      <c r="AF103" s="24">
        <f>IF(AF102&gt;0,ROUND(AF102+AE103-AD103,2),0)</f>
        <v>0</v>
      </c>
      <c r="AG103" s="24">
        <f>IF(AI102&gt;0,MIN(ROUND(AG$6+IF(AG$5=$C103,$E$5+$E103,0),2),ROUND(AI102+AH103,2)),0)</f>
        <v>0</v>
      </c>
      <c r="AH103" s="24">
        <f>IF(AI102&gt;0,ROUND(ROUND(AI102*100,0)*ROUND(AG$7*10000,0)/12000000,0)/100,0)</f>
        <v>0</v>
      </c>
      <c r="AI103" s="24">
        <f>IF(AI102&gt;0,ROUND(AI102+AH103-AG103,2),0)</f>
        <v>0</v>
      </c>
      <c r="AJ103" s="24">
        <f>IF(AL102&gt;0,MIN(ROUND(AJ$6+IF(AJ$5=$C103,$E$5+$E103,0),2),ROUND(AL102+AK103,2)),0)</f>
        <v>0</v>
      </c>
      <c r="AK103" s="24">
        <f>IF(AL102&gt;0,ROUND(ROUND(AL102*100,0)*ROUND(AJ$7*10000,0)/12000000,0)/100,0)</f>
        <v>0</v>
      </c>
      <c r="AL103" s="24">
        <f>IF(AL102&gt;0,ROUND(AL102+AK103-AJ103,2),0)</f>
        <v>0</v>
      </c>
    </row>
    <row r="104" spans="1:38" x14ac:dyDescent="0.25">
      <c r="A104" s="17" t="str">
        <f>IF(F104&gt;0,94,"")</f>
        <v/>
      </c>
      <c r="B104" s="18" t="str">
        <f>IF(F104&gt;0,EDATE($E$6,94),"")</f>
        <v/>
      </c>
      <c r="C104" s="21">
        <f>IF(H103&gt;0,MIN(IF(K103&gt;0,I$5,99),IF(N103&gt;0,L$5,99),IF(Q103&gt;0,O$5,99),IF(T103&gt;0,R$5,99),IF(W103&gt;0,U$5,99),IF(Z103&gt;0,X$5,99),IF(AC103&gt;0,AA$5,99),IF(AF103&gt;0,AD$5,99),IF(AI103&gt;0,AG$5,99),IF(AL103&gt;0,AJ$5,99)),0)</f>
        <v>0</v>
      </c>
      <c r="D104" t="str">
        <f>IF(C104&gt;0,INDEX($I$4:$AL$4,1,MATCH(C104,$I$5:$AL$5,0)),"")</f>
        <v/>
      </c>
      <c r="E104" s="24">
        <f>ROUND(IF(AND(I$8&gt;0,K103=0),I$6,0)+IF(AND(L$8&gt;0,N103=0),L$6,0)+IF(AND(O$8&gt;0,Q103=0),O$6,0)+IF(AND(R$8&gt;0,T103=0),R$6,0)+IF(AND(U$8&gt;0,W103=0),U$6,0)+IF(AND(X$8&gt;0,Z103=0),X$6,0)+IF(AND(AA$8&gt;0,AC103=0),AA$6,0)+IF(AND(AD$8&gt;0,AF103=0),AD$6,0)+IF(AND(AG$8&gt;0,AI103=0),AG$6,0)+IF(AND(AJ$8&gt;0,AL103=0),AJ$6,0),2)</f>
        <v>330</v>
      </c>
      <c r="F104" s="24">
        <f>ROUND(I104+L104+O104+R104+U104+X104+AA104+AD104+AG104+AJ104,2)</f>
        <v>0</v>
      </c>
      <c r="G104" s="24">
        <f>ROUND(J104+M104+P104+S104+V104+Y104+AB104+AE104+AH104+AK104,2)</f>
        <v>0</v>
      </c>
      <c r="H104" s="24">
        <f>ROUND(K104+N104+Q104+T104+W104+Z104+AC104+AF104+AI104+AL104,2)</f>
        <v>0</v>
      </c>
      <c r="I104" s="24">
        <f>IF(K103&gt;0,MIN(ROUND(I$6+IF(I$5=$C104,$E$5+$E104,0),2),ROUND(K103+J104,2)),0)</f>
        <v>0</v>
      </c>
      <c r="J104" s="24">
        <f>IF(K103&gt;0,ROUND(ROUND(K103*100,0)*ROUND(I$7*10000,0)/12000000,0)/100,0)</f>
        <v>0</v>
      </c>
      <c r="K104" s="24">
        <f>IF(K103&gt;0,ROUND(K103+J104-I104,2),0)</f>
        <v>0</v>
      </c>
      <c r="L104" s="24">
        <f>IF(N103&gt;0,MIN(ROUND(L$6+IF(L$5=$C104,$E$5+$E104,0),2),ROUND(N103+M104,2)),0)</f>
        <v>0</v>
      </c>
      <c r="M104" s="24">
        <f>IF(N103&gt;0,ROUND(ROUND(N103*100,0)*ROUND(L$7*10000,0)/12000000,0)/100,0)</f>
        <v>0</v>
      </c>
      <c r="N104" s="24">
        <f>IF(N103&gt;0,ROUND(N103+M104-L104,2),0)</f>
        <v>0</v>
      </c>
      <c r="O104" s="24">
        <f>IF(Q103&gt;0,MIN(ROUND(O$6+IF(O$5=$C104,$E$5+$E104,0),2),ROUND(Q103+P104,2)),0)</f>
        <v>0</v>
      </c>
      <c r="P104" s="24">
        <f>IF(Q103&gt;0,ROUND(ROUND(Q103*100,0)*ROUND(O$7*10000,0)/12000000,0)/100,0)</f>
        <v>0</v>
      </c>
      <c r="Q104" s="24">
        <f>IF(Q103&gt;0,ROUND(Q103+P104-O104,2),0)</f>
        <v>0</v>
      </c>
      <c r="R104" s="24">
        <f>IF(T103&gt;0,MIN(ROUND(R$6+IF(R$5=$C104,$E$5+$E104,0),2),ROUND(T103+S104,2)),0)</f>
        <v>0</v>
      </c>
      <c r="S104" s="24">
        <f>IF(T103&gt;0,ROUND(ROUND(T103*100,0)*ROUND(R$7*10000,0)/12000000,0)/100,0)</f>
        <v>0</v>
      </c>
      <c r="T104" s="24">
        <f>IF(T103&gt;0,ROUND(T103+S104-R104,2),0)</f>
        <v>0</v>
      </c>
      <c r="U104" s="24">
        <f>IF(W103&gt;0,MIN(ROUND(U$6+IF(U$5=$C104,$E$5+$E104,0),2),ROUND(W103+V104,2)),0)</f>
        <v>0</v>
      </c>
      <c r="V104" s="24">
        <f>IF(W103&gt;0,ROUND(ROUND(W103*100,0)*ROUND(U$7*10000,0)/12000000,0)/100,0)</f>
        <v>0</v>
      </c>
      <c r="W104" s="24">
        <f>IF(W103&gt;0,ROUND(W103+V104-U104,2),0)</f>
        <v>0</v>
      </c>
      <c r="X104" s="24">
        <f>IF(Z103&gt;0,MIN(ROUND(X$6+IF(X$5=$C104,$E$5+$E104,0),2),ROUND(Z103+Y104,2)),0)</f>
        <v>0</v>
      </c>
      <c r="Y104" s="24">
        <f>IF(Z103&gt;0,ROUND(ROUND(Z103*100,0)*ROUND(X$7*10000,0)/12000000,0)/100,0)</f>
        <v>0</v>
      </c>
      <c r="Z104" s="24">
        <f>IF(Z103&gt;0,ROUND(Z103+Y104-X104,2),0)</f>
        <v>0</v>
      </c>
      <c r="AA104" s="24">
        <f>IF(AC103&gt;0,MIN(ROUND(AA$6+IF(AA$5=$C104,$E$5+$E104,0),2),ROUND(AC103+AB104,2)),0)</f>
        <v>0</v>
      </c>
      <c r="AB104" s="24">
        <f>IF(AC103&gt;0,ROUND(ROUND(AC103*100,0)*ROUND(AA$7*10000,0)/12000000,0)/100,0)</f>
        <v>0</v>
      </c>
      <c r="AC104" s="24">
        <f>IF(AC103&gt;0,ROUND(AC103+AB104-AA104,2),0)</f>
        <v>0</v>
      </c>
      <c r="AD104" s="24">
        <f>IF(AF103&gt;0,MIN(ROUND(AD$6+IF(AD$5=$C104,$E$5+$E104,0),2),ROUND(AF103+AE104,2)),0)</f>
        <v>0</v>
      </c>
      <c r="AE104" s="24">
        <f>IF(AF103&gt;0,ROUND(ROUND(AF103*100,0)*ROUND(AD$7*10000,0)/12000000,0)/100,0)</f>
        <v>0</v>
      </c>
      <c r="AF104" s="24">
        <f>IF(AF103&gt;0,ROUND(AF103+AE104-AD104,2),0)</f>
        <v>0</v>
      </c>
      <c r="AG104" s="24">
        <f>IF(AI103&gt;0,MIN(ROUND(AG$6+IF(AG$5=$C104,$E$5+$E104,0),2),ROUND(AI103+AH104,2)),0)</f>
        <v>0</v>
      </c>
      <c r="AH104" s="24">
        <f>IF(AI103&gt;0,ROUND(ROUND(AI103*100,0)*ROUND(AG$7*10000,0)/12000000,0)/100,0)</f>
        <v>0</v>
      </c>
      <c r="AI104" s="24">
        <f>IF(AI103&gt;0,ROUND(AI103+AH104-AG104,2),0)</f>
        <v>0</v>
      </c>
      <c r="AJ104" s="24">
        <f>IF(AL103&gt;0,MIN(ROUND(AJ$6+IF(AJ$5=$C104,$E$5+$E104,0),2),ROUND(AL103+AK104,2)),0)</f>
        <v>0</v>
      </c>
      <c r="AK104" s="24">
        <f>IF(AL103&gt;0,ROUND(ROUND(AL103*100,0)*ROUND(AJ$7*10000,0)/12000000,0)/100,0)</f>
        <v>0</v>
      </c>
      <c r="AL104" s="24">
        <f>IF(AL103&gt;0,ROUND(AL103+AK104-AJ104,2),0)</f>
        <v>0</v>
      </c>
    </row>
    <row r="105" spans="1:38" x14ac:dyDescent="0.25">
      <c r="A105" s="17" t="str">
        <f>IF(F105&gt;0,95,"")</f>
        <v/>
      </c>
      <c r="B105" s="18" t="str">
        <f>IF(F105&gt;0,EDATE($E$6,95),"")</f>
        <v/>
      </c>
      <c r="C105" s="21">
        <f>IF(H104&gt;0,MIN(IF(K104&gt;0,I$5,99),IF(N104&gt;0,L$5,99),IF(Q104&gt;0,O$5,99),IF(T104&gt;0,R$5,99),IF(W104&gt;0,U$5,99),IF(Z104&gt;0,X$5,99),IF(AC104&gt;0,AA$5,99),IF(AF104&gt;0,AD$5,99),IF(AI104&gt;0,AG$5,99),IF(AL104&gt;0,AJ$5,99)),0)</f>
        <v>0</v>
      </c>
      <c r="D105" t="str">
        <f>IF(C105&gt;0,INDEX($I$4:$AL$4,1,MATCH(C105,$I$5:$AL$5,0)),"")</f>
        <v/>
      </c>
      <c r="E105" s="24">
        <f>ROUND(IF(AND(I$8&gt;0,K104=0),I$6,0)+IF(AND(L$8&gt;0,N104=0),L$6,0)+IF(AND(O$8&gt;0,Q104=0),O$6,0)+IF(AND(R$8&gt;0,T104=0),R$6,0)+IF(AND(U$8&gt;0,W104=0),U$6,0)+IF(AND(X$8&gt;0,Z104=0),X$6,0)+IF(AND(AA$8&gt;0,AC104=0),AA$6,0)+IF(AND(AD$8&gt;0,AF104=0),AD$6,0)+IF(AND(AG$8&gt;0,AI104=0),AG$6,0)+IF(AND(AJ$8&gt;0,AL104=0),AJ$6,0),2)</f>
        <v>330</v>
      </c>
      <c r="F105" s="24">
        <f>ROUND(I105+L105+O105+R105+U105+X105+AA105+AD105+AG105+AJ105,2)</f>
        <v>0</v>
      </c>
      <c r="G105" s="24">
        <f>ROUND(J105+M105+P105+S105+V105+Y105+AB105+AE105+AH105+AK105,2)</f>
        <v>0</v>
      </c>
      <c r="H105" s="24">
        <f>ROUND(K105+N105+Q105+T105+W105+Z105+AC105+AF105+AI105+AL105,2)</f>
        <v>0</v>
      </c>
      <c r="I105" s="24">
        <f>IF(K104&gt;0,MIN(ROUND(I$6+IF(I$5=$C105,$E$5+$E105,0),2),ROUND(K104+J105,2)),0)</f>
        <v>0</v>
      </c>
      <c r="J105" s="24">
        <f>IF(K104&gt;0,ROUND(ROUND(K104*100,0)*ROUND(I$7*10000,0)/12000000,0)/100,0)</f>
        <v>0</v>
      </c>
      <c r="K105" s="24">
        <f>IF(K104&gt;0,ROUND(K104+J105-I105,2),0)</f>
        <v>0</v>
      </c>
      <c r="L105" s="24">
        <f>IF(N104&gt;0,MIN(ROUND(L$6+IF(L$5=$C105,$E$5+$E105,0),2),ROUND(N104+M105,2)),0)</f>
        <v>0</v>
      </c>
      <c r="M105" s="24">
        <f>IF(N104&gt;0,ROUND(ROUND(N104*100,0)*ROUND(L$7*10000,0)/12000000,0)/100,0)</f>
        <v>0</v>
      </c>
      <c r="N105" s="24">
        <f>IF(N104&gt;0,ROUND(N104+M105-L105,2),0)</f>
        <v>0</v>
      </c>
      <c r="O105" s="24">
        <f>IF(Q104&gt;0,MIN(ROUND(O$6+IF(O$5=$C105,$E$5+$E105,0),2),ROUND(Q104+P105,2)),0)</f>
        <v>0</v>
      </c>
      <c r="P105" s="24">
        <f>IF(Q104&gt;0,ROUND(ROUND(Q104*100,0)*ROUND(O$7*10000,0)/12000000,0)/100,0)</f>
        <v>0</v>
      </c>
      <c r="Q105" s="24">
        <f>IF(Q104&gt;0,ROUND(Q104+P105-O105,2),0)</f>
        <v>0</v>
      </c>
      <c r="R105" s="24">
        <f>IF(T104&gt;0,MIN(ROUND(R$6+IF(R$5=$C105,$E$5+$E105,0),2),ROUND(T104+S105,2)),0)</f>
        <v>0</v>
      </c>
      <c r="S105" s="24">
        <f>IF(T104&gt;0,ROUND(ROUND(T104*100,0)*ROUND(R$7*10000,0)/12000000,0)/100,0)</f>
        <v>0</v>
      </c>
      <c r="T105" s="24">
        <f>IF(T104&gt;0,ROUND(T104+S105-R105,2),0)</f>
        <v>0</v>
      </c>
      <c r="U105" s="24">
        <f>IF(W104&gt;0,MIN(ROUND(U$6+IF(U$5=$C105,$E$5+$E105,0),2),ROUND(W104+V105,2)),0)</f>
        <v>0</v>
      </c>
      <c r="V105" s="24">
        <f>IF(W104&gt;0,ROUND(ROUND(W104*100,0)*ROUND(U$7*10000,0)/12000000,0)/100,0)</f>
        <v>0</v>
      </c>
      <c r="W105" s="24">
        <f>IF(W104&gt;0,ROUND(W104+V105-U105,2),0)</f>
        <v>0</v>
      </c>
      <c r="X105" s="24">
        <f>IF(Z104&gt;0,MIN(ROUND(X$6+IF(X$5=$C105,$E$5+$E105,0),2),ROUND(Z104+Y105,2)),0)</f>
        <v>0</v>
      </c>
      <c r="Y105" s="24">
        <f>IF(Z104&gt;0,ROUND(ROUND(Z104*100,0)*ROUND(X$7*10000,0)/12000000,0)/100,0)</f>
        <v>0</v>
      </c>
      <c r="Z105" s="24">
        <f>IF(Z104&gt;0,ROUND(Z104+Y105-X105,2),0)</f>
        <v>0</v>
      </c>
      <c r="AA105" s="24">
        <f>IF(AC104&gt;0,MIN(ROUND(AA$6+IF(AA$5=$C105,$E$5+$E105,0),2),ROUND(AC104+AB105,2)),0)</f>
        <v>0</v>
      </c>
      <c r="AB105" s="24">
        <f>IF(AC104&gt;0,ROUND(ROUND(AC104*100,0)*ROUND(AA$7*10000,0)/12000000,0)/100,0)</f>
        <v>0</v>
      </c>
      <c r="AC105" s="24">
        <f>IF(AC104&gt;0,ROUND(AC104+AB105-AA105,2),0)</f>
        <v>0</v>
      </c>
      <c r="AD105" s="24">
        <f>IF(AF104&gt;0,MIN(ROUND(AD$6+IF(AD$5=$C105,$E$5+$E105,0),2),ROUND(AF104+AE105,2)),0)</f>
        <v>0</v>
      </c>
      <c r="AE105" s="24">
        <f>IF(AF104&gt;0,ROUND(ROUND(AF104*100,0)*ROUND(AD$7*10000,0)/12000000,0)/100,0)</f>
        <v>0</v>
      </c>
      <c r="AF105" s="24">
        <f>IF(AF104&gt;0,ROUND(AF104+AE105-AD105,2),0)</f>
        <v>0</v>
      </c>
      <c r="AG105" s="24">
        <f>IF(AI104&gt;0,MIN(ROUND(AG$6+IF(AG$5=$C105,$E$5+$E105,0),2),ROUND(AI104+AH105,2)),0)</f>
        <v>0</v>
      </c>
      <c r="AH105" s="24">
        <f>IF(AI104&gt;0,ROUND(ROUND(AI104*100,0)*ROUND(AG$7*10000,0)/12000000,0)/100,0)</f>
        <v>0</v>
      </c>
      <c r="AI105" s="24">
        <f>IF(AI104&gt;0,ROUND(AI104+AH105-AG105,2),0)</f>
        <v>0</v>
      </c>
      <c r="AJ105" s="24">
        <f>IF(AL104&gt;0,MIN(ROUND(AJ$6+IF(AJ$5=$C105,$E$5+$E105,0),2),ROUND(AL104+AK105,2)),0)</f>
        <v>0</v>
      </c>
      <c r="AK105" s="24">
        <f>IF(AL104&gt;0,ROUND(ROUND(AL104*100,0)*ROUND(AJ$7*10000,0)/12000000,0)/100,0)</f>
        <v>0</v>
      </c>
      <c r="AL105" s="24">
        <f>IF(AL104&gt;0,ROUND(AL104+AK105-AJ105,2),0)</f>
        <v>0</v>
      </c>
    </row>
    <row r="106" spans="1:38" x14ac:dyDescent="0.25">
      <c r="A106" s="17" t="str">
        <f>IF(F106&gt;0,96,"")</f>
        <v/>
      </c>
      <c r="B106" s="18" t="str">
        <f>IF(F106&gt;0,EDATE($E$6,96),"")</f>
        <v/>
      </c>
      <c r="C106" s="21">
        <f>IF(H105&gt;0,MIN(IF(K105&gt;0,I$5,99),IF(N105&gt;0,L$5,99),IF(Q105&gt;0,O$5,99),IF(T105&gt;0,R$5,99),IF(W105&gt;0,U$5,99),IF(Z105&gt;0,X$5,99),IF(AC105&gt;0,AA$5,99),IF(AF105&gt;0,AD$5,99),IF(AI105&gt;0,AG$5,99),IF(AL105&gt;0,AJ$5,99)),0)</f>
        <v>0</v>
      </c>
      <c r="D106" t="str">
        <f>IF(C106&gt;0,INDEX($I$4:$AL$4,1,MATCH(C106,$I$5:$AL$5,0)),"")</f>
        <v/>
      </c>
      <c r="E106" s="24">
        <f>ROUND(IF(AND(I$8&gt;0,K105=0),I$6,0)+IF(AND(L$8&gt;0,N105=0),L$6,0)+IF(AND(O$8&gt;0,Q105=0),O$6,0)+IF(AND(R$8&gt;0,T105=0),R$6,0)+IF(AND(U$8&gt;0,W105=0),U$6,0)+IF(AND(X$8&gt;0,Z105=0),X$6,0)+IF(AND(AA$8&gt;0,AC105=0),AA$6,0)+IF(AND(AD$8&gt;0,AF105=0),AD$6,0)+IF(AND(AG$8&gt;0,AI105=0),AG$6,0)+IF(AND(AJ$8&gt;0,AL105=0),AJ$6,0),2)</f>
        <v>330</v>
      </c>
      <c r="F106" s="24">
        <f>ROUND(I106+L106+O106+R106+U106+X106+AA106+AD106+AG106+AJ106,2)</f>
        <v>0</v>
      </c>
      <c r="G106" s="24">
        <f>ROUND(J106+M106+P106+S106+V106+Y106+AB106+AE106+AH106+AK106,2)</f>
        <v>0</v>
      </c>
      <c r="H106" s="24">
        <f>ROUND(K106+N106+Q106+T106+W106+Z106+AC106+AF106+AI106+AL106,2)</f>
        <v>0</v>
      </c>
      <c r="I106" s="24">
        <f>IF(K105&gt;0,MIN(ROUND(I$6+IF(I$5=$C106,$E$5+$E106,0),2),ROUND(K105+J106,2)),0)</f>
        <v>0</v>
      </c>
      <c r="J106" s="24">
        <f>IF(K105&gt;0,ROUND(ROUND(K105*100,0)*ROUND(I$7*10000,0)/12000000,0)/100,0)</f>
        <v>0</v>
      </c>
      <c r="K106" s="24">
        <f>IF(K105&gt;0,ROUND(K105+J106-I106,2),0)</f>
        <v>0</v>
      </c>
      <c r="L106" s="24">
        <f>IF(N105&gt;0,MIN(ROUND(L$6+IF(L$5=$C106,$E$5+$E106,0),2),ROUND(N105+M106,2)),0)</f>
        <v>0</v>
      </c>
      <c r="M106" s="24">
        <f>IF(N105&gt;0,ROUND(ROUND(N105*100,0)*ROUND(L$7*10000,0)/12000000,0)/100,0)</f>
        <v>0</v>
      </c>
      <c r="N106" s="24">
        <f>IF(N105&gt;0,ROUND(N105+M106-L106,2),0)</f>
        <v>0</v>
      </c>
      <c r="O106" s="24">
        <f>IF(Q105&gt;0,MIN(ROUND(O$6+IF(O$5=$C106,$E$5+$E106,0),2),ROUND(Q105+P106,2)),0)</f>
        <v>0</v>
      </c>
      <c r="P106" s="24">
        <f>IF(Q105&gt;0,ROUND(ROUND(Q105*100,0)*ROUND(O$7*10000,0)/12000000,0)/100,0)</f>
        <v>0</v>
      </c>
      <c r="Q106" s="24">
        <f>IF(Q105&gt;0,ROUND(Q105+P106-O106,2),0)</f>
        <v>0</v>
      </c>
      <c r="R106" s="24">
        <f>IF(T105&gt;0,MIN(ROUND(R$6+IF(R$5=$C106,$E$5+$E106,0),2),ROUND(T105+S106,2)),0)</f>
        <v>0</v>
      </c>
      <c r="S106" s="24">
        <f>IF(T105&gt;0,ROUND(ROUND(T105*100,0)*ROUND(R$7*10000,0)/12000000,0)/100,0)</f>
        <v>0</v>
      </c>
      <c r="T106" s="24">
        <f>IF(T105&gt;0,ROUND(T105+S106-R106,2),0)</f>
        <v>0</v>
      </c>
      <c r="U106" s="24">
        <f>IF(W105&gt;0,MIN(ROUND(U$6+IF(U$5=$C106,$E$5+$E106,0),2),ROUND(W105+V106,2)),0)</f>
        <v>0</v>
      </c>
      <c r="V106" s="24">
        <f>IF(W105&gt;0,ROUND(ROUND(W105*100,0)*ROUND(U$7*10000,0)/12000000,0)/100,0)</f>
        <v>0</v>
      </c>
      <c r="W106" s="24">
        <f>IF(W105&gt;0,ROUND(W105+V106-U106,2),0)</f>
        <v>0</v>
      </c>
      <c r="X106" s="24">
        <f>IF(Z105&gt;0,MIN(ROUND(X$6+IF(X$5=$C106,$E$5+$E106,0),2),ROUND(Z105+Y106,2)),0)</f>
        <v>0</v>
      </c>
      <c r="Y106" s="24">
        <f>IF(Z105&gt;0,ROUND(ROUND(Z105*100,0)*ROUND(X$7*10000,0)/12000000,0)/100,0)</f>
        <v>0</v>
      </c>
      <c r="Z106" s="24">
        <f>IF(Z105&gt;0,ROUND(Z105+Y106-X106,2),0)</f>
        <v>0</v>
      </c>
      <c r="AA106" s="24">
        <f>IF(AC105&gt;0,MIN(ROUND(AA$6+IF(AA$5=$C106,$E$5+$E106,0),2),ROUND(AC105+AB106,2)),0)</f>
        <v>0</v>
      </c>
      <c r="AB106" s="24">
        <f>IF(AC105&gt;0,ROUND(ROUND(AC105*100,0)*ROUND(AA$7*10000,0)/12000000,0)/100,0)</f>
        <v>0</v>
      </c>
      <c r="AC106" s="24">
        <f>IF(AC105&gt;0,ROUND(AC105+AB106-AA106,2),0)</f>
        <v>0</v>
      </c>
      <c r="AD106" s="24">
        <f>IF(AF105&gt;0,MIN(ROUND(AD$6+IF(AD$5=$C106,$E$5+$E106,0),2),ROUND(AF105+AE106,2)),0)</f>
        <v>0</v>
      </c>
      <c r="AE106" s="24">
        <f>IF(AF105&gt;0,ROUND(ROUND(AF105*100,0)*ROUND(AD$7*10000,0)/12000000,0)/100,0)</f>
        <v>0</v>
      </c>
      <c r="AF106" s="24">
        <f>IF(AF105&gt;0,ROUND(AF105+AE106-AD106,2),0)</f>
        <v>0</v>
      </c>
      <c r="AG106" s="24">
        <f>IF(AI105&gt;0,MIN(ROUND(AG$6+IF(AG$5=$C106,$E$5+$E106,0),2),ROUND(AI105+AH106,2)),0)</f>
        <v>0</v>
      </c>
      <c r="AH106" s="24">
        <f>IF(AI105&gt;0,ROUND(ROUND(AI105*100,0)*ROUND(AG$7*10000,0)/12000000,0)/100,0)</f>
        <v>0</v>
      </c>
      <c r="AI106" s="24">
        <f>IF(AI105&gt;0,ROUND(AI105+AH106-AG106,2),0)</f>
        <v>0</v>
      </c>
      <c r="AJ106" s="24">
        <f>IF(AL105&gt;0,MIN(ROUND(AJ$6+IF(AJ$5=$C106,$E$5+$E106,0),2),ROUND(AL105+AK106,2)),0)</f>
        <v>0</v>
      </c>
      <c r="AK106" s="24">
        <f>IF(AL105&gt;0,ROUND(ROUND(AL105*100,0)*ROUND(AJ$7*10000,0)/12000000,0)/100,0)</f>
        <v>0</v>
      </c>
      <c r="AL106" s="24">
        <f>IF(AL105&gt;0,ROUND(AL105+AK106-AJ106,2),0)</f>
        <v>0</v>
      </c>
    </row>
    <row r="107" spans="1:38" x14ac:dyDescent="0.25">
      <c r="A107" s="17" t="str">
        <f>IF(F107&gt;0,97,"")</f>
        <v/>
      </c>
      <c r="B107" s="18" t="str">
        <f>IF(F107&gt;0,EDATE($E$6,97),"")</f>
        <v/>
      </c>
      <c r="C107" s="21">
        <f>IF(H106&gt;0,MIN(IF(K106&gt;0,I$5,99),IF(N106&gt;0,L$5,99),IF(Q106&gt;0,O$5,99),IF(T106&gt;0,R$5,99),IF(W106&gt;0,U$5,99),IF(Z106&gt;0,X$5,99),IF(AC106&gt;0,AA$5,99),IF(AF106&gt;0,AD$5,99),IF(AI106&gt;0,AG$5,99),IF(AL106&gt;0,AJ$5,99)),0)</f>
        <v>0</v>
      </c>
      <c r="D107" t="str">
        <f>IF(C107&gt;0,INDEX($I$4:$AL$4,1,MATCH(C107,$I$5:$AL$5,0)),"")</f>
        <v/>
      </c>
      <c r="E107" s="24">
        <f>ROUND(IF(AND(I$8&gt;0,K106=0),I$6,0)+IF(AND(L$8&gt;0,N106=0),L$6,0)+IF(AND(O$8&gt;0,Q106=0),O$6,0)+IF(AND(R$8&gt;0,T106=0),R$6,0)+IF(AND(U$8&gt;0,W106=0),U$6,0)+IF(AND(X$8&gt;0,Z106=0),X$6,0)+IF(AND(AA$8&gt;0,AC106=0),AA$6,0)+IF(AND(AD$8&gt;0,AF106=0),AD$6,0)+IF(AND(AG$8&gt;0,AI106=0),AG$6,0)+IF(AND(AJ$8&gt;0,AL106=0),AJ$6,0),2)</f>
        <v>330</v>
      </c>
      <c r="F107" s="24">
        <f>ROUND(I107+L107+O107+R107+U107+X107+AA107+AD107+AG107+AJ107,2)</f>
        <v>0</v>
      </c>
      <c r="G107" s="24">
        <f>ROUND(J107+M107+P107+S107+V107+Y107+AB107+AE107+AH107+AK107,2)</f>
        <v>0</v>
      </c>
      <c r="H107" s="24">
        <f>ROUND(K107+N107+Q107+T107+W107+Z107+AC107+AF107+AI107+AL107,2)</f>
        <v>0</v>
      </c>
      <c r="I107" s="24">
        <f>IF(K106&gt;0,MIN(ROUND(I$6+IF(I$5=$C107,$E$5+$E107,0),2),ROUND(K106+J107,2)),0)</f>
        <v>0</v>
      </c>
      <c r="J107" s="24">
        <f>IF(K106&gt;0,ROUND(ROUND(K106*100,0)*ROUND(I$7*10000,0)/12000000,0)/100,0)</f>
        <v>0</v>
      </c>
      <c r="K107" s="24">
        <f>IF(K106&gt;0,ROUND(K106+J107-I107,2),0)</f>
        <v>0</v>
      </c>
      <c r="L107" s="24">
        <f>IF(N106&gt;0,MIN(ROUND(L$6+IF(L$5=$C107,$E$5+$E107,0),2),ROUND(N106+M107,2)),0)</f>
        <v>0</v>
      </c>
      <c r="M107" s="24">
        <f>IF(N106&gt;0,ROUND(ROUND(N106*100,0)*ROUND(L$7*10000,0)/12000000,0)/100,0)</f>
        <v>0</v>
      </c>
      <c r="N107" s="24">
        <f>IF(N106&gt;0,ROUND(N106+M107-L107,2),0)</f>
        <v>0</v>
      </c>
      <c r="O107" s="24">
        <f>IF(Q106&gt;0,MIN(ROUND(O$6+IF(O$5=$C107,$E$5+$E107,0),2),ROUND(Q106+P107,2)),0)</f>
        <v>0</v>
      </c>
      <c r="P107" s="24">
        <f>IF(Q106&gt;0,ROUND(ROUND(Q106*100,0)*ROUND(O$7*10000,0)/12000000,0)/100,0)</f>
        <v>0</v>
      </c>
      <c r="Q107" s="24">
        <f>IF(Q106&gt;0,ROUND(Q106+P107-O107,2),0)</f>
        <v>0</v>
      </c>
      <c r="R107" s="24">
        <f>IF(T106&gt;0,MIN(ROUND(R$6+IF(R$5=$C107,$E$5+$E107,0),2),ROUND(T106+S107,2)),0)</f>
        <v>0</v>
      </c>
      <c r="S107" s="24">
        <f>IF(T106&gt;0,ROUND(ROUND(T106*100,0)*ROUND(R$7*10000,0)/12000000,0)/100,0)</f>
        <v>0</v>
      </c>
      <c r="T107" s="24">
        <f>IF(T106&gt;0,ROUND(T106+S107-R107,2),0)</f>
        <v>0</v>
      </c>
      <c r="U107" s="24">
        <f>IF(W106&gt;0,MIN(ROUND(U$6+IF(U$5=$C107,$E$5+$E107,0),2),ROUND(W106+V107,2)),0)</f>
        <v>0</v>
      </c>
      <c r="V107" s="24">
        <f>IF(W106&gt;0,ROUND(ROUND(W106*100,0)*ROUND(U$7*10000,0)/12000000,0)/100,0)</f>
        <v>0</v>
      </c>
      <c r="W107" s="24">
        <f>IF(W106&gt;0,ROUND(W106+V107-U107,2),0)</f>
        <v>0</v>
      </c>
      <c r="X107" s="24">
        <f>IF(Z106&gt;0,MIN(ROUND(X$6+IF(X$5=$C107,$E$5+$E107,0),2),ROUND(Z106+Y107,2)),0)</f>
        <v>0</v>
      </c>
      <c r="Y107" s="24">
        <f>IF(Z106&gt;0,ROUND(ROUND(Z106*100,0)*ROUND(X$7*10000,0)/12000000,0)/100,0)</f>
        <v>0</v>
      </c>
      <c r="Z107" s="24">
        <f>IF(Z106&gt;0,ROUND(Z106+Y107-X107,2),0)</f>
        <v>0</v>
      </c>
      <c r="AA107" s="24">
        <f>IF(AC106&gt;0,MIN(ROUND(AA$6+IF(AA$5=$C107,$E$5+$E107,0),2),ROUND(AC106+AB107,2)),0)</f>
        <v>0</v>
      </c>
      <c r="AB107" s="24">
        <f>IF(AC106&gt;0,ROUND(ROUND(AC106*100,0)*ROUND(AA$7*10000,0)/12000000,0)/100,0)</f>
        <v>0</v>
      </c>
      <c r="AC107" s="24">
        <f>IF(AC106&gt;0,ROUND(AC106+AB107-AA107,2),0)</f>
        <v>0</v>
      </c>
      <c r="AD107" s="24">
        <f>IF(AF106&gt;0,MIN(ROUND(AD$6+IF(AD$5=$C107,$E$5+$E107,0),2),ROUND(AF106+AE107,2)),0)</f>
        <v>0</v>
      </c>
      <c r="AE107" s="24">
        <f>IF(AF106&gt;0,ROUND(ROUND(AF106*100,0)*ROUND(AD$7*10000,0)/12000000,0)/100,0)</f>
        <v>0</v>
      </c>
      <c r="AF107" s="24">
        <f>IF(AF106&gt;0,ROUND(AF106+AE107-AD107,2),0)</f>
        <v>0</v>
      </c>
      <c r="AG107" s="24">
        <f>IF(AI106&gt;0,MIN(ROUND(AG$6+IF(AG$5=$C107,$E$5+$E107,0),2),ROUND(AI106+AH107,2)),0)</f>
        <v>0</v>
      </c>
      <c r="AH107" s="24">
        <f>IF(AI106&gt;0,ROUND(ROUND(AI106*100,0)*ROUND(AG$7*10000,0)/12000000,0)/100,0)</f>
        <v>0</v>
      </c>
      <c r="AI107" s="24">
        <f>IF(AI106&gt;0,ROUND(AI106+AH107-AG107,2),0)</f>
        <v>0</v>
      </c>
      <c r="AJ107" s="24">
        <f>IF(AL106&gt;0,MIN(ROUND(AJ$6+IF(AJ$5=$C107,$E$5+$E107,0),2),ROUND(AL106+AK107,2)),0)</f>
        <v>0</v>
      </c>
      <c r="AK107" s="24">
        <f>IF(AL106&gt;0,ROUND(ROUND(AL106*100,0)*ROUND(AJ$7*10000,0)/12000000,0)/100,0)</f>
        <v>0</v>
      </c>
      <c r="AL107" s="24">
        <f>IF(AL106&gt;0,ROUND(AL106+AK107-AJ107,2),0)</f>
        <v>0</v>
      </c>
    </row>
    <row r="108" spans="1:38" x14ac:dyDescent="0.25">
      <c r="A108" s="17" t="str">
        <f>IF(F108&gt;0,98,"")</f>
        <v/>
      </c>
      <c r="B108" s="18" t="str">
        <f>IF(F108&gt;0,EDATE($E$6,98),"")</f>
        <v/>
      </c>
      <c r="C108" s="21">
        <f>IF(H107&gt;0,MIN(IF(K107&gt;0,I$5,99),IF(N107&gt;0,L$5,99),IF(Q107&gt;0,O$5,99),IF(T107&gt;0,R$5,99),IF(W107&gt;0,U$5,99),IF(Z107&gt;0,X$5,99),IF(AC107&gt;0,AA$5,99),IF(AF107&gt;0,AD$5,99),IF(AI107&gt;0,AG$5,99),IF(AL107&gt;0,AJ$5,99)),0)</f>
        <v>0</v>
      </c>
      <c r="D108" t="str">
        <f>IF(C108&gt;0,INDEX($I$4:$AL$4,1,MATCH(C108,$I$5:$AL$5,0)),"")</f>
        <v/>
      </c>
      <c r="E108" s="24">
        <f>ROUND(IF(AND(I$8&gt;0,K107=0),I$6,0)+IF(AND(L$8&gt;0,N107=0),L$6,0)+IF(AND(O$8&gt;0,Q107=0),O$6,0)+IF(AND(R$8&gt;0,T107=0),R$6,0)+IF(AND(U$8&gt;0,W107=0),U$6,0)+IF(AND(X$8&gt;0,Z107=0),X$6,0)+IF(AND(AA$8&gt;0,AC107=0),AA$6,0)+IF(AND(AD$8&gt;0,AF107=0),AD$6,0)+IF(AND(AG$8&gt;0,AI107=0),AG$6,0)+IF(AND(AJ$8&gt;0,AL107=0),AJ$6,0),2)</f>
        <v>330</v>
      </c>
      <c r="F108" s="24">
        <f>ROUND(I108+L108+O108+R108+U108+X108+AA108+AD108+AG108+AJ108,2)</f>
        <v>0</v>
      </c>
      <c r="G108" s="24">
        <f>ROUND(J108+M108+P108+S108+V108+Y108+AB108+AE108+AH108+AK108,2)</f>
        <v>0</v>
      </c>
      <c r="H108" s="24">
        <f>ROUND(K108+N108+Q108+T108+W108+Z108+AC108+AF108+AI108+AL108,2)</f>
        <v>0</v>
      </c>
      <c r="I108" s="24">
        <f>IF(K107&gt;0,MIN(ROUND(I$6+IF(I$5=$C108,$E$5+$E108,0),2),ROUND(K107+J108,2)),0)</f>
        <v>0</v>
      </c>
      <c r="J108" s="24">
        <f>IF(K107&gt;0,ROUND(ROUND(K107*100,0)*ROUND(I$7*10000,0)/12000000,0)/100,0)</f>
        <v>0</v>
      </c>
      <c r="K108" s="24">
        <f>IF(K107&gt;0,ROUND(K107+J108-I108,2),0)</f>
        <v>0</v>
      </c>
      <c r="L108" s="24">
        <f>IF(N107&gt;0,MIN(ROUND(L$6+IF(L$5=$C108,$E$5+$E108,0),2),ROUND(N107+M108,2)),0)</f>
        <v>0</v>
      </c>
      <c r="M108" s="24">
        <f>IF(N107&gt;0,ROUND(ROUND(N107*100,0)*ROUND(L$7*10000,0)/12000000,0)/100,0)</f>
        <v>0</v>
      </c>
      <c r="N108" s="24">
        <f>IF(N107&gt;0,ROUND(N107+M108-L108,2),0)</f>
        <v>0</v>
      </c>
      <c r="O108" s="24">
        <f>IF(Q107&gt;0,MIN(ROUND(O$6+IF(O$5=$C108,$E$5+$E108,0),2),ROUND(Q107+P108,2)),0)</f>
        <v>0</v>
      </c>
      <c r="P108" s="24">
        <f>IF(Q107&gt;0,ROUND(ROUND(Q107*100,0)*ROUND(O$7*10000,0)/12000000,0)/100,0)</f>
        <v>0</v>
      </c>
      <c r="Q108" s="24">
        <f>IF(Q107&gt;0,ROUND(Q107+P108-O108,2),0)</f>
        <v>0</v>
      </c>
      <c r="R108" s="24">
        <f>IF(T107&gt;0,MIN(ROUND(R$6+IF(R$5=$C108,$E$5+$E108,0),2),ROUND(T107+S108,2)),0)</f>
        <v>0</v>
      </c>
      <c r="S108" s="24">
        <f>IF(T107&gt;0,ROUND(ROUND(T107*100,0)*ROUND(R$7*10000,0)/12000000,0)/100,0)</f>
        <v>0</v>
      </c>
      <c r="T108" s="24">
        <f>IF(T107&gt;0,ROUND(T107+S108-R108,2),0)</f>
        <v>0</v>
      </c>
      <c r="U108" s="24">
        <f>IF(W107&gt;0,MIN(ROUND(U$6+IF(U$5=$C108,$E$5+$E108,0),2),ROUND(W107+V108,2)),0)</f>
        <v>0</v>
      </c>
      <c r="V108" s="24">
        <f>IF(W107&gt;0,ROUND(ROUND(W107*100,0)*ROUND(U$7*10000,0)/12000000,0)/100,0)</f>
        <v>0</v>
      </c>
      <c r="W108" s="24">
        <f>IF(W107&gt;0,ROUND(W107+V108-U108,2),0)</f>
        <v>0</v>
      </c>
      <c r="X108" s="24">
        <f>IF(Z107&gt;0,MIN(ROUND(X$6+IF(X$5=$C108,$E$5+$E108,0),2),ROUND(Z107+Y108,2)),0)</f>
        <v>0</v>
      </c>
      <c r="Y108" s="24">
        <f>IF(Z107&gt;0,ROUND(ROUND(Z107*100,0)*ROUND(X$7*10000,0)/12000000,0)/100,0)</f>
        <v>0</v>
      </c>
      <c r="Z108" s="24">
        <f>IF(Z107&gt;0,ROUND(Z107+Y108-X108,2),0)</f>
        <v>0</v>
      </c>
      <c r="AA108" s="24">
        <f>IF(AC107&gt;0,MIN(ROUND(AA$6+IF(AA$5=$C108,$E$5+$E108,0),2),ROUND(AC107+AB108,2)),0)</f>
        <v>0</v>
      </c>
      <c r="AB108" s="24">
        <f>IF(AC107&gt;0,ROUND(ROUND(AC107*100,0)*ROUND(AA$7*10000,0)/12000000,0)/100,0)</f>
        <v>0</v>
      </c>
      <c r="AC108" s="24">
        <f>IF(AC107&gt;0,ROUND(AC107+AB108-AA108,2),0)</f>
        <v>0</v>
      </c>
      <c r="AD108" s="24">
        <f>IF(AF107&gt;0,MIN(ROUND(AD$6+IF(AD$5=$C108,$E$5+$E108,0),2),ROUND(AF107+AE108,2)),0)</f>
        <v>0</v>
      </c>
      <c r="AE108" s="24">
        <f>IF(AF107&gt;0,ROUND(ROUND(AF107*100,0)*ROUND(AD$7*10000,0)/12000000,0)/100,0)</f>
        <v>0</v>
      </c>
      <c r="AF108" s="24">
        <f>IF(AF107&gt;0,ROUND(AF107+AE108-AD108,2),0)</f>
        <v>0</v>
      </c>
      <c r="AG108" s="24">
        <f>IF(AI107&gt;0,MIN(ROUND(AG$6+IF(AG$5=$C108,$E$5+$E108,0),2),ROUND(AI107+AH108,2)),0)</f>
        <v>0</v>
      </c>
      <c r="AH108" s="24">
        <f>IF(AI107&gt;0,ROUND(ROUND(AI107*100,0)*ROUND(AG$7*10000,0)/12000000,0)/100,0)</f>
        <v>0</v>
      </c>
      <c r="AI108" s="24">
        <f>IF(AI107&gt;0,ROUND(AI107+AH108-AG108,2),0)</f>
        <v>0</v>
      </c>
      <c r="AJ108" s="24">
        <f>IF(AL107&gt;0,MIN(ROUND(AJ$6+IF(AJ$5=$C108,$E$5+$E108,0),2),ROUND(AL107+AK108,2)),0)</f>
        <v>0</v>
      </c>
      <c r="AK108" s="24">
        <f>IF(AL107&gt;0,ROUND(ROUND(AL107*100,0)*ROUND(AJ$7*10000,0)/12000000,0)/100,0)</f>
        <v>0</v>
      </c>
      <c r="AL108" s="24">
        <f>IF(AL107&gt;0,ROUND(AL107+AK108-AJ108,2),0)</f>
        <v>0</v>
      </c>
    </row>
    <row r="109" spans="1:38" x14ac:dyDescent="0.25">
      <c r="A109" s="17" t="str">
        <f>IF(F109&gt;0,99,"")</f>
        <v/>
      </c>
      <c r="B109" s="18" t="str">
        <f>IF(F109&gt;0,EDATE($E$6,99),"")</f>
        <v/>
      </c>
      <c r="C109" s="21">
        <f>IF(H108&gt;0,MIN(IF(K108&gt;0,I$5,99),IF(N108&gt;0,L$5,99),IF(Q108&gt;0,O$5,99),IF(T108&gt;0,R$5,99),IF(W108&gt;0,U$5,99),IF(Z108&gt;0,X$5,99),IF(AC108&gt;0,AA$5,99),IF(AF108&gt;0,AD$5,99),IF(AI108&gt;0,AG$5,99),IF(AL108&gt;0,AJ$5,99)),0)</f>
        <v>0</v>
      </c>
      <c r="D109" t="str">
        <f>IF(C109&gt;0,INDEX($I$4:$AL$4,1,MATCH(C109,$I$5:$AL$5,0)),"")</f>
        <v/>
      </c>
      <c r="E109" s="24">
        <f>ROUND(IF(AND(I$8&gt;0,K108=0),I$6,0)+IF(AND(L$8&gt;0,N108=0),L$6,0)+IF(AND(O$8&gt;0,Q108=0),O$6,0)+IF(AND(R$8&gt;0,T108=0),R$6,0)+IF(AND(U$8&gt;0,W108=0),U$6,0)+IF(AND(X$8&gt;0,Z108=0),X$6,0)+IF(AND(AA$8&gt;0,AC108=0),AA$6,0)+IF(AND(AD$8&gt;0,AF108=0),AD$6,0)+IF(AND(AG$8&gt;0,AI108=0),AG$6,0)+IF(AND(AJ$8&gt;0,AL108=0),AJ$6,0),2)</f>
        <v>330</v>
      </c>
      <c r="F109" s="24">
        <f>ROUND(I109+L109+O109+R109+U109+X109+AA109+AD109+AG109+AJ109,2)</f>
        <v>0</v>
      </c>
      <c r="G109" s="24">
        <f>ROUND(J109+M109+P109+S109+V109+Y109+AB109+AE109+AH109+AK109,2)</f>
        <v>0</v>
      </c>
      <c r="H109" s="24">
        <f>ROUND(K109+N109+Q109+T109+W109+Z109+AC109+AF109+AI109+AL109,2)</f>
        <v>0</v>
      </c>
      <c r="I109" s="24">
        <f>IF(K108&gt;0,MIN(ROUND(I$6+IF(I$5=$C109,$E$5+$E109,0),2),ROUND(K108+J109,2)),0)</f>
        <v>0</v>
      </c>
      <c r="J109" s="24">
        <f>IF(K108&gt;0,ROUND(ROUND(K108*100,0)*ROUND(I$7*10000,0)/12000000,0)/100,0)</f>
        <v>0</v>
      </c>
      <c r="K109" s="24">
        <f>IF(K108&gt;0,ROUND(K108+J109-I109,2),0)</f>
        <v>0</v>
      </c>
      <c r="L109" s="24">
        <f>IF(N108&gt;0,MIN(ROUND(L$6+IF(L$5=$C109,$E$5+$E109,0),2),ROUND(N108+M109,2)),0)</f>
        <v>0</v>
      </c>
      <c r="M109" s="24">
        <f>IF(N108&gt;0,ROUND(ROUND(N108*100,0)*ROUND(L$7*10000,0)/12000000,0)/100,0)</f>
        <v>0</v>
      </c>
      <c r="N109" s="24">
        <f>IF(N108&gt;0,ROUND(N108+M109-L109,2),0)</f>
        <v>0</v>
      </c>
      <c r="O109" s="24">
        <f>IF(Q108&gt;0,MIN(ROUND(O$6+IF(O$5=$C109,$E$5+$E109,0),2),ROUND(Q108+P109,2)),0)</f>
        <v>0</v>
      </c>
      <c r="P109" s="24">
        <f>IF(Q108&gt;0,ROUND(ROUND(Q108*100,0)*ROUND(O$7*10000,0)/12000000,0)/100,0)</f>
        <v>0</v>
      </c>
      <c r="Q109" s="24">
        <f>IF(Q108&gt;0,ROUND(Q108+P109-O109,2),0)</f>
        <v>0</v>
      </c>
      <c r="R109" s="24">
        <f>IF(T108&gt;0,MIN(ROUND(R$6+IF(R$5=$C109,$E$5+$E109,0),2),ROUND(T108+S109,2)),0)</f>
        <v>0</v>
      </c>
      <c r="S109" s="24">
        <f>IF(T108&gt;0,ROUND(ROUND(T108*100,0)*ROUND(R$7*10000,0)/12000000,0)/100,0)</f>
        <v>0</v>
      </c>
      <c r="T109" s="24">
        <f>IF(T108&gt;0,ROUND(T108+S109-R109,2),0)</f>
        <v>0</v>
      </c>
      <c r="U109" s="24">
        <f>IF(W108&gt;0,MIN(ROUND(U$6+IF(U$5=$C109,$E$5+$E109,0),2),ROUND(W108+V109,2)),0)</f>
        <v>0</v>
      </c>
      <c r="V109" s="24">
        <f>IF(W108&gt;0,ROUND(ROUND(W108*100,0)*ROUND(U$7*10000,0)/12000000,0)/100,0)</f>
        <v>0</v>
      </c>
      <c r="W109" s="24">
        <f>IF(W108&gt;0,ROUND(W108+V109-U109,2),0)</f>
        <v>0</v>
      </c>
      <c r="X109" s="24">
        <f>IF(Z108&gt;0,MIN(ROUND(X$6+IF(X$5=$C109,$E$5+$E109,0),2),ROUND(Z108+Y109,2)),0)</f>
        <v>0</v>
      </c>
      <c r="Y109" s="24">
        <f>IF(Z108&gt;0,ROUND(ROUND(Z108*100,0)*ROUND(X$7*10000,0)/12000000,0)/100,0)</f>
        <v>0</v>
      </c>
      <c r="Z109" s="24">
        <f>IF(Z108&gt;0,ROUND(Z108+Y109-X109,2),0)</f>
        <v>0</v>
      </c>
      <c r="AA109" s="24">
        <f>IF(AC108&gt;0,MIN(ROUND(AA$6+IF(AA$5=$C109,$E$5+$E109,0),2),ROUND(AC108+AB109,2)),0)</f>
        <v>0</v>
      </c>
      <c r="AB109" s="24">
        <f>IF(AC108&gt;0,ROUND(ROUND(AC108*100,0)*ROUND(AA$7*10000,0)/12000000,0)/100,0)</f>
        <v>0</v>
      </c>
      <c r="AC109" s="24">
        <f>IF(AC108&gt;0,ROUND(AC108+AB109-AA109,2),0)</f>
        <v>0</v>
      </c>
      <c r="AD109" s="24">
        <f>IF(AF108&gt;0,MIN(ROUND(AD$6+IF(AD$5=$C109,$E$5+$E109,0),2),ROUND(AF108+AE109,2)),0)</f>
        <v>0</v>
      </c>
      <c r="AE109" s="24">
        <f>IF(AF108&gt;0,ROUND(ROUND(AF108*100,0)*ROUND(AD$7*10000,0)/12000000,0)/100,0)</f>
        <v>0</v>
      </c>
      <c r="AF109" s="24">
        <f>IF(AF108&gt;0,ROUND(AF108+AE109-AD109,2),0)</f>
        <v>0</v>
      </c>
      <c r="AG109" s="24">
        <f>IF(AI108&gt;0,MIN(ROUND(AG$6+IF(AG$5=$C109,$E$5+$E109,0),2),ROUND(AI108+AH109,2)),0)</f>
        <v>0</v>
      </c>
      <c r="AH109" s="24">
        <f>IF(AI108&gt;0,ROUND(ROUND(AI108*100,0)*ROUND(AG$7*10000,0)/12000000,0)/100,0)</f>
        <v>0</v>
      </c>
      <c r="AI109" s="24">
        <f>IF(AI108&gt;0,ROUND(AI108+AH109-AG109,2),0)</f>
        <v>0</v>
      </c>
      <c r="AJ109" s="24">
        <f>IF(AL108&gt;0,MIN(ROUND(AJ$6+IF(AJ$5=$C109,$E$5+$E109,0),2),ROUND(AL108+AK109,2)),0)</f>
        <v>0</v>
      </c>
      <c r="AK109" s="24">
        <f>IF(AL108&gt;0,ROUND(ROUND(AL108*100,0)*ROUND(AJ$7*10000,0)/12000000,0)/100,0)</f>
        <v>0</v>
      </c>
      <c r="AL109" s="24">
        <f>IF(AL108&gt;0,ROUND(AL108+AK109-AJ109,2),0)</f>
        <v>0</v>
      </c>
    </row>
    <row r="110" spans="1:38" x14ac:dyDescent="0.25">
      <c r="A110" s="17" t="str">
        <f>IF(F110&gt;0,100,"")</f>
        <v/>
      </c>
      <c r="B110" s="18" t="str">
        <f>IF(F110&gt;0,EDATE($E$6,100),"")</f>
        <v/>
      </c>
      <c r="C110" s="21">
        <f>IF(H109&gt;0,MIN(IF(K109&gt;0,I$5,99),IF(N109&gt;0,L$5,99),IF(Q109&gt;0,O$5,99),IF(T109&gt;0,R$5,99),IF(W109&gt;0,U$5,99),IF(Z109&gt;0,X$5,99),IF(AC109&gt;0,AA$5,99),IF(AF109&gt;0,AD$5,99),IF(AI109&gt;0,AG$5,99),IF(AL109&gt;0,AJ$5,99)),0)</f>
        <v>0</v>
      </c>
      <c r="D110" t="str">
        <f>IF(C110&gt;0,INDEX($I$4:$AL$4,1,MATCH(C110,$I$5:$AL$5,0)),"")</f>
        <v/>
      </c>
      <c r="E110" s="24">
        <f>ROUND(IF(AND(I$8&gt;0,K109=0),I$6,0)+IF(AND(L$8&gt;0,N109=0),L$6,0)+IF(AND(O$8&gt;0,Q109=0),O$6,0)+IF(AND(R$8&gt;0,T109=0),R$6,0)+IF(AND(U$8&gt;0,W109=0),U$6,0)+IF(AND(X$8&gt;0,Z109=0),X$6,0)+IF(AND(AA$8&gt;0,AC109=0),AA$6,0)+IF(AND(AD$8&gt;0,AF109=0),AD$6,0)+IF(AND(AG$8&gt;0,AI109=0),AG$6,0)+IF(AND(AJ$8&gt;0,AL109=0),AJ$6,0),2)</f>
        <v>330</v>
      </c>
      <c r="F110" s="24">
        <f>ROUND(I110+L110+O110+R110+U110+X110+AA110+AD110+AG110+AJ110,2)</f>
        <v>0</v>
      </c>
      <c r="G110" s="24">
        <f>ROUND(J110+M110+P110+S110+V110+Y110+AB110+AE110+AH110+AK110,2)</f>
        <v>0</v>
      </c>
      <c r="H110" s="24">
        <f>ROUND(K110+N110+Q110+T110+W110+Z110+AC110+AF110+AI110+AL110,2)</f>
        <v>0</v>
      </c>
      <c r="I110" s="24">
        <f>IF(K109&gt;0,MIN(ROUND(I$6+IF(I$5=$C110,$E$5+$E110,0),2),ROUND(K109+J110,2)),0)</f>
        <v>0</v>
      </c>
      <c r="J110" s="24">
        <f>IF(K109&gt;0,ROUND(ROUND(K109*100,0)*ROUND(I$7*10000,0)/12000000,0)/100,0)</f>
        <v>0</v>
      </c>
      <c r="K110" s="24">
        <f>IF(K109&gt;0,ROUND(K109+J110-I110,2),0)</f>
        <v>0</v>
      </c>
      <c r="L110" s="24">
        <f>IF(N109&gt;0,MIN(ROUND(L$6+IF(L$5=$C110,$E$5+$E110,0),2),ROUND(N109+M110,2)),0)</f>
        <v>0</v>
      </c>
      <c r="M110" s="24">
        <f>IF(N109&gt;0,ROUND(ROUND(N109*100,0)*ROUND(L$7*10000,0)/12000000,0)/100,0)</f>
        <v>0</v>
      </c>
      <c r="N110" s="24">
        <f>IF(N109&gt;0,ROUND(N109+M110-L110,2),0)</f>
        <v>0</v>
      </c>
      <c r="O110" s="24">
        <f>IF(Q109&gt;0,MIN(ROUND(O$6+IF(O$5=$C110,$E$5+$E110,0),2),ROUND(Q109+P110,2)),0)</f>
        <v>0</v>
      </c>
      <c r="P110" s="24">
        <f>IF(Q109&gt;0,ROUND(ROUND(Q109*100,0)*ROUND(O$7*10000,0)/12000000,0)/100,0)</f>
        <v>0</v>
      </c>
      <c r="Q110" s="24">
        <f>IF(Q109&gt;0,ROUND(Q109+P110-O110,2),0)</f>
        <v>0</v>
      </c>
      <c r="R110" s="24">
        <f>IF(T109&gt;0,MIN(ROUND(R$6+IF(R$5=$C110,$E$5+$E110,0),2),ROUND(T109+S110,2)),0)</f>
        <v>0</v>
      </c>
      <c r="S110" s="24">
        <f>IF(T109&gt;0,ROUND(ROUND(T109*100,0)*ROUND(R$7*10000,0)/12000000,0)/100,0)</f>
        <v>0</v>
      </c>
      <c r="T110" s="24">
        <f>IF(T109&gt;0,ROUND(T109+S110-R110,2),0)</f>
        <v>0</v>
      </c>
      <c r="U110" s="24">
        <f>IF(W109&gt;0,MIN(ROUND(U$6+IF(U$5=$C110,$E$5+$E110,0),2),ROUND(W109+V110,2)),0)</f>
        <v>0</v>
      </c>
      <c r="V110" s="24">
        <f>IF(W109&gt;0,ROUND(ROUND(W109*100,0)*ROUND(U$7*10000,0)/12000000,0)/100,0)</f>
        <v>0</v>
      </c>
      <c r="W110" s="24">
        <f>IF(W109&gt;0,ROUND(W109+V110-U110,2),0)</f>
        <v>0</v>
      </c>
      <c r="X110" s="24">
        <f>IF(Z109&gt;0,MIN(ROUND(X$6+IF(X$5=$C110,$E$5+$E110,0),2),ROUND(Z109+Y110,2)),0)</f>
        <v>0</v>
      </c>
      <c r="Y110" s="24">
        <f>IF(Z109&gt;0,ROUND(ROUND(Z109*100,0)*ROUND(X$7*10000,0)/12000000,0)/100,0)</f>
        <v>0</v>
      </c>
      <c r="Z110" s="24">
        <f>IF(Z109&gt;0,ROUND(Z109+Y110-X110,2),0)</f>
        <v>0</v>
      </c>
      <c r="AA110" s="24">
        <f>IF(AC109&gt;0,MIN(ROUND(AA$6+IF(AA$5=$C110,$E$5+$E110,0),2),ROUND(AC109+AB110,2)),0)</f>
        <v>0</v>
      </c>
      <c r="AB110" s="24">
        <f>IF(AC109&gt;0,ROUND(ROUND(AC109*100,0)*ROUND(AA$7*10000,0)/12000000,0)/100,0)</f>
        <v>0</v>
      </c>
      <c r="AC110" s="24">
        <f>IF(AC109&gt;0,ROUND(AC109+AB110-AA110,2),0)</f>
        <v>0</v>
      </c>
      <c r="AD110" s="24">
        <f>IF(AF109&gt;0,MIN(ROUND(AD$6+IF(AD$5=$C110,$E$5+$E110,0),2),ROUND(AF109+AE110,2)),0)</f>
        <v>0</v>
      </c>
      <c r="AE110" s="24">
        <f>IF(AF109&gt;0,ROUND(ROUND(AF109*100,0)*ROUND(AD$7*10000,0)/12000000,0)/100,0)</f>
        <v>0</v>
      </c>
      <c r="AF110" s="24">
        <f>IF(AF109&gt;0,ROUND(AF109+AE110-AD110,2),0)</f>
        <v>0</v>
      </c>
      <c r="AG110" s="24">
        <f>IF(AI109&gt;0,MIN(ROUND(AG$6+IF(AG$5=$C110,$E$5+$E110,0),2),ROUND(AI109+AH110,2)),0)</f>
        <v>0</v>
      </c>
      <c r="AH110" s="24">
        <f>IF(AI109&gt;0,ROUND(ROUND(AI109*100,0)*ROUND(AG$7*10000,0)/12000000,0)/100,0)</f>
        <v>0</v>
      </c>
      <c r="AI110" s="24">
        <f>IF(AI109&gt;0,ROUND(AI109+AH110-AG110,2),0)</f>
        <v>0</v>
      </c>
      <c r="AJ110" s="24">
        <f>IF(AL109&gt;0,MIN(ROUND(AJ$6+IF(AJ$5=$C110,$E$5+$E110,0),2),ROUND(AL109+AK110,2)),0)</f>
        <v>0</v>
      </c>
      <c r="AK110" s="24">
        <f>IF(AL109&gt;0,ROUND(ROUND(AL109*100,0)*ROUND(AJ$7*10000,0)/12000000,0)/100,0)</f>
        <v>0</v>
      </c>
      <c r="AL110" s="24">
        <f>IF(AL109&gt;0,ROUND(AL109+AK110-AJ110,2),0)</f>
        <v>0</v>
      </c>
    </row>
    <row r="111" spans="1:38" x14ac:dyDescent="0.25">
      <c r="A111" s="17" t="str">
        <f>IF(F111&gt;0,101,"")</f>
        <v/>
      </c>
      <c r="B111" s="18" t="str">
        <f>IF(F111&gt;0,EDATE($E$6,101),"")</f>
        <v/>
      </c>
      <c r="C111" s="21">
        <f>IF(H110&gt;0,MIN(IF(K110&gt;0,I$5,99),IF(N110&gt;0,L$5,99),IF(Q110&gt;0,O$5,99),IF(T110&gt;0,R$5,99),IF(W110&gt;0,U$5,99),IF(Z110&gt;0,X$5,99),IF(AC110&gt;0,AA$5,99),IF(AF110&gt;0,AD$5,99),IF(AI110&gt;0,AG$5,99),IF(AL110&gt;0,AJ$5,99)),0)</f>
        <v>0</v>
      </c>
      <c r="D111" t="str">
        <f>IF(C111&gt;0,INDEX($I$4:$AL$4,1,MATCH(C111,$I$5:$AL$5,0)),"")</f>
        <v/>
      </c>
      <c r="E111" s="24">
        <f>ROUND(IF(AND(I$8&gt;0,K110=0),I$6,0)+IF(AND(L$8&gt;0,N110=0),L$6,0)+IF(AND(O$8&gt;0,Q110=0),O$6,0)+IF(AND(R$8&gt;0,T110=0),R$6,0)+IF(AND(U$8&gt;0,W110=0),U$6,0)+IF(AND(X$8&gt;0,Z110=0),X$6,0)+IF(AND(AA$8&gt;0,AC110=0),AA$6,0)+IF(AND(AD$8&gt;0,AF110=0),AD$6,0)+IF(AND(AG$8&gt;0,AI110=0),AG$6,0)+IF(AND(AJ$8&gt;0,AL110=0),AJ$6,0),2)</f>
        <v>330</v>
      </c>
      <c r="F111" s="24">
        <f>ROUND(I111+L111+O111+R111+U111+X111+AA111+AD111+AG111+AJ111,2)</f>
        <v>0</v>
      </c>
      <c r="G111" s="24">
        <f>ROUND(J111+M111+P111+S111+V111+Y111+AB111+AE111+AH111+AK111,2)</f>
        <v>0</v>
      </c>
      <c r="H111" s="24">
        <f>ROUND(K111+N111+Q111+T111+W111+Z111+AC111+AF111+AI111+AL111,2)</f>
        <v>0</v>
      </c>
      <c r="I111" s="24">
        <f>IF(K110&gt;0,MIN(ROUND(I$6+IF(I$5=$C111,$E$5+$E111,0),2),ROUND(K110+J111,2)),0)</f>
        <v>0</v>
      </c>
      <c r="J111" s="24">
        <f>IF(K110&gt;0,ROUND(ROUND(K110*100,0)*ROUND(I$7*10000,0)/12000000,0)/100,0)</f>
        <v>0</v>
      </c>
      <c r="K111" s="24">
        <f>IF(K110&gt;0,ROUND(K110+J111-I111,2),0)</f>
        <v>0</v>
      </c>
      <c r="L111" s="24">
        <f>IF(N110&gt;0,MIN(ROUND(L$6+IF(L$5=$C111,$E$5+$E111,0),2),ROUND(N110+M111,2)),0)</f>
        <v>0</v>
      </c>
      <c r="M111" s="24">
        <f>IF(N110&gt;0,ROUND(ROUND(N110*100,0)*ROUND(L$7*10000,0)/12000000,0)/100,0)</f>
        <v>0</v>
      </c>
      <c r="N111" s="24">
        <f>IF(N110&gt;0,ROUND(N110+M111-L111,2),0)</f>
        <v>0</v>
      </c>
      <c r="O111" s="24">
        <f>IF(Q110&gt;0,MIN(ROUND(O$6+IF(O$5=$C111,$E$5+$E111,0),2),ROUND(Q110+P111,2)),0)</f>
        <v>0</v>
      </c>
      <c r="P111" s="24">
        <f>IF(Q110&gt;0,ROUND(ROUND(Q110*100,0)*ROUND(O$7*10000,0)/12000000,0)/100,0)</f>
        <v>0</v>
      </c>
      <c r="Q111" s="24">
        <f>IF(Q110&gt;0,ROUND(Q110+P111-O111,2),0)</f>
        <v>0</v>
      </c>
      <c r="R111" s="24">
        <f>IF(T110&gt;0,MIN(ROUND(R$6+IF(R$5=$C111,$E$5+$E111,0),2),ROUND(T110+S111,2)),0)</f>
        <v>0</v>
      </c>
      <c r="S111" s="24">
        <f>IF(T110&gt;0,ROUND(ROUND(T110*100,0)*ROUND(R$7*10000,0)/12000000,0)/100,0)</f>
        <v>0</v>
      </c>
      <c r="T111" s="24">
        <f>IF(T110&gt;0,ROUND(T110+S111-R111,2),0)</f>
        <v>0</v>
      </c>
      <c r="U111" s="24">
        <f>IF(W110&gt;0,MIN(ROUND(U$6+IF(U$5=$C111,$E$5+$E111,0),2),ROUND(W110+V111,2)),0)</f>
        <v>0</v>
      </c>
      <c r="V111" s="24">
        <f>IF(W110&gt;0,ROUND(ROUND(W110*100,0)*ROUND(U$7*10000,0)/12000000,0)/100,0)</f>
        <v>0</v>
      </c>
      <c r="W111" s="24">
        <f>IF(W110&gt;0,ROUND(W110+V111-U111,2),0)</f>
        <v>0</v>
      </c>
      <c r="X111" s="24">
        <f>IF(Z110&gt;0,MIN(ROUND(X$6+IF(X$5=$C111,$E$5+$E111,0),2),ROUND(Z110+Y111,2)),0)</f>
        <v>0</v>
      </c>
      <c r="Y111" s="24">
        <f>IF(Z110&gt;0,ROUND(ROUND(Z110*100,0)*ROUND(X$7*10000,0)/12000000,0)/100,0)</f>
        <v>0</v>
      </c>
      <c r="Z111" s="24">
        <f>IF(Z110&gt;0,ROUND(Z110+Y111-X111,2),0)</f>
        <v>0</v>
      </c>
      <c r="AA111" s="24">
        <f>IF(AC110&gt;0,MIN(ROUND(AA$6+IF(AA$5=$C111,$E$5+$E111,0),2),ROUND(AC110+AB111,2)),0)</f>
        <v>0</v>
      </c>
      <c r="AB111" s="24">
        <f>IF(AC110&gt;0,ROUND(ROUND(AC110*100,0)*ROUND(AA$7*10000,0)/12000000,0)/100,0)</f>
        <v>0</v>
      </c>
      <c r="AC111" s="24">
        <f>IF(AC110&gt;0,ROUND(AC110+AB111-AA111,2),0)</f>
        <v>0</v>
      </c>
      <c r="AD111" s="24">
        <f>IF(AF110&gt;0,MIN(ROUND(AD$6+IF(AD$5=$C111,$E$5+$E111,0),2),ROUND(AF110+AE111,2)),0)</f>
        <v>0</v>
      </c>
      <c r="AE111" s="24">
        <f>IF(AF110&gt;0,ROUND(ROUND(AF110*100,0)*ROUND(AD$7*10000,0)/12000000,0)/100,0)</f>
        <v>0</v>
      </c>
      <c r="AF111" s="24">
        <f>IF(AF110&gt;0,ROUND(AF110+AE111-AD111,2),0)</f>
        <v>0</v>
      </c>
      <c r="AG111" s="24">
        <f>IF(AI110&gt;0,MIN(ROUND(AG$6+IF(AG$5=$C111,$E$5+$E111,0),2),ROUND(AI110+AH111,2)),0)</f>
        <v>0</v>
      </c>
      <c r="AH111" s="24">
        <f>IF(AI110&gt;0,ROUND(ROUND(AI110*100,0)*ROUND(AG$7*10000,0)/12000000,0)/100,0)</f>
        <v>0</v>
      </c>
      <c r="AI111" s="24">
        <f>IF(AI110&gt;0,ROUND(AI110+AH111-AG111,2),0)</f>
        <v>0</v>
      </c>
      <c r="AJ111" s="24">
        <f>IF(AL110&gt;0,MIN(ROUND(AJ$6+IF(AJ$5=$C111,$E$5+$E111,0),2),ROUND(AL110+AK111,2)),0)</f>
        <v>0</v>
      </c>
      <c r="AK111" s="24">
        <f>IF(AL110&gt;0,ROUND(ROUND(AL110*100,0)*ROUND(AJ$7*10000,0)/12000000,0)/100,0)</f>
        <v>0</v>
      </c>
      <c r="AL111" s="24">
        <f>IF(AL110&gt;0,ROUND(AL110+AK111-AJ111,2),0)</f>
        <v>0</v>
      </c>
    </row>
    <row r="112" spans="1:38" x14ac:dyDescent="0.25">
      <c r="A112" s="17" t="str">
        <f>IF(F112&gt;0,102,"")</f>
        <v/>
      </c>
      <c r="B112" s="18" t="str">
        <f>IF(F112&gt;0,EDATE($E$6,102),"")</f>
        <v/>
      </c>
      <c r="C112" s="21">
        <f>IF(H111&gt;0,MIN(IF(K111&gt;0,I$5,99),IF(N111&gt;0,L$5,99),IF(Q111&gt;0,O$5,99),IF(T111&gt;0,R$5,99),IF(W111&gt;0,U$5,99),IF(Z111&gt;0,X$5,99),IF(AC111&gt;0,AA$5,99),IF(AF111&gt;0,AD$5,99),IF(AI111&gt;0,AG$5,99),IF(AL111&gt;0,AJ$5,99)),0)</f>
        <v>0</v>
      </c>
      <c r="D112" t="str">
        <f>IF(C112&gt;0,INDEX($I$4:$AL$4,1,MATCH(C112,$I$5:$AL$5,0)),"")</f>
        <v/>
      </c>
      <c r="E112" s="24">
        <f>ROUND(IF(AND(I$8&gt;0,K111=0),I$6,0)+IF(AND(L$8&gt;0,N111=0),L$6,0)+IF(AND(O$8&gt;0,Q111=0),O$6,0)+IF(AND(R$8&gt;0,T111=0),R$6,0)+IF(AND(U$8&gt;0,W111=0),U$6,0)+IF(AND(X$8&gt;0,Z111=0),X$6,0)+IF(AND(AA$8&gt;0,AC111=0),AA$6,0)+IF(AND(AD$8&gt;0,AF111=0),AD$6,0)+IF(AND(AG$8&gt;0,AI111=0),AG$6,0)+IF(AND(AJ$8&gt;0,AL111=0),AJ$6,0),2)</f>
        <v>330</v>
      </c>
      <c r="F112" s="24">
        <f>ROUND(I112+L112+O112+R112+U112+X112+AA112+AD112+AG112+AJ112,2)</f>
        <v>0</v>
      </c>
      <c r="G112" s="24">
        <f>ROUND(J112+M112+P112+S112+V112+Y112+AB112+AE112+AH112+AK112,2)</f>
        <v>0</v>
      </c>
      <c r="H112" s="24">
        <f>ROUND(K112+N112+Q112+T112+W112+Z112+AC112+AF112+AI112+AL112,2)</f>
        <v>0</v>
      </c>
      <c r="I112" s="24">
        <f>IF(K111&gt;0,MIN(ROUND(I$6+IF(I$5=$C112,$E$5+$E112,0),2),ROUND(K111+J112,2)),0)</f>
        <v>0</v>
      </c>
      <c r="J112" s="24">
        <f>IF(K111&gt;0,ROUND(ROUND(K111*100,0)*ROUND(I$7*10000,0)/12000000,0)/100,0)</f>
        <v>0</v>
      </c>
      <c r="K112" s="24">
        <f>IF(K111&gt;0,ROUND(K111+J112-I112,2),0)</f>
        <v>0</v>
      </c>
      <c r="L112" s="24">
        <f>IF(N111&gt;0,MIN(ROUND(L$6+IF(L$5=$C112,$E$5+$E112,0),2),ROUND(N111+M112,2)),0)</f>
        <v>0</v>
      </c>
      <c r="M112" s="24">
        <f>IF(N111&gt;0,ROUND(ROUND(N111*100,0)*ROUND(L$7*10000,0)/12000000,0)/100,0)</f>
        <v>0</v>
      </c>
      <c r="N112" s="24">
        <f>IF(N111&gt;0,ROUND(N111+M112-L112,2),0)</f>
        <v>0</v>
      </c>
      <c r="O112" s="24">
        <f>IF(Q111&gt;0,MIN(ROUND(O$6+IF(O$5=$C112,$E$5+$E112,0),2),ROUND(Q111+P112,2)),0)</f>
        <v>0</v>
      </c>
      <c r="P112" s="24">
        <f>IF(Q111&gt;0,ROUND(ROUND(Q111*100,0)*ROUND(O$7*10000,0)/12000000,0)/100,0)</f>
        <v>0</v>
      </c>
      <c r="Q112" s="24">
        <f>IF(Q111&gt;0,ROUND(Q111+P112-O112,2),0)</f>
        <v>0</v>
      </c>
      <c r="R112" s="24">
        <f>IF(T111&gt;0,MIN(ROUND(R$6+IF(R$5=$C112,$E$5+$E112,0),2),ROUND(T111+S112,2)),0)</f>
        <v>0</v>
      </c>
      <c r="S112" s="24">
        <f>IF(T111&gt;0,ROUND(ROUND(T111*100,0)*ROUND(R$7*10000,0)/12000000,0)/100,0)</f>
        <v>0</v>
      </c>
      <c r="T112" s="24">
        <f>IF(T111&gt;0,ROUND(T111+S112-R112,2),0)</f>
        <v>0</v>
      </c>
      <c r="U112" s="24">
        <f>IF(W111&gt;0,MIN(ROUND(U$6+IF(U$5=$C112,$E$5+$E112,0),2),ROUND(W111+V112,2)),0)</f>
        <v>0</v>
      </c>
      <c r="V112" s="24">
        <f>IF(W111&gt;0,ROUND(ROUND(W111*100,0)*ROUND(U$7*10000,0)/12000000,0)/100,0)</f>
        <v>0</v>
      </c>
      <c r="W112" s="24">
        <f>IF(W111&gt;0,ROUND(W111+V112-U112,2),0)</f>
        <v>0</v>
      </c>
      <c r="X112" s="24">
        <f>IF(Z111&gt;0,MIN(ROUND(X$6+IF(X$5=$C112,$E$5+$E112,0),2),ROUND(Z111+Y112,2)),0)</f>
        <v>0</v>
      </c>
      <c r="Y112" s="24">
        <f>IF(Z111&gt;0,ROUND(ROUND(Z111*100,0)*ROUND(X$7*10000,0)/12000000,0)/100,0)</f>
        <v>0</v>
      </c>
      <c r="Z112" s="24">
        <f>IF(Z111&gt;0,ROUND(Z111+Y112-X112,2),0)</f>
        <v>0</v>
      </c>
      <c r="AA112" s="24">
        <f>IF(AC111&gt;0,MIN(ROUND(AA$6+IF(AA$5=$C112,$E$5+$E112,0),2),ROUND(AC111+AB112,2)),0)</f>
        <v>0</v>
      </c>
      <c r="AB112" s="24">
        <f>IF(AC111&gt;0,ROUND(ROUND(AC111*100,0)*ROUND(AA$7*10000,0)/12000000,0)/100,0)</f>
        <v>0</v>
      </c>
      <c r="AC112" s="24">
        <f>IF(AC111&gt;0,ROUND(AC111+AB112-AA112,2),0)</f>
        <v>0</v>
      </c>
      <c r="AD112" s="24">
        <f>IF(AF111&gt;0,MIN(ROUND(AD$6+IF(AD$5=$C112,$E$5+$E112,0),2),ROUND(AF111+AE112,2)),0)</f>
        <v>0</v>
      </c>
      <c r="AE112" s="24">
        <f>IF(AF111&gt;0,ROUND(ROUND(AF111*100,0)*ROUND(AD$7*10000,0)/12000000,0)/100,0)</f>
        <v>0</v>
      </c>
      <c r="AF112" s="24">
        <f>IF(AF111&gt;0,ROUND(AF111+AE112-AD112,2),0)</f>
        <v>0</v>
      </c>
      <c r="AG112" s="24">
        <f>IF(AI111&gt;0,MIN(ROUND(AG$6+IF(AG$5=$C112,$E$5+$E112,0),2),ROUND(AI111+AH112,2)),0)</f>
        <v>0</v>
      </c>
      <c r="AH112" s="24">
        <f>IF(AI111&gt;0,ROUND(ROUND(AI111*100,0)*ROUND(AG$7*10000,0)/12000000,0)/100,0)</f>
        <v>0</v>
      </c>
      <c r="AI112" s="24">
        <f>IF(AI111&gt;0,ROUND(AI111+AH112-AG112,2),0)</f>
        <v>0</v>
      </c>
      <c r="AJ112" s="24">
        <f>IF(AL111&gt;0,MIN(ROUND(AJ$6+IF(AJ$5=$C112,$E$5+$E112,0),2),ROUND(AL111+AK112,2)),0)</f>
        <v>0</v>
      </c>
      <c r="AK112" s="24">
        <f>IF(AL111&gt;0,ROUND(ROUND(AL111*100,0)*ROUND(AJ$7*10000,0)/12000000,0)/100,0)</f>
        <v>0</v>
      </c>
      <c r="AL112" s="24">
        <f>IF(AL111&gt;0,ROUND(AL111+AK112-AJ112,2),0)</f>
        <v>0</v>
      </c>
    </row>
    <row r="113" spans="1:38" x14ac:dyDescent="0.25">
      <c r="A113" s="17" t="str">
        <f>IF(F113&gt;0,103,"")</f>
        <v/>
      </c>
      <c r="B113" s="18" t="str">
        <f>IF(F113&gt;0,EDATE($E$6,103),"")</f>
        <v/>
      </c>
      <c r="C113" s="21">
        <f>IF(H112&gt;0,MIN(IF(K112&gt;0,I$5,99),IF(N112&gt;0,L$5,99),IF(Q112&gt;0,O$5,99),IF(T112&gt;0,R$5,99),IF(W112&gt;0,U$5,99),IF(Z112&gt;0,X$5,99),IF(AC112&gt;0,AA$5,99),IF(AF112&gt;0,AD$5,99),IF(AI112&gt;0,AG$5,99),IF(AL112&gt;0,AJ$5,99)),0)</f>
        <v>0</v>
      </c>
      <c r="D113" t="str">
        <f>IF(C113&gt;0,INDEX($I$4:$AL$4,1,MATCH(C113,$I$5:$AL$5,0)),"")</f>
        <v/>
      </c>
      <c r="E113" s="24">
        <f>ROUND(IF(AND(I$8&gt;0,K112=0),I$6,0)+IF(AND(L$8&gt;0,N112=0),L$6,0)+IF(AND(O$8&gt;0,Q112=0),O$6,0)+IF(AND(R$8&gt;0,T112=0),R$6,0)+IF(AND(U$8&gt;0,W112=0),U$6,0)+IF(AND(X$8&gt;0,Z112=0),X$6,0)+IF(AND(AA$8&gt;0,AC112=0),AA$6,0)+IF(AND(AD$8&gt;0,AF112=0),AD$6,0)+IF(AND(AG$8&gt;0,AI112=0),AG$6,0)+IF(AND(AJ$8&gt;0,AL112=0),AJ$6,0),2)</f>
        <v>330</v>
      </c>
      <c r="F113" s="24">
        <f>ROUND(I113+L113+O113+R113+U113+X113+AA113+AD113+AG113+AJ113,2)</f>
        <v>0</v>
      </c>
      <c r="G113" s="24">
        <f>ROUND(J113+M113+P113+S113+V113+Y113+AB113+AE113+AH113+AK113,2)</f>
        <v>0</v>
      </c>
      <c r="H113" s="24">
        <f>ROUND(K113+N113+Q113+T113+W113+Z113+AC113+AF113+AI113+AL113,2)</f>
        <v>0</v>
      </c>
      <c r="I113" s="24">
        <f>IF(K112&gt;0,MIN(ROUND(I$6+IF(I$5=$C113,$E$5+$E113,0),2),ROUND(K112+J113,2)),0)</f>
        <v>0</v>
      </c>
      <c r="J113" s="24">
        <f>IF(K112&gt;0,ROUND(ROUND(K112*100,0)*ROUND(I$7*10000,0)/12000000,0)/100,0)</f>
        <v>0</v>
      </c>
      <c r="K113" s="24">
        <f>IF(K112&gt;0,ROUND(K112+J113-I113,2),0)</f>
        <v>0</v>
      </c>
      <c r="L113" s="24">
        <f>IF(N112&gt;0,MIN(ROUND(L$6+IF(L$5=$C113,$E$5+$E113,0),2),ROUND(N112+M113,2)),0)</f>
        <v>0</v>
      </c>
      <c r="M113" s="24">
        <f>IF(N112&gt;0,ROUND(ROUND(N112*100,0)*ROUND(L$7*10000,0)/12000000,0)/100,0)</f>
        <v>0</v>
      </c>
      <c r="N113" s="24">
        <f>IF(N112&gt;0,ROUND(N112+M113-L113,2),0)</f>
        <v>0</v>
      </c>
      <c r="O113" s="24">
        <f>IF(Q112&gt;0,MIN(ROUND(O$6+IF(O$5=$C113,$E$5+$E113,0),2),ROUND(Q112+P113,2)),0)</f>
        <v>0</v>
      </c>
      <c r="P113" s="24">
        <f>IF(Q112&gt;0,ROUND(ROUND(Q112*100,0)*ROUND(O$7*10000,0)/12000000,0)/100,0)</f>
        <v>0</v>
      </c>
      <c r="Q113" s="24">
        <f>IF(Q112&gt;0,ROUND(Q112+P113-O113,2),0)</f>
        <v>0</v>
      </c>
      <c r="R113" s="24">
        <f>IF(T112&gt;0,MIN(ROUND(R$6+IF(R$5=$C113,$E$5+$E113,0),2),ROUND(T112+S113,2)),0)</f>
        <v>0</v>
      </c>
      <c r="S113" s="24">
        <f>IF(T112&gt;0,ROUND(ROUND(T112*100,0)*ROUND(R$7*10000,0)/12000000,0)/100,0)</f>
        <v>0</v>
      </c>
      <c r="T113" s="24">
        <f>IF(T112&gt;0,ROUND(T112+S113-R113,2),0)</f>
        <v>0</v>
      </c>
      <c r="U113" s="24">
        <f>IF(W112&gt;0,MIN(ROUND(U$6+IF(U$5=$C113,$E$5+$E113,0),2),ROUND(W112+V113,2)),0)</f>
        <v>0</v>
      </c>
      <c r="V113" s="24">
        <f>IF(W112&gt;0,ROUND(ROUND(W112*100,0)*ROUND(U$7*10000,0)/12000000,0)/100,0)</f>
        <v>0</v>
      </c>
      <c r="W113" s="24">
        <f>IF(W112&gt;0,ROUND(W112+V113-U113,2),0)</f>
        <v>0</v>
      </c>
      <c r="X113" s="24">
        <f>IF(Z112&gt;0,MIN(ROUND(X$6+IF(X$5=$C113,$E$5+$E113,0),2),ROUND(Z112+Y113,2)),0)</f>
        <v>0</v>
      </c>
      <c r="Y113" s="24">
        <f>IF(Z112&gt;0,ROUND(ROUND(Z112*100,0)*ROUND(X$7*10000,0)/12000000,0)/100,0)</f>
        <v>0</v>
      </c>
      <c r="Z113" s="24">
        <f>IF(Z112&gt;0,ROUND(Z112+Y113-X113,2),0)</f>
        <v>0</v>
      </c>
      <c r="AA113" s="24">
        <f>IF(AC112&gt;0,MIN(ROUND(AA$6+IF(AA$5=$C113,$E$5+$E113,0),2),ROUND(AC112+AB113,2)),0)</f>
        <v>0</v>
      </c>
      <c r="AB113" s="24">
        <f>IF(AC112&gt;0,ROUND(ROUND(AC112*100,0)*ROUND(AA$7*10000,0)/12000000,0)/100,0)</f>
        <v>0</v>
      </c>
      <c r="AC113" s="24">
        <f>IF(AC112&gt;0,ROUND(AC112+AB113-AA113,2),0)</f>
        <v>0</v>
      </c>
      <c r="AD113" s="24">
        <f>IF(AF112&gt;0,MIN(ROUND(AD$6+IF(AD$5=$C113,$E$5+$E113,0),2),ROUND(AF112+AE113,2)),0)</f>
        <v>0</v>
      </c>
      <c r="AE113" s="24">
        <f>IF(AF112&gt;0,ROUND(ROUND(AF112*100,0)*ROUND(AD$7*10000,0)/12000000,0)/100,0)</f>
        <v>0</v>
      </c>
      <c r="AF113" s="24">
        <f>IF(AF112&gt;0,ROUND(AF112+AE113-AD113,2),0)</f>
        <v>0</v>
      </c>
      <c r="AG113" s="24">
        <f>IF(AI112&gt;0,MIN(ROUND(AG$6+IF(AG$5=$C113,$E$5+$E113,0),2),ROUND(AI112+AH113,2)),0)</f>
        <v>0</v>
      </c>
      <c r="AH113" s="24">
        <f>IF(AI112&gt;0,ROUND(ROUND(AI112*100,0)*ROUND(AG$7*10000,0)/12000000,0)/100,0)</f>
        <v>0</v>
      </c>
      <c r="AI113" s="24">
        <f>IF(AI112&gt;0,ROUND(AI112+AH113-AG113,2),0)</f>
        <v>0</v>
      </c>
      <c r="AJ113" s="24">
        <f>IF(AL112&gt;0,MIN(ROUND(AJ$6+IF(AJ$5=$C113,$E$5+$E113,0),2),ROUND(AL112+AK113,2)),0)</f>
        <v>0</v>
      </c>
      <c r="AK113" s="24">
        <f>IF(AL112&gt;0,ROUND(ROUND(AL112*100,0)*ROUND(AJ$7*10000,0)/12000000,0)/100,0)</f>
        <v>0</v>
      </c>
      <c r="AL113" s="24">
        <f>IF(AL112&gt;0,ROUND(AL112+AK113-AJ113,2),0)</f>
        <v>0</v>
      </c>
    </row>
    <row r="114" spans="1:38" x14ac:dyDescent="0.25">
      <c r="A114" s="17" t="str">
        <f>IF(F114&gt;0,104,"")</f>
        <v/>
      </c>
      <c r="B114" s="18" t="str">
        <f>IF(F114&gt;0,EDATE($E$6,104),"")</f>
        <v/>
      </c>
      <c r="C114" s="21">
        <f>IF(H113&gt;0,MIN(IF(K113&gt;0,I$5,99),IF(N113&gt;0,L$5,99),IF(Q113&gt;0,O$5,99),IF(T113&gt;0,R$5,99),IF(W113&gt;0,U$5,99),IF(Z113&gt;0,X$5,99),IF(AC113&gt;0,AA$5,99),IF(AF113&gt;0,AD$5,99),IF(AI113&gt;0,AG$5,99),IF(AL113&gt;0,AJ$5,99)),0)</f>
        <v>0</v>
      </c>
      <c r="D114" t="str">
        <f>IF(C114&gt;0,INDEX($I$4:$AL$4,1,MATCH(C114,$I$5:$AL$5,0)),"")</f>
        <v/>
      </c>
      <c r="E114" s="24">
        <f>ROUND(IF(AND(I$8&gt;0,K113=0),I$6,0)+IF(AND(L$8&gt;0,N113=0),L$6,0)+IF(AND(O$8&gt;0,Q113=0),O$6,0)+IF(AND(R$8&gt;0,T113=0),R$6,0)+IF(AND(U$8&gt;0,W113=0),U$6,0)+IF(AND(X$8&gt;0,Z113=0),X$6,0)+IF(AND(AA$8&gt;0,AC113=0),AA$6,0)+IF(AND(AD$8&gt;0,AF113=0),AD$6,0)+IF(AND(AG$8&gt;0,AI113=0),AG$6,0)+IF(AND(AJ$8&gt;0,AL113=0),AJ$6,0),2)</f>
        <v>330</v>
      </c>
      <c r="F114" s="24">
        <f>ROUND(I114+L114+O114+R114+U114+X114+AA114+AD114+AG114+AJ114,2)</f>
        <v>0</v>
      </c>
      <c r="G114" s="24">
        <f>ROUND(J114+M114+P114+S114+V114+Y114+AB114+AE114+AH114+AK114,2)</f>
        <v>0</v>
      </c>
      <c r="H114" s="24">
        <f>ROUND(K114+N114+Q114+T114+W114+Z114+AC114+AF114+AI114+AL114,2)</f>
        <v>0</v>
      </c>
      <c r="I114" s="24">
        <f>IF(K113&gt;0,MIN(ROUND(I$6+IF(I$5=$C114,$E$5+$E114,0),2),ROUND(K113+J114,2)),0)</f>
        <v>0</v>
      </c>
      <c r="J114" s="24">
        <f>IF(K113&gt;0,ROUND(ROUND(K113*100,0)*ROUND(I$7*10000,0)/12000000,0)/100,0)</f>
        <v>0</v>
      </c>
      <c r="K114" s="24">
        <f>IF(K113&gt;0,ROUND(K113+J114-I114,2),0)</f>
        <v>0</v>
      </c>
      <c r="L114" s="24">
        <f>IF(N113&gt;0,MIN(ROUND(L$6+IF(L$5=$C114,$E$5+$E114,0),2),ROUND(N113+M114,2)),0)</f>
        <v>0</v>
      </c>
      <c r="M114" s="24">
        <f>IF(N113&gt;0,ROUND(ROUND(N113*100,0)*ROUND(L$7*10000,0)/12000000,0)/100,0)</f>
        <v>0</v>
      </c>
      <c r="N114" s="24">
        <f>IF(N113&gt;0,ROUND(N113+M114-L114,2),0)</f>
        <v>0</v>
      </c>
      <c r="O114" s="24">
        <f>IF(Q113&gt;0,MIN(ROUND(O$6+IF(O$5=$C114,$E$5+$E114,0),2),ROUND(Q113+P114,2)),0)</f>
        <v>0</v>
      </c>
      <c r="P114" s="24">
        <f>IF(Q113&gt;0,ROUND(ROUND(Q113*100,0)*ROUND(O$7*10000,0)/12000000,0)/100,0)</f>
        <v>0</v>
      </c>
      <c r="Q114" s="24">
        <f>IF(Q113&gt;0,ROUND(Q113+P114-O114,2),0)</f>
        <v>0</v>
      </c>
      <c r="R114" s="24">
        <f>IF(T113&gt;0,MIN(ROUND(R$6+IF(R$5=$C114,$E$5+$E114,0),2),ROUND(T113+S114,2)),0)</f>
        <v>0</v>
      </c>
      <c r="S114" s="24">
        <f>IF(T113&gt;0,ROUND(ROUND(T113*100,0)*ROUND(R$7*10000,0)/12000000,0)/100,0)</f>
        <v>0</v>
      </c>
      <c r="T114" s="24">
        <f>IF(T113&gt;0,ROUND(T113+S114-R114,2),0)</f>
        <v>0</v>
      </c>
      <c r="U114" s="24">
        <f>IF(W113&gt;0,MIN(ROUND(U$6+IF(U$5=$C114,$E$5+$E114,0),2),ROUND(W113+V114,2)),0)</f>
        <v>0</v>
      </c>
      <c r="V114" s="24">
        <f>IF(W113&gt;0,ROUND(ROUND(W113*100,0)*ROUND(U$7*10000,0)/12000000,0)/100,0)</f>
        <v>0</v>
      </c>
      <c r="W114" s="24">
        <f>IF(W113&gt;0,ROUND(W113+V114-U114,2),0)</f>
        <v>0</v>
      </c>
      <c r="X114" s="24">
        <f>IF(Z113&gt;0,MIN(ROUND(X$6+IF(X$5=$C114,$E$5+$E114,0),2),ROUND(Z113+Y114,2)),0)</f>
        <v>0</v>
      </c>
      <c r="Y114" s="24">
        <f>IF(Z113&gt;0,ROUND(ROUND(Z113*100,0)*ROUND(X$7*10000,0)/12000000,0)/100,0)</f>
        <v>0</v>
      </c>
      <c r="Z114" s="24">
        <f>IF(Z113&gt;0,ROUND(Z113+Y114-X114,2),0)</f>
        <v>0</v>
      </c>
      <c r="AA114" s="24">
        <f>IF(AC113&gt;0,MIN(ROUND(AA$6+IF(AA$5=$C114,$E$5+$E114,0),2),ROUND(AC113+AB114,2)),0)</f>
        <v>0</v>
      </c>
      <c r="AB114" s="24">
        <f>IF(AC113&gt;0,ROUND(ROUND(AC113*100,0)*ROUND(AA$7*10000,0)/12000000,0)/100,0)</f>
        <v>0</v>
      </c>
      <c r="AC114" s="24">
        <f>IF(AC113&gt;0,ROUND(AC113+AB114-AA114,2),0)</f>
        <v>0</v>
      </c>
      <c r="AD114" s="24">
        <f>IF(AF113&gt;0,MIN(ROUND(AD$6+IF(AD$5=$C114,$E$5+$E114,0),2),ROUND(AF113+AE114,2)),0)</f>
        <v>0</v>
      </c>
      <c r="AE114" s="24">
        <f>IF(AF113&gt;0,ROUND(ROUND(AF113*100,0)*ROUND(AD$7*10000,0)/12000000,0)/100,0)</f>
        <v>0</v>
      </c>
      <c r="AF114" s="24">
        <f>IF(AF113&gt;0,ROUND(AF113+AE114-AD114,2),0)</f>
        <v>0</v>
      </c>
      <c r="AG114" s="24">
        <f>IF(AI113&gt;0,MIN(ROUND(AG$6+IF(AG$5=$C114,$E$5+$E114,0),2),ROUND(AI113+AH114,2)),0)</f>
        <v>0</v>
      </c>
      <c r="AH114" s="24">
        <f>IF(AI113&gt;0,ROUND(ROUND(AI113*100,0)*ROUND(AG$7*10000,0)/12000000,0)/100,0)</f>
        <v>0</v>
      </c>
      <c r="AI114" s="24">
        <f>IF(AI113&gt;0,ROUND(AI113+AH114-AG114,2),0)</f>
        <v>0</v>
      </c>
      <c r="AJ114" s="24">
        <f>IF(AL113&gt;0,MIN(ROUND(AJ$6+IF(AJ$5=$C114,$E$5+$E114,0),2),ROUND(AL113+AK114,2)),0)</f>
        <v>0</v>
      </c>
      <c r="AK114" s="24">
        <f>IF(AL113&gt;0,ROUND(ROUND(AL113*100,0)*ROUND(AJ$7*10000,0)/12000000,0)/100,0)</f>
        <v>0</v>
      </c>
      <c r="AL114" s="24">
        <f>IF(AL113&gt;0,ROUND(AL113+AK114-AJ114,2),0)</f>
        <v>0</v>
      </c>
    </row>
    <row r="115" spans="1:38" x14ac:dyDescent="0.25">
      <c r="A115" s="17" t="str">
        <f>IF(F115&gt;0,105,"")</f>
        <v/>
      </c>
      <c r="B115" s="18" t="str">
        <f>IF(F115&gt;0,EDATE($E$6,105),"")</f>
        <v/>
      </c>
      <c r="C115" s="21">
        <f>IF(H114&gt;0,MIN(IF(K114&gt;0,I$5,99),IF(N114&gt;0,L$5,99),IF(Q114&gt;0,O$5,99),IF(T114&gt;0,R$5,99),IF(W114&gt;0,U$5,99),IF(Z114&gt;0,X$5,99),IF(AC114&gt;0,AA$5,99),IF(AF114&gt;0,AD$5,99),IF(AI114&gt;0,AG$5,99),IF(AL114&gt;0,AJ$5,99)),0)</f>
        <v>0</v>
      </c>
      <c r="D115" t="str">
        <f>IF(C115&gt;0,INDEX($I$4:$AL$4,1,MATCH(C115,$I$5:$AL$5,0)),"")</f>
        <v/>
      </c>
      <c r="E115" s="24">
        <f>ROUND(IF(AND(I$8&gt;0,K114=0),I$6,0)+IF(AND(L$8&gt;0,N114=0),L$6,0)+IF(AND(O$8&gt;0,Q114=0),O$6,0)+IF(AND(R$8&gt;0,T114=0),R$6,0)+IF(AND(U$8&gt;0,W114=0),U$6,0)+IF(AND(X$8&gt;0,Z114=0),X$6,0)+IF(AND(AA$8&gt;0,AC114=0),AA$6,0)+IF(AND(AD$8&gt;0,AF114=0),AD$6,0)+IF(AND(AG$8&gt;0,AI114=0),AG$6,0)+IF(AND(AJ$8&gt;0,AL114=0),AJ$6,0),2)</f>
        <v>330</v>
      </c>
      <c r="F115" s="24">
        <f>ROUND(I115+L115+O115+R115+U115+X115+AA115+AD115+AG115+AJ115,2)</f>
        <v>0</v>
      </c>
      <c r="G115" s="24">
        <f>ROUND(J115+M115+P115+S115+V115+Y115+AB115+AE115+AH115+AK115,2)</f>
        <v>0</v>
      </c>
      <c r="H115" s="24">
        <f>ROUND(K115+N115+Q115+T115+W115+Z115+AC115+AF115+AI115+AL115,2)</f>
        <v>0</v>
      </c>
      <c r="I115" s="24">
        <f>IF(K114&gt;0,MIN(ROUND(I$6+IF(I$5=$C115,$E$5+$E115,0),2),ROUND(K114+J115,2)),0)</f>
        <v>0</v>
      </c>
      <c r="J115" s="24">
        <f>IF(K114&gt;0,ROUND(ROUND(K114*100,0)*ROUND(I$7*10000,0)/12000000,0)/100,0)</f>
        <v>0</v>
      </c>
      <c r="K115" s="24">
        <f>IF(K114&gt;0,ROUND(K114+J115-I115,2),0)</f>
        <v>0</v>
      </c>
      <c r="L115" s="24">
        <f>IF(N114&gt;0,MIN(ROUND(L$6+IF(L$5=$C115,$E$5+$E115,0),2),ROUND(N114+M115,2)),0)</f>
        <v>0</v>
      </c>
      <c r="M115" s="24">
        <f>IF(N114&gt;0,ROUND(ROUND(N114*100,0)*ROUND(L$7*10000,0)/12000000,0)/100,0)</f>
        <v>0</v>
      </c>
      <c r="N115" s="24">
        <f>IF(N114&gt;0,ROUND(N114+M115-L115,2),0)</f>
        <v>0</v>
      </c>
      <c r="O115" s="24">
        <f>IF(Q114&gt;0,MIN(ROUND(O$6+IF(O$5=$C115,$E$5+$E115,0),2),ROUND(Q114+P115,2)),0)</f>
        <v>0</v>
      </c>
      <c r="P115" s="24">
        <f>IF(Q114&gt;0,ROUND(ROUND(Q114*100,0)*ROUND(O$7*10000,0)/12000000,0)/100,0)</f>
        <v>0</v>
      </c>
      <c r="Q115" s="24">
        <f>IF(Q114&gt;0,ROUND(Q114+P115-O115,2),0)</f>
        <v>0</v>
      </c>
      <c r="R115" s="24">
        <f>IF(T114&gt;0,MIN(ROUND(R$6+IF(R$5=$C115,$E$5+$E115,0),2),ROUND(T114+S115,2)),0)</f>
        <v>0</v>
      </c>
      <c r="S115" s="24">
        <f>IF(T114&gt;0,ROUND(ROUND(T114*100,0)*ROUND(R$7*10000,0)/12000000,0)/100,0)</f>
        <v>0</v>
      </c>
      <c r="T115" s="24">
        <f>IF(T114&gt;0,ROUND(T114+S115-R115,2),0)</f>
        <v>0</v>
      </c>
      <c r="U115" s="24">
        <f>IF(W114&gt;0,MIN(ROUND(U$6+IF(U$5=$C115,$E$5+$E115,0),2),ROUND(W114+V115,2)),0)</f>
        <v>0</v>
      </c>
      <c r="V115" s="24">
        <f>IF(W114&gt;0,ROUND(ROUND(W114*100,0)*ROUND(U$7*10000,0)/12000000,0)/100,0)</f>
        <v>0</v>
      </c>
      <c r="W115" s="24">
        <f>IF(W114&gt;0,ROUND(W114+V115-U115,2),0)</f>
        <v>0</v>
      </c>
      <c r="X115" s="24">
        <f>IF(Z114&gt;0,MIN(ROUND(X$6+IF(X$5=$C115,$E$5+$E115,0),2),ROUND(Z114+Y115,2)),0)</f>
        <v>0</v>
      </c>
      <c r="Y115" s="24">
        <f>IF(Z114&gt;0,ROUND(ROUND(Z114*100,0)*ROUND(X$7*10000,0)/12000000,0)/100,0)</f>
        <v>0</v>
      </c>
      <c r="Z115" s="24">
        <f>IF(Z114&gt;0,ROUND(Z114+Y115-X115,2),0)</f>
        <v>0</v>
      </c>
      <c r="AA115" s="24">
        <f>IF(AC114&gt;0,MIN(ROUND(AA$6+IF(AA$5=$C115,$E$5+$E115,0),2),ROUND(AC114+AB115,2)),0)</f>
        <v>0</v>
      </c>
      <c r="AB115" s="24">
        <f>IF(AC114&gt;0,ROUND(ROUND(AC114*100,0)*ROUND(AA$7*10000,0)/12000000,0)/100,0)</f>
        <v>0</v>
      </c>
      <c r="AC115" s="24">
        <f>IF(AC114&gt;0,ROUND(AC114+AB115-AA115,2),0)</f>
        <v>0</v>
      </c>
      <c r="AD115" s="24">
        <f>IF(AF114&gt;0,MIN(ROUND(AD$6+IF(AD$5=$C115,$E$5+$E115,0),2),ROUND(AF114+AE115,2)),0)</f>
        <v>0</v>
      </c>
      <c r="AE115" s="24">
        <f>IF(AF114&gt;0,ROUND(ROUND(AF114*100,0)*ROUND(AD$7*10000,0)/12000000,0)/100,0)</f>
        <v>0</v>
      </c>
      <c r="AF115" s="24">
        <f>IF(AF114&gt;0,ROUND(AF114+AE115-AD115,2),0)</f>
        <v>0</v>
      </c>
      <c r="AG115" s="24">
        <f>IF(AI114&gt;0,MIN(ROUND(AG$6+IF(AG$5=$C115,$E$5+$E115,0),2),ROUND(AI114+AH115,2)),0)</f>
        <v>0</v>
      </c>
      <c r="AH115" s="24">
        <f>IF(AI114&gt;0,ROUND(ROUND(AI114*100,0)*ROUND(AG$7*10000,0)/12000000,0)/100,0)</f>
        <v>0</v>
      </c>
      <c r="AI115" s="24">
        <f>IF(AI114&gt;0,ROUND(AI114+AH115-AG115,2),0)</f>
        <v>0</v>
      </c>
      <c r="AJ115" s="24">
        <f>IF(AL114&gt;0,MIN(ROUND(AJ$6+IF(AJ$5=$C115,$E$5+$E115,0),2),ROUND(AL114+AK115,2)),0)</f>
        <v>0</v>
      </c>
      <c r="AK115" s="24">
        <f>IF(AL114&gt;0,ROUND(ROUND(AL114*100,0)*ROUND(AJ$7*10000,0)/12000000,0)/100,0)</f>
        <v>0</v>
      </c>
      <c r="AL115" s="24">
        <f>IF(AL114&gt;0,ROUND(AL114+AK115-AJ115,2),0)</f>
        <v>0</v>
      </c>
    </row>
    <row r="116" spans="1:38" x14ac:dyDescent="0.25">
      <c r="A116" s="17" t="str">
        <f>IF(F116&gt;0,106,"")</f>
        <v/>
      </c>
      <c r="B116" s="18" t="str">
        <f>IF(F116&gt;0,EDATE($E$6,106),"")</f>
        <v/>
      </c>
      <c r="C116" s="21">
        <f>IF(H115&gt;0,MIN(IF(K115&gt;0,I$5,99),IF(N115&gt;0,L$5,99),IF(Q115&gt;0,O$5,99),IF(T115&gt;0,R$5,99),IF(W115&gt;0,U$5,99),IF(Z115&gt;0,X$5,99),IF(AC115&gt;0,AA$5,99),IF(AF115&gt;0,AD$5,99),IF(AI115&gt;0,AG$5,99),IF(AL115&gt;0,AJ$5,99)),0)</f>
        <v>0</v>
      </c>
      <c r="D116" t="str">
        <f>IF(C116&gt;0,INDEX($I$4:$AL$4,1,MATCH(C116,$I$5:$AL$5,0)),"")</f>
        <v/>
      </c>
      <c r="E116" s="24">
        <f>ROUND(IF(AND(I$8&gt;0,K115=0),I$6,0)+IF(AND(L$8&gt;0,N115=0),L$6,0)+IF(AND(O$8&gt;0,Q115=0),O$6,0)+IF(AND(R$8&gt;0,T115=0),R$6,0)+IF(AND(U$8&gt;0,W115=0),U$6,0)+IF(AND(X$8&gt;0,Z115=0),X$6,0)+IF(AND(AA$8&gt;0,AC115=0),AA$6,0)+IF(AND(AD$8&gt;0,AF115=0),AD$6,0)+IF(AND(AG$8&gt;0,AI115=0),AG$6,0)+IF(AND(AJ$8&gt;0,AL115=0),AJ$6,0),2)</f>
        <v>330</v>
      </c>
      <c r="F116" s="24">
        <f>ROUND(I116+L116+O116+R116+U116+X116+AA116+AD116+AG116+AJ116,2)</f>
        <v>0</v>
      </c>
      <c r="G116" s="24">
        <f>ROUND(J116+M116+P116+S116+V116+Y116+AB116+AE116+AH116+AK116,2)</f>
        <v>0</v>
      </c>
      <c r="H116" s="24">
        <f>ROUND(K116+N116+Q116+T116+W116+Z116+AC116+AF116+AI116+AL116,2)</f>
        <v>0</v>
      </c>
      <c r="I116" s="24">
        <f>IF(K115&gt;0,MIN(ROUND(I$6+IF(I$5=$C116,$E$5+$E116,0),2),ROUND(K115+J116,2)),0)</f>
        <v>0</v>
      </c>
      <c r="J116" s="24">
        <f>IF(K115&gt;0,ROUND(ROUND(K115*100,0)*ROUND(I$7*10000,0)/12000000,0)/100,0)</f>
        <v>0</v>
      </c>
      <c r="K116" s="24">
        <f>IF(K115&gt;0,ROUND(K115+J116-I116,2),0)</f>
        <v>0</v>
      </c>
      <c r="L116" s="24">
        <f>IF(N115&gt;0,MIN(ROUND(L$6+IF(L$5=$C116,$E$5+$E116,0),2),ROUND(N115+M116,2)),0)</f>
        <v>0</v>
      </c>
      <c r="M116" s="24">
        <f>IF(N115&gt;0,ROUND(ROUND(N115*100,0)*ROUND(L$7*10000,0)/12000000,0)/100,0)</f>
        <v>0</v>
      </c>
      <c r="N116" s="24">
        <f>IF(N115&gt;0,ROUND(N115+M116-L116,2),0)</f>
        <v>0</v>
      </c>
      <c r="O116" s="24">
        <f>IF(Q115&gt;0,MIN(ROUND(O$6+IF(O$5=$C116,$E$5+$E116,0),2),ROUND(Q115+P116,2)),0)</f>
        <v>0</v>
      </c>
      <c r="P116" s="24">
        <f>IF(Q115&gt;0,ROUND(ROUND(Q115*100,0)*ROUND(O$7*10000,0)/12000000,0)/100,0)</f>
        <v>0</v>
      </c>
      <c r="Q116" s="24">
        <f>IF(Q115&gt;0,ROUND(Q115+P116-O116,2),0)</f>
        <v>0</v>
      </c>
      <c r="R116" s="24">
        <f>IF(T115&gt;0,MIN(ROUND(R$6+IF(R$5=$C116,$E$5+$E116,0),2),ROUND(T115+S116,2)),0)</f>
        <v>0</v>
      </c>
      <c r="S116" s="24">
        <f>IF(T115&gt;0,ROUND(ROUND(T115*100,0)*ROUND(R$7*10000,0)/12000000,0)/100,0)</f>
        <v>0</v>
      </c>
      <c r="T116" s="24">
        <f>IF(T115&gt;0,ROUND(T115+S116-R116,2),0)</f>
        <v>0</v>
      </c>
      <c r="U116" s="24">
        <f>IF(W115&gt;0,MIN(ROUND(U$6+IF(U$5=$C116,$E$5+$E116,0),2),ROUND(W115+V116,2)),0)</f>
        <v>0</v>
      </c>
      <c r="V116" s="24">
        <f>IF(W115&gt;0,ROUND(ROUND(W115*100,0)*ROUND(U$7*10000,0)/12000000,0)/100,0)</f>
        <v>0</v>
      </c>
      <c r="W116" s="24">
        <f>IF(W115&gt;0,ROUND(W115+V116-U116,2),0)</f>
        <v>0</v>
      </c>
      <c r="X116" s="24">
        <f>IF(Z115&gt;0,MIN(ROUND(X$6+IF(X$5=$C116,$E$5+$E116,0),2),ROUND(Z115+Y116,2)),0)</f>
        <v>0</v>
      </c>
      <c r="Y116" s="24">
        <f>IF(Z115&gt;0,ROUND(ROUND(Z115*100,0)*ROUND(X$7*10000,0)/12000000,0)/100,0)</f>
        <v>0</v>
      </c>
      <c r="Z116" s="24">
        <f>IF(Z115&gt;0,ROUND(Z115+Y116-X116,2),0)</f>
        <v>0</v>
      </c>
      <c r="AA116" s="24">
        <f>IF(AC115&gt;0,MIN(ROUND(AA$6+IF(AA$5=$C116,$E$5+$E116,0),2),ROUND(AC115+AB116,2)),0)</f>
        <v>0</v>
      </c>
      <c r="AB116" s="24">
        <f>IF(AC115&gt;0,ROUND(ROUND(AC115*100,0)*ROUND(AA$7*10000,0)/12000000,0)/100,0)</f>
        <v>0</v>
      </c>
      <c r="AC116" s="24">
        <f>IF(AC115&gt;0,ROUND(AC115+AB116-AA116,2),0)</f>
        <v>0</v>
      </c>
      <c r="AD116" s="24">
        <f>IF(AF115&gt;0,MIN(ROUND(AD$6+IF(AD$5=$C116,$E$5+$E116,0),2),ROUND(AF115+AE116,2)),0)</f>
        <v>0</v>
      </c>
      <c r="AE116" s="24">
        <f>IF(AF115&gt;0,ROUND(ROUND(AF115*100,0)*ROUND(AD$7*10000,0)/12000000,0)/100,0)</f>
        <v>0</v>
      </c>
      <c r="AF116" s="24">
        <f>IF(AF115&gt;0,ROUND(AF115+AE116-AD116,2),0)</f>
        <v>0</v>
      </c>
      <c r="AG116" s="24">
        <f>IF(AI115&gt;0,MIN(ROUND(AG$6+IF(AG$5=$C116,$E$5+$E116,0),2),ROUND(AI115+AH116,2)),0)</f>
        <v>0</v>
      </c>
      <c r="AH116" s="24">
        <f>IF(AI115&gt;0,ROUND(ROUND(AI115*100,0)*ROUND(AG$7*10000,0)/12000000,0)/100,0)</f>
        <v>0</v>
      </c>
      <c r="AI116" s="24">
        <f>IF(AI115&gt;0,ROUND(AI115+AH116-AG116,2),0)</f>
        <v>0</v>
      </c>
      <c r="AJ116" s="24">
        <f>IF(AL115&gt;0,MIN(ROUND(AJ$6+IF(AJ$5=$C116,$E$5+$E116,0),2),ROUND(AL115+AK116,2)),0)</f>
        <v>0</v>
      </c>
      <c r="AK116" s="24">
        <f>IF(AL115&gt;0,ROUND(ROUND(AL115*100,0)*ROUND(AJ$7*10000,0)/12000000,0)/100,0)</f>
        <v>0</v>
      </c>
      <c r="AL116" s="24">
        <f>IF(AL115&gt;0,ROUND(AL115+AK116-AJ116,2),0)</f>
        <v>0</v>
      </c>
    </row>
    <row r="117" spans="1:38" x14ac:dyDescent="0.25">
      <c r="A117" s="17" t="str">
        <f>IF(F117&gt;0,107,"")</f>
        <v/>
      </c>
      <c r="B117" s="18" t="str">
        <f>IF(F117&gt;0,EDATE($E$6,107),"")</f>
        <v/>
      </c>
      <c r="C117" s="21">
        <f>IF(H116&gt;0,MIN(IF(K116&gt;0,I$5,99),IF(N116&gt;0,L$5,99),IF(Q116&gt;0,O$5,99),IF(T116&gt;0,R$5,99),IF(W116&gt;0,U$5,99),IF(Z116&gt;0,X$5,99),IF(AC116&gt;0,AA$5,99),IF(AF116&gt;0,AD$5,99),IF(AI116&gt;0,AG$5,99),IF(AL116&gt;0,AJ$5,99)),0)</f>
        <v>0</v>
      </c>
      <c r="D117" t="str">
        <f>IF(C117&gt;0,INDEX($I$4:$AL$4,1,MATCH(C117,$I$5:$AL$5,0)),"")</f>
        <v/>
      </c>
      <c r="E117" s="24">
        <f>ROUND(IF(AND(I$8&gt;0,K116=0),I$6,0)+IF(AND(L$8&gt;0,N116=0),L$6,0)+IF(AND(O$8&gt;0,Q116=0),O$6,0)+IF(AND(R$8&gt;0,T116=0),R$6,0)+IF(AND(U$8&gt;0,W116=0),U$6,0)+IF(AND(X$8&gt;0,Z116=0),X$6,0)+IF(AND(AA$8&gt;0,AC116=0),AA$6,0)+IF(AND(AD$8&gt;0,AF116=0),AD$6,0)+IF(AND(AG$8&gt;0,AI116=0),AG$6,0)+IF(AND(AJ$8&gt;0,AL116=0),AJ$6,0),2)</f>
        <v>330</v>
      </c>
      <c r="F117" s="24">
        <f>ROUND(I117+L117+O117+R117+U117+X117+AA117+AD117+AG117+AJ117,2)</f>
        <v>0</v>
      </c>
      <c r="G117" s="24">
        <f>ROUND(J117+M117+P117+S117+V117+Y117+AB117+AE117+AH117+AK117,2)</f>
        <v>0</v>
      </c>
      <c r="H117" s="24">
        <f>ROUND(K117+N117+Q117+T117+W117+Z117+AC117+AF117+AI117+AL117,2)</f>
        <v>0</v>
      </c>
      <c r="I117" s="24">
        <f>IF(K116&gt;0,MIN(ROUND(I$6+IF(I$5=$C117,$E$5+$E117,0),2),ROUND(K116+J117,2)),0)</f>
        <v>0</v>
      </c>
      <c r="J117" s="24">
        <f>IF(K116&gt;0,ROUND(ROUND(K116*100,0)*ROUND(I$7*10000,0)/12000000,0)/100,0)</f>
        <v>0</v>
      </c>
      <c r="K117" s="24">
        <f>IF(K116&gt;0,ROUND(K116+J117-I117,2),0)</f>
        <v>0</v>
      </c>
      <c r="L117" s="24">
        <f>IF(N116&gt;0,MIN(ROUND(L$6+IF(L$5=$C117,$E$5+$E117,0),2),ROUND(N116+M117,2)),0)</f>
        <v>0</v>
      </c>
      <c r="M117" s="24">
        <f>IF(N116&gt;0,ROUND(ROUND(N116*100,0)*ROUND(L$7*10000,0)/12000000,0)/100,0)</f>
        <v>0</v>
      </c>
      <c r="N117" s="24">
        <f>IF(N116&gt;0,ROUND(N116+M117-L117,2),0)</f>
        <v>0</v>
      </c>
      <c r="O117" s="24">
        <f>IF(Q116&gt;0,MIN(ROUND(O$6+IF(O$5=$C117,$E$5+$E117,0),2),ROUND(Q116+P117,2)),0)</f>
        <v>0</v>
      </c>
      <c r="P117" s="24">
        <f>IF(Q116&gt;0,ROUND(ROUND(Q116*100,0)*ROUND(O$7*10000,0)/12000000,0)/100,0)</f>
        <v>0</v>
      </c>
      <c r="Q117" s="24">
        <f>IF(Q116&gt;0,ROUND(Q116+P117-O117,2),0)</f>
        <v>0</v>
      </c>
      <c r="R117" s="24">
        <f>IF(T116&gt;0,MIN(ROUND(R$6+IF(R$5=$C117,$E$5+$E117,0),2),ROUND(T116+S117,2)),0)</f>
        <v>0</v>
      </c>
      <c r="S117" s="24">
        <f>IF(T116&gt;0,ROUND(ROUND(T116*100,0)*ROUND(R$7*10000,0)/12000000,0)/100,0)</f>
        <v>0</v>
      </c>
      <c r="T117" s="24">
        <f>IF(T116&gt;0,ROUND(T116+S117-R117,2),0)</f>
        <v>0</v>
      </c>
      <c r="U117" s="24">
        <f>IF(W116&gt;0,MIN(ROUND(U$6+IF(U$5=$C117,$E$5+$E117,0),2),ROUND(W116+V117,2)),0)</f>
        <v>0</v>
      </c>
      <c r="V117" s="24">
        <f>IF(W116&gt;0,ROUND(ROUND(W116*100,0)*ROUND(U$7*10000,0)/12000000,0)/100,0)</f>
        <v>0</v>
      </c>
      <c r="W117" s="24">
        <f>IF(W116&gt;0,ROUND(W116+V117-U117,2),0)</f>
        <v>0</v>
      </c>
      <c r="X117" s="24">
        <f>IF(Z116&gt;0,MIN(ROUND(X$6+IF(X$5=$C117,$E$5+$E117,0),2),ROUND(Z116+Y117,2)),0)</f>
        <v>0</v>
      </c>
      <c r="Y117" s="24">
        <f>IF(Z116&gt;0,ROUND(ROUND(Z116*100,0)*ROUND(X$7*10000,0)/12000000,0)/100,0)</f>
        <v>0</v>
      </c>
      <c r="Z117" s="24">
        <f>IF(Z116&gt;0,ROUND(Z116+Y117-X117,2),0)</f>
        <v>0</v>
      </c>
      <c r="AA117" s="24">
        <f>IF(AC116&gt;0,MIN(ROUND(AA$6+IF(AA$5=$C117,$E$5+$E117,0),2),ROUND(AC116+AB117,2)),0)</f>
        <v>0</v>
      </c>
      <c r="AB117" s="24">
        <f>IF(AC116&gt;0,ROUND(ROUND(AC116*100,0)*ROUND(AA$7*10000,0)/12000000,0)/100,0)</f>
        <v>0</v>
      </c>
      <c r="AC117" s="24">
        <f>IF(AC116&gt;0,ROUND(AC116+AB117-AA117,2),0)</f>
        <v>0</v>
      </c>
      <c r="AD117" s="24">
        <f>IF(AF116&gt;0,MIN(ROUND(AD$6+IF(AD$5=$C117,$E$5+$E117,0),2),ROUND(AF116+AE117,2)),0)</f>
        <v>0</v>
      </c>
      <c r="AE117" s="24">
        <f>IF(AF116&gt;0,ROUND(ROUND(AF116*100,0)*ROUND(AD$7*10000,0)/12000000,0)/100,0)</f>
        <v>0</v>
      </c>
      <c r="AF117" s="24">
        <f>IF(AF116&gt;0,ROUND(AF116+AE117-AD117,2),0)</f>
        <v>0</v>
      </c>
      <c r="AG117" s="24">
        <f>IF(AI116&gt;0,MIN(ROUND(AG$6+IF(AG$5=$C117,$E$5+$E117,0),2),ROUND(AI116+AH117,2)),0)</f>
        <v>0</v>
      </c>
      <c r="AH117" s="24">
        <f>IF(AI116&gt;0,ROUND(ROUND(AI116*100,0)*ROUND(AG$7*10000,0)/12000000,0)/100,0)</f>
        <v>0</v>
      </c>
      <c r="AI117" s="24">
        <f>IF(AI116&gt;0,ROUND(AI116+AH117-AG117,2),0)</f>
        <v>0</v>
      </c>
      <c r="AJ117" s="24">
        <f>IF(AL116&gt;0,MIN(ROUND(AJ$6+IF(AJ$5=$C117,$E$5+$E117,0),2),ROUND(AL116+AK117,2)),0)</f>
        <v>0</v>
      </c>
      <c r="AK117" s="24">
        <f>IF(AL116&gt;0,ROUND(ROUND(AL116*100,0)*ROUND(AJ$7*10000,0)/12000000,0)/100,0)</f>
        <v>0</v>
      </c>
      <c r="AL117" s="24">
        <f>IF(AL116&gt;0,ROUND(AL116+AK117-AJ117,2),0)</f>
        <v>0</v>
      </c>
    </row>
    <row r="118" spans="1:38" x14ac:dyDescent="0.25">
      <c r="A118" s="17" t="str">
        <f>IF(F118&gt;0,108,"")</f>
        <v/>
      </c>
      <c r="B118" s="18" t="str">
        <f>IF(F118&gt;0,EDATE($E$6,108),"")</f>
        <v/>
      </c>
      <c r="C118" s="21">
        <f>IF(H117&gt;0,MIN(IF(K117&gt;0,I$5,99),IF(N117&gt;0,L$5,99),IF(Q117&gt;0,O$5,99),IF(T117&gt;0,R$5,99),IF(W117&gt;0,U$5,99),IF(Z117&gt;0,X$5,99),IF(AC117&gt;0,AA$5,99),IF(AF117&gt;0,AD$5,99),IF(AI117&gt;0,AG$5,99),IF(AL117&gt;0,AJ$5,99)),0)</f>
        <v>0</v>
      </c>
      <c r="D118" t="str">
        <f>IF(C118&gt;0,INDEX($I$4:$AL$4,1,MATCH(C118,$I$5:$AL$5,0)),"")</f>
        <v/>
      </c>
      <c r="E118" s="24">
        <f>ROUND(IF(AND(I$8&gt;0,K117=0),I$6,0)+IF(AND(L$8&gt;0,N117=0),L$6,0)+IF(AND(O$8&gt;0,Q117=0),O$6,0)+IF(AND(R$8&gt;0,T117=0),R$6,0)+IF(AND(U$8&gt;0,W117=0),U$6,0)+IF(AND(X$8&gt;0,Z117=0),X$6,0)+IF(AND(AA$8&gt;0,AC117=0),AA$6,0)+IF(AND(AD$8&gt;0,AF117=0),AD$6,0)+IF(AND(AG$8&gt;0,AI117=0),AG$6,0)+IF(AND(AJ$8&gt;0,AL117=0),AJ$6,0),2)</f>
        <v>330</v>
      </c>
      <c r="F118" s="24">
        <f>ROUND(I118+L118+O118+R118+U118+X118+AA118+AD118+AG118+AJ118,2)</f>
        <v>0</v>
      </c>
      <c r="G118" s="24">
        <f>ROUND(J118+M118+P118+S118+V118+Y118+AB118+AE118+AH118+AK118,2)</f>
        <v>0</v>
      </c>
      <c r="H118" s="24">
        <f>ROUND(K118+N118+Q118+T118+W118+Z118+AC118+AF118+AI118+AL118,2)</f>
        <v>0</v>
      </c>
      <c r="I118" s="24">
        <f>IF(K117&gt;0,MIN(ROUND(I$6+IF(I$5=$C118,$E$5+$E118,0),2),ROUND(K117+J118,2)),0)</f>
        <v>0</v>
      </c>
      <c r="J118" s="24">
        <f>IF(K117&gt;0,ROUND(ROUND(K117*100,0)*ROUND(I$7*10000,0)/12000000,0)/100,0)</f>
        <v>0</v>
      </c>
      <c r="K118" s="24">
        <f>IF(K117&gt;0,ROUND(K117+J118-I118,2),0)</f>
        <v>0</v>
      </c>
      <c r="L118" s="24">
        <f>IF(N117&gt;0,MIN(ROUND(L$6+IF(L$5=$C118,$E$5+$E118,0),2),ROUND(N117+M118,2)),0)</f>
        <v>0</v>
      </c>
      <c r="M118" s="24">
        <f>IF(N117&gt;0,ROUND(ROUND(N117*100,0)*ROUND(L$7*10000,0)/12000000,0)/100,0)</f>
        <v>0</v>
      </c>
      <c r="N118" s="24">
        <f>IF(N117&gt;0,ROUND(N117+M118-L118,2),0)</f>
        <v>0</v>
      </c>
      <c r="O118" s="24">
        <f>IF(Q117&gt;0,MIN(ROUND(O$6+IF(O$5=$C118,$E$5+$E118,0),2),ROUND(Q117+P118,2)),0)</f>
        <v>0</v>
      </c>
      <c r="P118" s="24">
        <f>IF(Q117&gt;0,ROUND(ROUND(Q117*100,0)*ROUND(O$7*10000,0)/12000000,0)/100,0)</f>
        <v>0</v>
      </c>
      <c r="Q118" s="24">
        <f>IF(Q117&gt;0,ROUND(Q117+P118-O118,2),0)</f>
        <v>0</v>
      </c>
      <c r="R118" s="24">
        <f>IF(T117&gt;0,MIN(ROUND(R$6+IF(R$5=$C118,$E$5+$E118,0),2),ROUND(T117+S118,2)),0)</f>
        <v>0</v>
      </c>
      <c r="S118" s="24">
        <f>IF(T117&gt;0,ROUND(ROUND(T117*100,0)*ROUND(R$7*10000,0)/12000000,0)/100,0)</f>
        <v>0</v>
      </c>
      <c r="T118" s="24">
        <f>IF(T117&gt;0,ROUND(T117+S118-R118,2),0)</f>
        <v>0</v>
      </c>
      <c r="U118" s="24">
        <f>IF(W117&gt;0,MIN(ROUND(U$6+IF(U$5=$C118,$E$5+$E118,0),2),ROUND(W117+V118,2)),0)</f>
        <v>0</v>
      </c>
      <c r="V118" s="24">
        <f>IF(W117&gt;0,ROUND(ROUND(W117*100,0)*ROUND(U$7*10000,0)/12000000,0)/100,0)</f>
        <v>0</v>
      </c>
      <c r="W118" s="24">
        <f>IF(W117&gt;0,ROUND(W117+V118-U118,2),0)</f>
        <v>0</v>
      </c>
      <c r="X118" s="24">
        <f>IF(Z117&gt;0,MIN(ROUND(X$6+IF(X$5=$C118,$E$5+$E118,0),2),ROUND(Z117+Y118,2)),0)</f>
        <v>0</v>
      </c>
      <c r="Y118" s="24">
        <f>IF(Z117&gt;0,ROUND(ROUND(Z117*100,0)*ROUND(X$7*10000,0)/12000000,0)/100,0)</f>
        <v>0</v>
      </c>
      <c r="Z118" s="24">
        <f>IF(Z117&gt;0,ROUND(Z117+Y118-X118,2),0)</f>
        <v>0</v>
      </c>
      <c r="AA118" s="24">
        <f>IF(AC117&gt;0,MIN(ROUND(AA$6+IF(AA$5=$C118,$E$5+$E118,0),2),ROUND(AC117+AB118,2)),0)</f>
        <v>0</v>
      </c>
      <c r="AB118" s="24">
        <f>IF(AC117&gt;0,ROUND(ROUND(AC117*100,0)*ROUND(AA$7*10000,0)/12000000,0)/100,0)</f>
        <v>0</v>
      </c>
      <c r="AC118" s="24">
        <f>IF(AC117&gt;0,ROUND(AC117+AB118-AA118,2),0)</f>
        <v>0</v>
      </c>
      <c r="AD118" s="24">
        <f>IF(AF117&gt;0,MIN(ROUND(AD$6+IF(AD$5=$C118,$E$5+$E118,0),2),ROUND(AF117+AE118,2)),0)</f>
        <v>0</v>
      </c>
      <c r="AE118" s="24">
        <f>IF(AF117&gt;0,ROUND(ROUND(AF117*100,0)*ROUND(AD$7*10000,0)/12000000,0)/100,0)</f>
        <v>0</v>
      </c>
      <c r="AF118" s="24">
        <f>IF(AF117&gt;0,ROUND(AF117+AE118-AD118,2),0)</f>
        <v>0</v>
      </c>
      <c r="AG118" s="24">
        <f>IF(AI117&gt;0,MIN(ROUND(AG$6+IF(AG$5=$C118,$E$5+$E118,0),2),ROUND(AI117+AH118,2)),0)</f>
        <v>0</v>
      </c>
      <c r="AH118" s="24">
        <f>IF(AI117&gt;0,ROUND(ROUND(AI117*100,0)*ROUND(AG$7*10000,0)/12000000,0)/100,0)</f>
        <v>0</v>
      </c>
      <c r="AI118" s="24">
        <f>IF(AI117&gt;0,ROUND(AI117+AH118-AG118,2),0)</f>
        <v>0</v>
      </c>
      <c r="AJ118" s="24">
        <f>IF(AL117&gt;0,MIN(ROUND(AJ$6+IF(AJ$5=$C118,$E$5+$E118,0),2),ROUND(AL117+AK118,2)),0)</f>
        <v>0</v>
      </c>
      <c r="AK118" s="24">
        <f>IF(AL117&gt;0,ROUND(ROUND(AL117*100,0)*ROUND(AJ$7*10000,0)/12000000,0)/100,0)</f>
        <v>0</v>
      </c>
      <c r="AL118" s="24">
        <f>IF(AL117&gt;0,ROUND(AL117+AK118-AJ118,2),0)</f>
        <v>0</v>
      </c>
    </row>
    <row r="119" spans="1:38" x14ac:dyDescent="0.25">
      <c r="A119" s="17" t="str">
        <f>IF(F119&gt;0,109,"")</f>
        <v/>
      </c>
      <c r="B119" s="18" t="str">
        <f>IF(F119&gt;0,EDATE($E$6,109),"")</f>
        <v/>
      </c>
      <c r="C119" s="21">
        <f>IF(H118&gt;0,MIN(IF(K118&gt;0,I$5,99),IF(N118&gt;0,L$5,99),IF(Q118&gt;0,O$5,99),IF(T118&gt;0,R$5,99),IF(W118&gt;0,U$5,99),IF(Z118&gt;0,X$5,99),IF(AC118&gt;0,AA$5,99),IF(AF118&gt;0,AD$5,99),IF(AI118&gt;0,AG$5,99),IF(AL118&gt;0,AJ$5,99)),0)</f>
        <v>0</v>
      </c>
      <c r="D119" t="str">
        <f>IF(C119&gt;0,INDEX($I$4:$AL$4,1,MATCH(C119,$I$5:$AL$5,0)),"")</f>
        <v/>
      </c>
      <c r="E119" s="24">
        <f>ROUND(IF(AND(I$8&gt;0,K118=0),I$6,0)+IF(AND(L$8&gt;0,N118=0),L$6,0)+IF(AND(O$8&gt;0,Q118=0),O$6,0)+IF(AND(R$8&gt;0,T118=0),R$6,0)+IF(AND(U$8&gt;0,W118=0),U$6,0)+IF(AND(X$8&gt;0,Z118=0),X$6,0)+IF(AND(AA$8&gt;0,AC118=0),AA$6,0)+IF(AND(AD$8&gt;0,AF118=0),AD$6,0)+IF(AND(AG$8&gt;0,AI118=0),AG$6,0)+IF(AND(AJ$8&gt;0,AL118=0),AJ$6,0),2)</f>
        <v>330</v>
      </c>
      <c r="F119" s="24">
        <f>ROUND(I119+L119+O119+R119+U119+X119+AA119+AD119+AG119+AJ119,2)</f>
        <v>0</v>
      </c>
      <c r="G119" s="24">
        <f>ROUND(J119+M119+P119+S119+V119+Y119+AB119+AE119+AH119+AK119,2)</f>
        <v>0</v>
      </c>
      <c r="H119" s="24">
        <f>ROUND(K119+N119+Q119+T119+W119+Z119+AC119+AF119+AI119+AL119,2)</f>
        <v>0</v>
      </c>
      <c r="I119" s="24">
        <f>IF(K118&gt;0,MIN(ROUND(I$6+IF(I$5=$C119,$E$5+$E119,0),2),ROUND(K118+J119,2)),0)</f>
        <v>0</v>
      </c>
      <c r="J119" s="24">
        <f>IF(K118&gt;0,ROUND(ROUND(K118*100,0)*ROUND(I$7*10000,0)/12000000,0)/100,0)</f>
        <v>0</v>
      </c>
      <c r="K119" s="24">
        <f>IF(K118&gt;0,ROUND(K118+J119-I119,2),0)</f>
        <v>0</v>
      </c>
      <c r="L119" s="24">
        <f>IF(N118&gt;0,MIN(ROUND(L$6+IF(L$5=$C119,$E$5+$E119,0),2),ROUND(N118+M119,2)),0)</f>
        <v>0</v>
      </c>
      <c r="M119" s="24">
        <f>IF(N118&gt;0,ROUND(ROUND(N118*100,0)*ROUND(L$7*10000,0)/12000000,0)/100,0)</f>
        <v>0</v>
      </c>
      <c r="N119" s="24">
        <f>IF(N118&gt;0,ROUND(N118+M119-L119,2),0)</f>
        <v>0</v>
      </c>
      <c r="O119" s="24">
        <f>IF(Q118&gt;0,MIN(ROUND(O$6+IF(O$5=$C119,$E$5+$E119,0),2),ROUND(Q118+P119,2)),0)</f>
        <v>0</v>
      </c>
      <c r="P119" s="24">
        <f>IF(Q118&gt;0,ROUND(ROUND(Q118*100,0)*ROUND(O$7*10000,0)/12000000,0)/100,0)</f>
        <v>0</v>
      </c>
      <c r="Q119" s="24">
        <f>IF(Q118&gt;0,ROUND(Q118+P119-O119,2),0)</f>
        <v>0</v>
      </c>
      <c r="R119" s="24">
        <f>IF(T118&gt;0,MIN(ROUND(R$6+IF(R$5=$C119,$E$5+$E119,0),2),ROUND(T118+S119,2)),0)</f>
        <v>0</v>
      </c>
      <c r="S119" s="24">
        <f>IF(T118&gt;0,ROUND(ROUND(T118*100,0)*ROUND(R$7*10000,0)/12000000,0)/100,0)</f>
        <v>0</v>
      </c>
      <c r="T119" s="24">
        <f>IF(T118&gt;0,ROUND(T118+S119-R119,2),0)</f>
        <v>0</v>
      </c>
      <c r="U119" s="24">
        <f>IF(W118&gt;0,MIN(ROUND(U$6+IF(U$5=$C119,$E$5+$E119,0),2),ROUND(W118+V119,2)),0)</f>
        <v>0</v>
      </c>
      <c r="V119" s="24">
        <f>IF(W118&gt;0,ROUND(ROUND(W118*100,0)*ROUND(U$7*10000,0)/12000000,0)/100,0)</f>
        <v>0</v>
      </c>
      <c r="W119" s="24">
        <f>IF(W118&gt;0,ROUND(W118+V119-U119,2),0)</f>
        <v>0</v>
      </c>
      <c r="X119" s="24">
        <f>IF(Z118&gt;0,MIN(ROUND(X$6+IF(X$5=$C119,$E$5+$E119,0),2),ROUND(Z118+Y119,2)),0)</f>
        <v>0</v>
      </c>
      <c r="Y119" s="24">
        <f>IF(Z118&gt;0,ROUND(ROUND(Z118*100,0)*ROUND(X$7*10000,0)/12000000,0)/100,0)</f>
        <v>0</v>
      </c>
      <c r="Z119" s="24">
        <f>IF(Z118&gt;0,ROUND(Z118+Y119-X119,2),0)</f>
        <v>0</v>
      </c>
      <c r="AA119" s="24">
        <f>IF(AC118&gt;0,MIN(ROUND(AA$6+IF(AA$5=$C119,$E$5+$E119,0),2),ROUND(AC118+AB119,2)),0)</f>
        <v>0</v>
      </c>
      <c r="AB119" s="24">
        <f>IF(AC118&gt;0,ROUND(ROUND(AC118*100,0)*ROUND(AA$7*10000,0)/12000000,0)/100,0)</f>
        <v>0</v>
      </c>
      <c r="AC119" s="24">
        <f>IF(AC118&gt;0,ROUND(AC118+AB119-AA119,2),0)</f>
        <v>0</v>
      </c>
      <c r="AD119" s="24">
        <f>IF(AF118&gt;0,MIN(ROUND(AD$6+IF(AD$5=$C119,$E$5+$E119,0),2),ROUND(AF118+AE119,2)),0)</f>
        <v>0</v>
      </c>
      <c r="AE119" s="24">
        <f>IF(AF118&gt;0,ROUND(ROUND(AF118*100,0)*ROUND(AD$7*10000,0)/12000000,0)/100,0)</f>
        <v>0</v>
      </c>
      <c r="AF119" s="24">
        <f>IF(AF118&gt;0,ROUND(AF118+AE119-AD119,2),0)</f>
        <v>0</v>
      </c>
      <c r="AG119" s="24">
        <f>IF(AI118&gt;0,MIN(ROUND(AG$6+IF(AG$5=$C119,$E$5+$E119,0),2),ROUND(AI118+AH119,2)),0)</f>
        <v>0</v>
      </c>
      <c r="AH119" s="24">
        <f>IF(AI118&gt;0,ROUND(ROUND(AI118*100,0)*ROUND(AG$7*10000,0)/12000000,0)/100,0)</f>
        <v>0</v>
      </c>
      <c r="AI119" s="24">
        <f>IF(AI118&gt;0,ROUND(AI118+AH119-AG119,2),0)</f>
        <v>0</v>
      </c>
      <c r="AJ119" s="24">
        <f>IF(AL118&gt;0,MIN(ROUND(AJ$6+IF(AJ$5=$C119,$E$5+$E119,0),2),ROUND(AL118+AK119,2)),0)</f>
        <v>0</v>
      </c>
      <c r="AK119" s="24">
        <f>IF(AL118&gt;0,ROUND(ROUND(AL118*100,0)*ROUND(AJ$7*10000,0)/12000000,0)/100,0)</f>
        <v>0</v>
      </c>
      <c r="AL119" s="24">
        <f>IF(AL118&gt;0,ROUND(AL118+AK119-AJ119,2),0)</f>
        <v>0</v>
      </c>
    </row>
    <row r="120" spans="1:38" x14ac:dyDescent="0.25">
      <c r="A120" s="17" t="str">
        <f>IF(F120&gt;0,110,"")</f>
        <v/>
      </c>
      <c r="B120" s="18" t="str">
        <f>IF(F120&gt;0,EDATE($E$6,110),"")</f>
        <v/>
      </c>
      <c r="C120" s="21">
        <f>IF(H119&gt;0,MIN(IF(K119&gt;0,I$5,99),IF(N119&gt;0,L$5,99),IF(Q119&gt;0,O$5,99),IF(T119&gt;0,R$5,99),IF(W119&gt;0,U$5,99),IF(Z119&gt;0,X$5,99),IF(AC119&gt;0,AA$5,99),IF(AF119&gt;0,AD$5,99),IF(AI119&gt;0,AG$5,99),IF(AL119&gt;0,AJ$5,99)),0)</f>
        <v>0</v>
      </c>
      <c r="D120" t="str">
        <f>IF(C120&gt;0,INDEX($I$4:$AL$4,1,MATCH(C120,$I$5:$AL$5,0)),"")</f>
        <v/>
      </c>
      <c r="E120" s="24">
        <f>ROUND(IF(AND(I$8&gt;0,K119=0),I$6,0)+IF(AND(L$8&gt;0,N119=0),L$6,0)+IF(AND(O$8&gt;0,Q119=0),O$6,0)+IF(AND(R$8&gt;0,T119=0),R$6,0)+IF(AND(U$8&gt;0,W119=0),U$6,0)+IF(AND(X$8&gt;0,Z119=0),X$6,0)+IF(AND(AA$8&gt;0,AC119=0),AA$6,0)+IF(AND(AD$8&gt;0,AF119=0),AD$6,0)+IF(AND(AG$8&gt;0,AI119=0),AG$6,0)+IF(AND(AJ$8&gt;0,AL119=0),AJ$6,0),2)</f>
        <v>330</v>
      </c>
      <c r="F120" s="24">
        <f>ROUND(I120+L120+O120+R120+U120+X120+AA120+AD120+AG120+AJ120,2)</f>
        <v>0</v>
      </c>
      <c r="G120" s="24">
        <f>ROUND(J120+M120+P120+S120+V120+Y120+AB120+AE120+AH120+AK120,2)</f>
        <v>0</v>
      </c>
      <c r="H120" s="24">
        <f>ROUND(K120+N120+Q120+T120+W120+Z120+AC120+AF120+AI120+AL120,2)</f>
        <v>0</v>
      </c>
      <c r="I120" s="24">
        <f>IF(K119&gt;0,MIN(ROUND(I$6+IF(I$5=$C120,$E$5+$E120,0),2),ROUND(K119+J120,2)),0)</f>
        <v>0</v>
      </c>
      <c r="J120" s="24">
        <f>IF(K119&gt;0,ROUND(ROUND(K119*100,0)*ROUND(I$7*10000,0)/12000000,0)/100,0)</f>
        <v>0</v>
      </c>
      <c r="K120" s="24">
        <f>IF(K119&gt;0,ROUND(K119+J120-I120,2),0)</f>
        <v>0</v>
      </c>
      <c r="L120" s="24">
        <f>IF(N119&gt;0,MIN(ROUND(L$6+IF(L$5=$C120,$E$5+$E120,0),2),ROUND(N119+M120,2)),0)</f>
        <v>0</v>
      </c>
      <c r="M120" s="24">
        <f>IF(N119&gt;0,ROUND(ROUND(N119*100,0)*ROUND(L$7*10000,0)/12000000,0)/100,0)</f>
        <v>0</v>
      </c>
      <c r="N120" s="24">
        <f>IF(N119&gt;0,ROUND(N119+M120-L120,2),0)</f>
        <v>0</v>
      </c>
      <c r="O120" s="24">
        <f>IF(Q119&gt;0,MIN(ROUND(O$6+IF(O$5=$C120,$E$5+$E120,0),2),ROUND(Q119+P120,2)),0)</f>
        <v>0</v>
      </c>
      <c r="P120" s="24">
        <f>IF(Q119&gt;0,ROUND(ROUND(Q119*100,0)*ROUND(O$7*10000,0)/12000000,0)/100,0)</f>
        <v>0</v>
      </c>
      <c r="Q120" s="24">
        <f>IF(Q119&gt;0,ROUND(Q119+P120-O120,2),0)</f>
        <v>0</v>
      </c>
      <c r="R120" s="24">
        <f>IF(T119&gt;0,MIN(ROUND(R$6+IF(R$5=$C120,$E$5+$E120,0),2),ROUND(T119+S120,2)),0)</f>
        <v>0</v>
      </c>
      <c r="S120" s="24">
        <f>IF(T119&gt;0,ROUND(ROUND(T119*100,0)*ROUND(R$7*10000,0)/12000000,0)/100,0)</f>
        <v>0</v>
      </c>
      <c r="T120" s="24">
        <f>IF(T119&gt;0,ROUND(T119+S120-R120,2),0)</f>
        <v>0</v>
      </c>
      <c r="U120" s="24">
        <f>IF(W119&gt;0,MIN(ROUND(U$6+IF(U$5=$C120,$E$5+$E120,0),2),ROUND(W119+V120,2)),0)</f>
        <v>0</v>
      </c>
      <c r="V120" s="24">
        <f>IF(W119&gt;0,ROUND(ROUND(W119*100,0)*ROUND(U$7*10000,0)/12000000,0)/100,0)</f>
        <v>0</v>
      </c>
      <c r="W120" s="24">
        <f>IF(W119&gt;0,ROUND(W119+V120-U120,2),0)</f>
        <v>0</v>
      </c>
      <c r="X120" s="24">
        <f>IF(Z119&gt;0,MIN(ROUND(X$6+IF(X$5=$C120,$E$5+$E120,0),2),ROUND(Z119+Y120,2)),0)</f>
        <v>0</v>
      </c>
      <c r="Y120" s="24">
        <f>IF(Z119&gt;0,ROUND(ROUND(Z119*100,0)*ROUND(X$7*10000,0)/12000000,0)/100,0)</f>
        <v>0</v>
      </c>
      <c r="Z120" s="24">
        <f>IF(Z119&gt;0,ROUND(Z119+Y120-X120,2),0)</f>
        <v>0</v>
      </c>
      <c r="AA120" s="24">
        <f>IF(AC119&gt;0,MIN(ROUND(AA$6+IF(AA$5=$C120,$E$5+$E120,0),2),ROUND(AC119+AB120,2)),0)</f>
        <v>0</v>
      </c>
      <c r="AB120" s="24">
        <f>IF(AC119&gt;0,ROUND(ROUND(AC119*100,0)*ROUND(AA$7*10000,0)/12000000,0)/100,0)</f>
        <v>0</v>
      </c>
      <c r="AC120" s="24">
        <f>IF(AC119&gt;0,ROUND(AC119+AB120-AA120,2),0)</f>
        <v>0</v>
      </c>
      <c r="AD120" s="24">
        <f>IF(AF119&gt;0,MIN(ROUND(AD$6+IF(AD$5=$C120,$E$5+$E120,0),2),ROUND(AF119+AE120,2)),0)</f>
        <v>0</v>
      </c>
      <c r="AE120" s="24">
        <f>IF(AF119&gt;0,ROUND(ROUND(AF119*100,0)*ROUND(AD$7*10000,0)/12000000,0)/100,0)</f>
        <v>0</v>
      </c>
      <c r="AF120" s="24">
        <f>IF(AF119&gt;0,ROUND(AF119+AE120-AD120,2),0)</f>
        <v>0</v>
      </c>
      <c r="AG120" s="24">
        <f>IF(AI119&gt;0,MIN(ROUND(AG$6+IF(AG$5=$C120,$E$5+$E120,0),2),ROUND(AI119+AH120,2)),0)</f>
        <v>0</v>
      </c>
      <c r="AH120" s="24">
        <f>IF(AI119&gt;0,ROUND(ROUND(AI119*100,0)*ROUND(AG$7*10000,0)/12000000,0)/100,0)</f>
        <v>0</v>
      </c>
      <c r="AI120" s="24">
        <f>IF(AI119&gt;0,ROUND(AI119+AH120-AG120,2),0)</f>
        <v>0</v>
      </c>
      <c r="AJ120" s="24">
        <f>IF(AL119&gt;0,MIN(ROUND(AJ$6+IF(AJ$5=$C120,$E$5+$E120,0),2),ROUND(AL119+AK120,2)),0)</f>
        <v>0</v>
      </c>
      <c r="AK120" s="24">
        <f>IF(AL119&gt;0,ROUND(ROUND(AL119*100,0)*ROUND(AJ$7*10000,0)/12000000,0)/100,0)</f>
        <v>0</v>
      </c>
      <c r="AL120" s="24">
        <f>IF(AL119&gt;0,ROUND(AL119+AK120-AJ120,2),0)</f>
        <v>0</v>
      </c>
    </row>
    <row r="121" spans="1:38" x14ac:dyDescent="0.25">
      <c r="A121" s="17" t="str">
        <f>IF(F121&gt;0,111,"")</f>
        <v/>
      </c>
      <c r="B121" s="18" t="str">
        <f>IF(F121&gt;0,EDATE($E$6,111),"")</f>
        <v/>
      </c>
      <c r="C121" s="21">
        <f>IF(H120&gt;0,MIN(IF(K120&gt;0,I$5,99),IF(N120&gt;0,L$5,99),IF(Q120&gt;0,O$5,99),IF(T120&gt;0,R$5,99),IF(W120&gt;0,U$5,99),IF(Z120&gt;0,X$5,99),IF(AC120&gt;0,AA$5,99),IF(AF120&gt;0,AD$5,99),IF(AI120&gt;0,AG$5,99),IF(AL120&gt;0,AJ$5,99)),0)</f>
        <v>0</v>
      </c>
      <c r="D121" t="str">
        <f>IF(C121&gt;0,INDEX($I$4:$AL$4,1,MATCH(C121,$I$5:$AL$5,0)),"")</f>
        <v/>
      </c>
      <c r="E121" s="24">
        <f>ROUND(IF(AND(I$8&gt;0,K120=0),I$6,0)+IF(AND(L$8&gt;0,N120=0),L$6,0)+IF(AND(O$8&gt;0,Q120=0),O$6,0)+IF(AND(R$8&gt;0,T120=0),R$6,0)+IF(AND(U$8&gt;0,W120=0),U$6,0)+IF(AND(X$8&gt;0,Z120=0),X$6,0)+IF(AND(AA$8&gt;0,AC120=0),AA$6,0)+IF(AND(AD$8&gt;0,AF120=0),AD$6,0)+IF(AND(AG$8&gt;0,AI120=0),AG$6,0)+IF(AND(AJ$8&gt;0,AL120=0),AJ$6,0),2)</f>
        <v>330</v>
      </c>
      <c r="F121" s="24">
        <f>ROUND(I121+L121+O121+R121+U121+X121+AA121+AD121+AG121+AJ121,2)</f>
        <v>0</v>
      </c>
      <c r="G121" s="24">
        <f>ROUND(J121+M121+P121+S121+V121+Y121+AB121+AE121+AH121+AK121,2)</f>
        <v>0</v>
      </c>
      <c r="H121" s="24">
        <f>ROUND(K121+N121+Q121+T121+W121+Z121+AC121+AF121+AI121+AL121,2)</f>
        <v>0</v>
      </c>
      <c r="I121" s="24">
        <f>IF(K120&gt;0,MIN(ROUND(I$6+IF(I$5=$C121,$E$5+$E121,0),2),ROUND(K120+J121,2)),0)</f>
        <v>0</v>
      </c>
      <c r="J121" s="24">
        <f>IF(K120&gt;0,ROUND(ROUND(K120*100,0)*ROUND(I$7*10000,0)/12000000,0)/100,0)</f>
        <v>0</v>
      </c>
      <c r="K121" s="24">
        <f>IF(K120&gt;0,ROUND(K120+J121-I121,2),0)</f>
        <v>0</v>
      </c>
      <c r="L121" s="24">
        <f>IF(N120&gt;0,MIN(ROUND(L$6+IF(L$5=$C121,$E$5+$E121,0),2),ROUND(N120+M121,2)),0)</f>
        <v>0</v>
      </c>
      <c r="M121" s="24">
        <f>IF(N120&gt;0,ROUND(ROUND(N120*100,0)*ROUND(L$7*10000,0)/12000000,0)/100,0)</f>
        <v>0</v>
      </c>
      <c r="N121" s="24">
        <f>IF(N120&gt;0,ROUND(N120+M121-L121,2),0)</f>
        <v>0</v>
      </c>
      <c r="O121" s="24">
        <f>IF(Q120&gt;0,MIN(ROUND(O$6+IF(O$5=$C121,$E$5+$E121,0),2),ROUND(Q120+P121,2)),0)</f>
        <v>0</v>
      </c>
      <c r="P121" s="24">
        <f>IF(Q120&gt;0,ROUND(ROUND(Q120*100,0)*ROUND(O$7*10000,0)/12000000,0)/100,0)</f>
        <v>0</v>
      </c>
      <c r="Q121" s="24">
        <f>IF(Q120&gt;0,ROUND(Q120+P121-O121,2),0)</f>
        <v>0</v>
      </c>
      <c r="R121" s="24">
        <f>IF(T120&gt;0,MIN(ROUND(R$6+IF(R$5=$C121,$E$5+$E121,0),2),ROUND(T120+S121,2)),0)</f>
        <v>0</v>
      </c>
      <c r="S121" s="24">
        <f>IF(T120&gt;0,ROUND(ROUND(T120*100,0)*ROUND(R$7*10000,0)/12000000,0)/100,0)</f>
        <v>0</v>
      </c>
      <c r="T121" s="24">
        <f>IF(T120&gt;0,ROUND(T120+S121-R121,2),0)</f>
        <v>0</v>
      </c>
      <c r="U121" s="24">
        <f>IF(W120&gt;0,MIN(ROUND(U$6+IF(U$5=$C121,$E$5+$E121,0),2),ROUND(W120+V121,2)),0)</f>
        <v>0</v>
      </c>
      <c r="V121" s="24">
        <f>IF(W120&gt;0,ROUND(ROUND(W120*100,0)*ROUND(U$7*10000,0)/12000000,0)/100,0)</f>
        <v>0</v>
      </c>
      <c r="W121" s="24">
        <f>IF(W120&gt;0,ROUND(W120+V121-U121,2),0)</f>
        <v>0</v>
      </c>
      <c r="X121" s="24">
        <f>IF(Z120&gt;0,MIN(ROUND(X$6+IF(X$5=$C121,$E$5+$E121,0),2),ROUND(Z120+Y121,2)),0)</f>
        <v>0</v>
      </c>
      <c r="Y121" s="24">
        <f>IF(Z120&gt;0,ROUND(ROUND(Z120*100,0)*ROUND(X$7*10000,0)/12000000,0)/100,0)</f>
        <v>0</v>
      </c>
      <c r="Z121" s="24">
        <f>IF(Z120&gt;0,ROUND(Z120+Y121-X121,2),0)</f>
        <v>0</v>
      </c>
      <c r="AA121" s="24">
        <f>IF(AC120&gt;0,MIN(ROUND(AA$6+IF(AA$5=$C121,$E$5+$E121,0),2),ROUND(AC120+AB121,2)),0)</f>
        <v>0</v>
      </c>
      <c r="AB121" s="24">
        <f>IF(AC120&gt;0,ROUND(ROUND(AC120*100,0)*ROUND(AA$7*10000,0)/12000000,0)/100,0)</f>
        <v>0</v>
      </c>
      <c r="AC121" s="24">
        <f>IF(AC120&gt;0,ROUND(AC120+AB121-AA121,2),0)</f>
        <v>0</v>
      </c>
      <c r="AD121" s="24">
        <f>IF(AF120&gt;0,MIN(ROUND(AD$6+IF(AD$5=$C121,$E$5+$E121,0),2),ROUND(AF120+AE121,2)),0)</f>
        <v>0</v>
      </c>
      <c r="AE121" s="24">
        <f>IF(AF120&gt;0,ROUND(ROUND(AF120*100,0)*ROUND(AD$7*10000,0)/12000000,0)/100,0)</f>
        <v>0</v>
      </c>
      <c r="AF121" s="24">
        <f>IF(AF120&gt;0,ROUND(AF120+AE121-AD121,2),0)</f>
        <v>0</v>
      </c>
      <c r="AG121" s="24">
        <f>IF(AI120&gt;0,MIN(ROUND(AG$6+IF(AG$5=$C121,$E$5+$E121,0),2),ROUND(AI120+AH121,2)),0)</f>
        <v>0</v>
      </c>
      <c r="AH121" s="24">
        <f>IF(AI120&gt;0,ROUND(ROUND(AI120*100,0)*ROUND(AG$7*10000,0)/12000000,0)/100,0)</f>
        <v>0</v>
      </c>
      <c r="AI121" s="24">
        <f>IF(AI120&gt;0,ROUND(AI120+AH121-AG121,2),0)</f>
        <v>0</v>
      </c>
      <c r="AJ121" s="24">
        <f>IF(AL120&gt;0,MIN(ROUND(AJ$6+IF(AJ$5=$C121,$E$5+$E121,0),2),ROUND(AL120+AK121,2)),0)</f>
        <v>0</v>
      </c>
      <c r="AK121" s="24">
        <f>IF(AL120&gt;0,ROUND(ROUND(AL120*100,0)*ROUND(AJ$7*10000,0)/12000000,0)/100,0)</f>
        <v>0</v>
      </c>
      <c r="AL121" s="24">
        <f>IF(AL120&gt;0,ROUND(AL120+AK121-AJ121,2),0)</f>
        <v>0</v>
      </c>
    </row>
    <row r="122" spans="1:38" x14ac:dyDescent="0.25">
      <c r="A122" s="17" t="str">
        <f>IF(F122&gt;0,112,"")</f>
        <v/>
      </c>
      <c r="B122" s="18" t="str">
        <f>IF(F122&gt;0,EDATE($E$6,112),"")</f>
        <v/>
      </c>
      <c r="C122" s="21">
        <f>IF(H121&gt;0,MIN(IF(K121&gt;0,I$5,99),IF(N121&gt;0,L$5,99),IF(Q121&gt;0,O$5,99),IF(T121&gt;0,R$5,99),IF(W121&gt;0,U$5,99),IF(Z121&gt;0,X$5,99),IF(AC121&gt;0,AA$5,99),IF(AF121&gt;0,AD$5,99),IF(AI121&gt;0,AG$5,99),IF(AL121&gt;0,AJ$5,99)),0)</f>
        <v>0</v>
      </c>
      <c r="D122" t="str">
        <f>IF(C122&gt;0,INDEX($I$4:$AL$4,1,MATCH(C122,$I$5:$AL$5,0)),"")</f>
        <v/>
      </c>
      <c r="E122" s="24">
        <f>ROUND(IF(AND(I$8&gt;0,K121=0),I$6,0)+IF(AND(L$8&gt;0,N121=0),L$6,0)+IF(AND(O$8&gt;0,Q121=0),O$6,0)+IF(AND(R$8&gt;0,T121=0),R$6,0)+IF(AND(U$8&gt;0,W121=0),U$6,0)+IF(AND(X$8&gt;0,Z121=0),X$6,0)+IF(AND(AA$8&gt;0,AC121=0),AA$6,0)+IF(AND(AD$8&gt;0,AF121=0),AD$6,0)+IF(AND(AG$8&gt;0,AI121=0),AG$6,0)+IF(AND(AJ$8&gt;0,AL121=0),AJ$6,0),2)</f>
        <v>330</v>
      </c>
      <c r="F122" s="24">
        <f>ROUND(I122+L122+O122+R122+U122+X122+AA122+AD122+AG122+AJ122,2)</f>
        <v>0</v>
      </c>
      <c r="G122" s="24">
        <f>ROUND(J122+M122+P122+S122+V122+Y122+AB122+AE122+AH122+AK122,2)</f>
        <v>0</v>
      </c>
      <c r="H122" s="24">
        <f>ROUND(K122+N122+Q122+T122+W122+Z122+AC122+AF122+AI122+AL122,2)</f>
        <v>0</v>
      </c>
      <c r="I122" s="24">
        <f>IF(K121&gt;0,MIN(ROUND(I$6+IF(I$5=$C122,$E$5+$E122,0),2),ROUND(K121+J122,2)),0)</f>
        <v>0</v>
      </c>
      <c r="J122" s="24">
        <f>IF(K121&gt;0,ROUND(ROUND(K121*100,0)*ROUND(I$7*10000,0)/12000000,0)/100,0)</f>
        <v>0</v>
      </c>
      <c r="K122" s="24">
        <f>IF(K121&gt;0,ROUND(K121+J122-I122,2),0)</f>
        <v>0</v>
      </c>
      <c r="L122" s="24">
        <f>IF(N121&gt;0,MIN(ROUND(L$6+IF(L$5=$C122,$E$5+$E122,0),2),ROUND(N121+M122,2)),0)</f>
        <v>0</v>
      </c>
      <c r="M122" s="24">
        <f>IF(N121&gt;0,ROUND(ROUND(N121*100,0)*ROUND(L$7*10000,0)/12000000,0)/100,0)</f>
        <v>0</v>
      </c>
      <c r="N122" s="24">
        <f>IF(N121&gt;0,ROUND(N121+M122-L122,2),0)</f>
        <v>0</v>
      </c>
      <c r="O122" s="24">
        <f>IF(Q121&gt;0,MIN(ROUND(O$6+IF(O$5=$C122,$E$5+$E122,0),2),ROUND(Q121+P122,2)),0)</f>
        <v>0</v>
      </c>
      <c r="P122" s="24">
        <f>IF(Q121&gt;0,ROUND(ROUND(Q121*100,0)*ROUND(O$7*10000,0)/12000000,0)/100,0)</f>
        <v>0</v>
      </c>
      <c r="Q122" s="24">
        <f>IF(Q121&gt;0,ROUND(Q121+P122-O122,2),0)</f>
        <v>0</v>
      </c>
      <c r="R122" s="24">
        <f>IF(T121&gt;0,MIN(ROUND(R$6+IF(R$5=$C122,$E$5+$E122,0),2),ROUND(T121+S122,2)),0)</f>
        <v>0</v>
      </c>
      <c r="S122" s="24">
        <f>IF(T121&gt;0,ROUND(ROUND(T121*100,0)*ROUND(R$7*10000,0)/12000000,0)/100,0)</f>
        <v>0</v>
      </c>
      <c r="T122" s="24">
        <f>IF(T121&gt;0,ROUND(T121+S122-R122,2),0)</f>
        <v>0</v>
      </c>
      <c r="U122" s="24">
        <f>IF(W121&gt;0,MIN(ROUND(U$6+IF(U$5=$C122,$E$5+$E122,0),2),ROUND(W121+V122,2)),0)</f>
        <v>0</v>
      </c>
      <c r="V122" s="24">
        <f>IF(W121&gt;0,ROUND(ROUND(W121*100,0)*ROUND(U$7*10000,0)/12000000,0)/100,0)</f>
        <v>0</v>
      </c>
      <c r="W122" s="24">
        <f>IF(W121&gt;0,ROUND(W121+V122-U122,2),0)</f>
        <v>0</v>
      </c>
      <c r="X122" s="24">
        <f>IF(Z121&gt;0,MIN(ROUND(X$6+IF(X$5=$C122,$E$5+$E122,0),2),ROUND(Z121+Y122,2)),0)</f>
        <v>0</v>
      </c>
      <c r="Y122" s="24">
        <f>IF(Z121&gt;0,ROUND(ROUND(Z121*100,0)*ROUND(X$7*10000,0)/12000000,0)/100,0)</f>
        <v>0</v>
      </c>
      <c r="Z122" s="24">
        <f>IF(Z121&gt;0,ROUND(Z121+Y122-X122,2),0)</f>
        <v>0</v>
      </c>
      <c r="AA122" s="24">
        <f>IF(AC121&gt;0,MIN(ROUND(AA$6+IF(AA$5=$C122,$E$5+$E122,0),2),ROUND(AC121+AB122,2)),0)</f>
        <v>0</v>
      </c>
      <c r="AB122" s="24">
        <f>IF(AC121&gt;0,ROUND(ROUND(AC121*100,0)*ROUND(AA$7*10000,0)/12000000,0)/100,0)</f>
        <v>0</v>
      </c>
      <c r="AC122" s="24">
        <f>IF(AC121&gt;0,ROUND(AC121+AB122-AA122,2),0)</f>
        <v>0</v>
      </c>
      <c r="AD122" s="24">
        <f>IF(AF121&gt;0,MIN(ROUND(AD$6+IF(AD$5=$C122,$E$5+$E122,0),2),ROUND(AF121+AE122,2)),0)</f>
        <v>0</v>
      </c>
      <c r="AE122" s="24">
        <f>IF(AF121&gt;0,ROUND(ROUND(AF121*100,0)*ROUND(AD$7*10000,0)/12000000,0)/100,0)</f>
        <v>0</v>
      </c>
      <c r="AF122" s="24">
        <f>IF(AF121&gt;0,ROUND(AF121+AE122-AD122,2),0)</f>
        <v>0</v>
      </c>
      <c r="AG122" s="24">
        <f>IF(AI121&gt;0,MIN(ROUND(AG$6+IF(AG$5=$C122,$E$5+$E122,0),2),ROUND(AI121+AH122,2)),0)</f>
        <v>0</v>
      </c>
      <c r="AH122" s="24">
        <f>IF(AI121&gt;0,ROUND(ROUND(AI121*100,0)*ROUND(AG$7*10000,0)/12000000,0)/100,0)</f>
        <v>0</v>
      </c>
      <c r="AI122" s="24">
        <f>IF(AI121&gt;0,ROUND(AI121+AH122-AG122,2),0)</f>
        <v>0</v>
      </c>
      <c r="AJ122" s="24">
        <f>IF(AL121&gt;0,MIN(ROUND(AJ$6+IF(AJ$5=$C122,$E$5+$E122,0),2),ROUND(AL121+AK122,2)),0)</f>
        <v>0</v>
      </c>
      <c r="AK122" s="24">
        <f>IF(AL121&gt;0,ROUND(ROUND(AL121*100,0)*ROUND(AJ$7*10000,0)/12000000,0)/100,0)</f>
        <v>0</v>
      </c>
      <c r="AL122" s="24">
        <f>IF(AL121&gt;0,ROUND(AL121+AK122-AJ122,2),0)</f>
        <v>0</v>
      </c>
    </row>
    <row r="123" spans="1:38" x14ac:dyDescent="0.25">
      <c r="A123" s="17" t="str">
        <f>IF(F123&gt;0,113,"")</f>
        <v/>
      </c>
      <c r="B123" s="18" t="str">
        <f>IF(F123&gt;0,EDATE($E$6,113),"")</f>
        <v/>
      </c>
      <c r="C123" s="21">
        <f>IF(H122&gt;0,MIN(IF(K122&gt;0,I$5,99),IF(N122&gt;0,L$5,99),IF(Q122&gt;0,O$5,99),IF(T122&gt;0,R$5,99),IF(W122&gt;0,U$5,99),IF(Z122&gt;0,X$5,99),IF(AC122&gt;0,AA$5,99),IF(AF122&gt;0,AD$5,99),IF(AI122&gt;0,AG$5,99),IF(AL122&gt;0,AJ$5,99)),0)</f>
        <v>0</v>
      </c>
      <c r="D123" t="str">
        <f>IF(C123&gt;0,INDEX($I$4:$AL$4,1,MATCH(C123,$I$5:$AL$5,0)),"")</f>
        <v/>
      </c>
      <c r="E123" s="24">
        <f>ROUND(IF(AND(I$8&gt;0,K122=0),I$6,0)+IF(AND(L$8&gt;0,N122=0),L$6,0)+IF(AND(O$8&gt;0,Q122=0),O$6,0)+IF(AND(R$8&gt;0,T122=0),R$6,0)+IF(AND(U$8&gt;0,W122=0),U$6,0)+IF(AND(X$8&gt;0,Z122=0),X$6,0)+IF(AND(AA$8&gt;0,AC122=0),AA$6,0)+IF(AND(AD$8&gt;0,AF122=0),AD$6,0)+IF(AND(AG$8&gt;0,AI122=0),AG$6,0)+IF(AND(AJ$8&gt;0,AL122=0),AJ$6,0),2)</f>
        <v>330</v>
      </c>
      <c r="F123" s="24">
        <f>ROUND(I123+L123+O123+R123+U123+X123+AA123+AD123+AG123+AJ123,2)</f>
        <v>0</v>
      </c>
      <c r="G123" s="24">
        <f>ROUND(J123+M123+P123+S123+V123+Y123+AB123+AE123+AH123+AK123,2)</f>
        <v>0</v>
      </c>
      <c r="H123" s="24">
        <f>ROUND(K123+N123+Q123+T123+W123+Z123+AC123+AF123+AI123+AL123,2)</f>
        <v>0</v>
      </c>
      <c r="I123" s="24">
        <f>IF(K122&gt;0,MIN(ROUND(I$6+IF(I$5=$C123,$E$5+$E123,0),2),ROUND(K122+J123,2)),0)</f>
        <v>0</v>
      </c>
      <c r="J123" s="24">
        <f>IF(K122&gt;0,ROUND(ROUND(K122*100,0)*ROUND(I$7*10000,0)/12000000,0)/100,0)</f>
        <v>0</v>
      </c>
      <c r="K123" s="24">
        <f>IF(K122&gt;0,ROUND(K122+J123-I123,2),0)</f>
        <v>0</v>
      </c>
      <c r="L123" s="24">
        <f>IF(N122&gt;0,MIN(ROUND(L$6+IF(L$5=$C123,$E$5+$E123,0),2),ROUND(N122+M123,2)),0)</f>
        <v>0</v>
      </c>
      <c r="M123" s="24">
        <f>IF(N122&gt;0,ROUND(ROUND(N122*100,0)*ROUND(L$7*10000,0)/12000000,0)/100,0)</f>
        <v>0</v>
      </c>
      <c r="N123" s="24">
        <f>IF(N122&gt;0,ROUND(N122+M123-L123,2),0)</f>
        <v>0</v>
      </c>
      <c r="O123" s="24">
        <f>IF(Q122&gt;0,MIN(ROUND(O$6+IF(O$5=$C123,$E$5+$E123,0),2),ROUND(Q122+P123,2)),0)</f>
        <v>0</v>
      </c>
      <c r="P123" s="24">
        <f>IF(Q122&gt;0,ROUND(ROUND(Q122*100,0)*ROUND(O$7*10000,0)/12000000,0)/100,0)</f>
        <v>0</v>
      </c>
      <c r="Q123" s="24">
        <f>IF(Q122&gt;0,ROUND(Q122+P123-O123,2),0)</f>
        <v>0</v>
      </c>
      <c r="R123" s="24">
        <f>IF(T122&gt;0,MIN(ROUND(R$6+IF(R$5=$C123,$E$5+$E123,0),2),ROUND(T122+S123,2)),0)</f>
        <v>0</v>
      </c>
      <c r="S123" s="24">
        <f>IF(T122&gt;0,ROUND(ROUND(T122*100,0)*ROUND(R$7*10000,0)/12000000,0)/100,0)</f>
        <v>0</v>
      </c>
      <c r="T123" s="24">
        <f>IF(T122&gt;0,ROUND(T122+S123-R123,2),0)</f>
        <v>0</v>
      </c>
      <c r="U123" s="24">
        <f>IF(W122&gt;0,MIN(ROUND(U$6+IF(U$5=$C123,$E$5+$E123,0),2),ROUND(W122+V123,2)),0)</f>
        <v>0</v>
      </c>
      <c r="V123" s="24">
        <f>IF(W122&gt;0,ROUND(ROUND(W122*100,0)*ROUND(U$7*10000,0)/12000000,0)/100,0)</f>
        <v>0</v>
      </c>
      <c r="W123" s="24">
        <f>IF(W122&gt;0,ROUND(W122+V123-U123,2),0)</f>
        <v>0</v>
      </c>
      <c r="X123" s="24">
        <f>IF(Z122&gt;0,MIN(ROUND(X$6+IF(X$5=$C123,$E$5+$E123,0),2),ROUND(Z122+Y123,2)),0)</f>
        <v>0</v>
      </c>
      <c r="Y123" s="24">
        <f>IF(Z122&gt;0,ROUND(ROUND(Z122*100,0)*ROUND(X$7*10000,0)/12000000,0)/100,0)</f>
        <v>0</v>
      </c>
      <c r="Z123" s="24">
        <f>IF(Z122&gt;0,ROUND(Z122+Y123-X123,2),0)</f>
        <v>0</v>
      </c>
      <c r="AA123" s="24">
        <f>IF(AC122&gt;0,MIN(ROUND(AA$6+IF(AA$5=$C123,$E$5+$E123,0),2),ROUND(AC122+AB123,2)),0)</f>
        <v>0</v>
      </c>
      <c r="AB123" s="24">
        <f>IF(AC122&gt;0,ROUND(ROUND(AC122*100,0)*ROUND(AA$7*10000,0)/12000000,0)/100,0)</f>
        <v>0</v>
      </c>
      <c r="AC123" s="24">
        <f>IF(AC122&gt;0,ROUND(AC122+AB123-AA123,2),0)</f>
        <v>0</v>
      </c>
      <c r="AD123" s="24">
        <f>IF(AF122&gt;0,MIN(ROUND(AD$6+IF(AD$5=$C123,$E$5+$E123,0),2),ROUND(AF122+AE123,2)),0)</f>
        <v>0</v>
      </c>
      <c r="AE123" s="24">
        <f>IF(AF122&gt;0,ROUND(ROUND(AF122*100,0)*ROUND(AD$7*10000,0)/12000000,0)/100,0)</f>
        <v>0</v>
      </c>
      <c r="AF123" s="24">
        <f>IF(AF122&gt;0,ROUND(AF122+AE123-AD123,2),0)</f>
        <v>0</v>
      </c>
      <c r="AG123" s="24">
        <f>IF(AI122&gt;0,MIN(ROUND(AG$6+IF(AG$5=$C123,$E$5+$E123,0),2),ROUND(AI122+AH123,2)),0)</f>
        <v>0</v>
      </c>
      <c r="AH123" s="24">
        <f>IF(AI122&gt;0,ROUND(ROUND(AI122*100,0)*ROUND(AG$7*10000,0)/12000000,0)/100,0)</f>
        <v>0</v>
      </c>
      <c r="AI123" s="24">
        <f>IF(AI122&gt;0,ROUND(AI122+AH123-AG123,2),0)</f>
        <v>0</v>
      </c>
      <c r="AJ123" s="24">
        <f>IF(AL122&gt;0,MIN(ROUND(AJ$6+IF(AJ$5=$C123,$E$5+$E123,0),2),ROUND(AL122+AK123,2)),0)</f>
        <v>0</v>
      </c>
      <c r="AK123" s="24">
        <f>IF(AL122&gt;0,ROUND(ROUND(AL122*100,0)*ROUND(AJ$7*10000,0)/12000000,0)/100,0)</f>
        <v>0</v>
      </c>
      <c r="AL123" s="24">
        <f>IF(AL122&gt;0,ROUND(AL122+AK123-AJ123,2),0)</f>
        <v>0</v>
      </c>
    </row>
    <row r="124" spans="1:38" x14ac:dyDescent="0.25">
      <c r="A124" s="17" t="str">
        <f>IF(F124&gt;0,114,"")</f>
        <v/>
      </c>
      <c r="B124" s="18" t="str">
        <f>IF(F124&gt;0,EDATE($E$6,114),"")</f>
        <v/>
      </c>
      <c r="C124" s="21">
        <f>IF(H123&gt;0,MIN(IF(K123&gt;0,I$5,99),IF(N123&gt;0,L$5,99),IF(Q123&gt;0,O$5,99),IF(T123&gt;0,R$5,99),IF(W123&gt;0,U$5,99),IF(Z123&gt;0,X$5,99),IF(AC123&gt;0,AA$5,99),IF(AF123&gt;0,AD$5,99),IF(AI123&gt;0,AG$5,99),IF(AL123&gt;0,AJ$5,99)),0)</f>
        <v>0</v>
      </c>
      <c r="D124" t="str">
        <f>IF(C124&gt;0,INDEX($I$4:$AL$4,1,MATCH(C124,$I$5:$AL$5,0)),"")</f>
        <v/>
      </c>
      <c r="E124" s="24">
        <f>ROUND(IF(AND(I$8&gt;0,K123=0),I$6,0)+IF(AND(L$8&gt;0,N123=0),L$6,0)+IF(AND(O$8&gt;0,Q123=0),O$6,0)+IF(AND(R$8&gt;0,T123=0),R$6,0)+IF(AND(U$8&gt;0,W123=0),U$6,0)+IF(AND(X$8&gt;0,Z123=0),X$6,0)+IF(AND(AA$8&gt;0,AC123=0),AA$6,0)+IF(AND(AD$8&gt;0,AF123=0),AD$6,0)+IF(AND(AG$8&gt;0,AI123=0),AG$6,0)+IF(AND(AJ$8&gt;0,AL123=0),AJ$6,0),2)</f>
        <v>330</v>
      </c>
      <c r="F124" s="24">
        <f>ROUND(I124+L124+O124+R124+U124+X124+AA124+AD124+AG124+AJ124,2)</f>
        <v>0</v>
      </c>
      <c r="G124" s="24">
        <f>ROUND(J124+M124+P124+S124+V124+Y124+AB124+AE124+AH124+AK124,2)</f>
        <v>0</v>
      </c>
      <c r="H124" s="24">
        <f>ROUND(K124+N124+Q124+T124+W124+Z124+AC124+AF124+AI124+AL124,2)</f>
        <v>0</v>
      </c>
      <c r="I124" s="24">
        <f>IF(K123&gt;0,MIN(ROUND(I$6+IF(I$5=$C124,$E$5+$E124,0),2),ROUND(K123+J124,2)),0)</f>
        <v>0</v>
      </c>
      <c r="J124" s="24">
        <f>IF(K123&gt;0,ROUND(ROUND(K123*100,0)*ROUND(I$7*10000,0)/12000000,0)/100,0)</f>
        <v>0</v>
      </c>
      <c r="K124" s="24">
        <f>IF(K123&gt;0,ROUND(K123+J124-I124,2),0)</f>
        <v>0</v>
      </c>
      <c r="L124" s="24">
        <f>IF(N123&gt;0,MIN(ROUND(L$6+IF(L$5=$C124,$E$5+$E124,0),2),ROUND(N123+M124,2)),0)</f>
        <v>0</v>
      </c>
      <c r="M124" s="24">
        <f>IF(N123&gt;0,ROUND(ROUND(N123*100,0)*ROUND(L$7*10000,0)/12000000,0)/100,0)</f>
        <v>0</v>
      </c>
      <c r="N124" s="24">
        <f>IF(N123&gt;0,ROUND(N123+M124-L124,2),0)</f>
        <v>0</v>
      </c>
      <c r="O124" s="24">
        <f>IF(Q123&gt;0,MIN(ROUND(O$6+IF(O$5=$C124,$E$5+$E124,0),2),ROUND(Q123+P124,2)),0)</f>
        <v>0</v>
      </c>
      <c r="P124" s="24">
        <f>IF(Q123&gt;0,ROUND(ROUND(Q123*100,0)*ROUND(O$7*10000,0)/12000000,0)/100,0)</f>
        <v>0</v>
      </c>
      <c r="Q124" s="24">
        <f>IF(Q123&gt;0,ROUND(Q123+P124-O124,2),0)</f>
        <v>0</v>
      </c>
      <c r="R124" s="24">
        <f>IF(T123&gt;0,MIN(ROUND(R$6+IF(R$5=$C124,$E$5+$E124,0),2),ROUND(T123+S124,2)),0)</f>
        <v>0</v>
      </c>
      <c r="S124" s="24">
        <f>IF(T123&gt;0,ROUND(ROUND(T123*100,0)*ROUND(R$7*10000,0)/12000000,0)/100,0)</f>
        <v>0</v>
      </c>
      <c r="T124" s="24">
        <f>IF(T123&gt;0,ROUND(T123+S124-R124,2),0)</f>
        <v>0</v>
      </c>
      <c r="U124" s="24">
        <f>IF(W123&gt;0,MIN(ROUND(U$6+IF(U$5=$C124,$E$5+$E124,0),2),ROUND(W123+V124,2)),0)</f>
        <v>0</v>
      </c>
      <c r="V124" s="24">
        <f>IF(W123&gt;0,ROUND(ROUND(W123*100,0)*ROUND(U$7*10000,0)/12000000,0)/100,0)</f>
        <v>0</v>
      </c>
      <c r="W124" s="24">
        <f>IF(W123&gt;0,ROUND(W123+V124-U124,2),0)</f>
        <v>0</v>
      </c>
      <c r="X124" s="24">
        <f>IF(Z123&gt;0,MIN(ROUND(X$6+IF(X$5=$C124,$E$5+$E124,0),2),ROUND(Z123+Y124,2)),0)</f>
        <v>0</v>
      </c>
      <c r="Y124" s="24">
        <f>IF(Z123&gt;0,ROUND(ROUND(Z123*100,0)*ROUND(X$7*10000,0)/12000000,0)/100,0)</f>
        <v>0</v>
      </c>
      <c r="Z124" s="24">
        <f>IF(Z123&gt;0,ROUND(Z123+Y124-X124,2),0)</f>
        <v>0</v>
      </c>
      <c r="AA124" s="24">
        <f>IF(AC123&gt;0,MIN(ROUND(AA$6+IF(AA$5=$C124,$E$5+$E124,0),2),ROUND(AC123+AB124,2)),0)</f>
        <v>0</v>
      </c>
      <c r="AB124" s="24">
        <f>IF(AC123&gt;0,ROUND(ROUND(AC123*100,0)*ROUND(AA$7*10000,0)/12000000,0)/100,0)</f>
        <v>0</v>
      </c>
      <c r="AC124" s="24">
        <f>IF(AC123&gt;0,ROUND(AC123+AB124-AA124,2),0)</f>
        <v>0</v>
      </c>
      <c r="AD124" s="24">
        <f>IF(AF123&gt;0,MIN(ROUND(AD$6+IF(AD$5=$C124,$E$5+$E124,0),2),ROUND(AF123+AE124,2)),0)</f>
        <v>0</v>
      </c>
      <c r="AE124" s="24">
        <f>IF(AF123&gt;0,ROUND(ROUND(AF123*100,0)*ROUND(AD$7*10000,0)/12000000,0)/100,0)</f>
        <v>0</v>
      </c>
      <c r="AF124" s="24">
        <f>IF(AF123&gt;0,ROUND(AF123+AE124-AD124,2),0)</f>
        <v>0</v>
      </c>
      <c r="AG124" s="24">
        <f>IF(AI123&gt;0,MIN(ROUND(AG$6+IF(AG$5=$C124,$E$5+$E124,0),2),ROUND(AI123+AH124,2)),0)</f>
        <v>0</v>
      </c>
      <c r="AH124" s="24">
        <f>IF(AI123&gt;0,ROUND(ROUND(AI123*100,0)*ROUND(AG$7*10000,0)/12000000,0)/100,0)</f>
        <v>0</v>
      </c>
      <c r="AI124" s="24">
        <f>IF(AI123&gt;0,ROUND(AI123+AH124-AG124,2),0)</f>
        <v>0</v>
      </c>
      <c r="AJ124" s="24">
        <f>IF(AL123&gt;0,MIN(ROUND(AJ$6+IF(AJ$5=$C124,$E$5+$E124,0),2),ROUND(AL123+AK124,2)),0)</f>
        <v>0</v>
      </c>
      <c r="AK124" s="24">
        <f>IF(AL123&gt;0,ROUND(ROUND(AL123*100,0)*ROUND(AJ$7*10000,0)/12000000,0)/100,0)</f>
        <v>0</v>
      </c>
      <c r="AL124" s="24">
        <f>IF(AL123&gt;0,ROUND(AL123+AK124-AJ124,2),0)</f>
        <v>0</v>
      </c>
    </row>
    <row r="125" spans="1:38" x14ac:dyDescent="0.25">
      <c r="A125" s="17" t="str">
        <f>IF(F125&gt;0,115,"")</f>
        <v/>
      </c>
      <c r="B125" s="18" t="str">
        <f>IF(F125&gt;0,EDATE($E$6,115),"")</f>
        <v/>
      </c>
      <c r="C125" s="21">
        <f>IF(H124&gt;0,MIN(IF(K124&gt;0,I$5,99),IF(N124&gt;0,L$5,99),IF(Q124&gt;0,O$5,99),IF(T124&gt;0,R$5,99),IF(W124&gt;0,U$5,99),IF(Z124&gt;0,X$5,99),IF(AC124&gt;0,AA$5,99),IF(AF124&gt;0,AD$5,99),IF(AI124&gt;0,AG$5,99),IF(AL124&gt;0,AJ$5,99)),0)</f>
        <v>0</v>
      </c>
      <c r="D125" t="str">
        <f>IF(C125&gt;0,INDEX($I$4:$AL$4,1,MATCH(C125,$I$5:$AL$5,0)),"")</f>
        <v/>
      </c>
      <c r="E125" s="24">
        <f>ROUND(IF(AND(I$8&gt;0,K124=0),I$6,0)+IF(AND(L$8&gt;0,N124=0),L$6,0)+IF(AND(O$8&gt;0,Q124=0),O$6,0)+IF(AND(R$8&gt;0,T124=0),R$6,0)+IF(AND(U$8&gt;0,W124=0),U$6,0)+IF(AND(X$8&gt;0,Z124=0),X$6,0)+IF(AND(AA$8&gt;0,AC124=0),AA$6,0)+IF(AND(AD$8&gt;0,AF124=0),AD$6,0)+IF(AND(AG$8&gt;0,AI124=0),AG$6,0)+IF(AND(AJ$8&gt;0,AL124=0),AJ$6,0),2)</f>
        <v>330</v>
      </c>
      <c r="F125" s="24">
        <f>ROUND(I125+L125+O125+R125+U125+X125+AA125+AD125+AG125+AJ125,2)</f>
        <v>0</v>
      </c>
      <c r="G125" s="24">
        <f>ROUND(J125+M125+P125+S125+V125+Y125+AB125+AE125+AH125+AK125,2)</f>
        <v>0</v>
      </c>
      <c r="H125" s="24">
        <f>ROUND(K125+N125+Q125+T125+W125+Z125+AC125+AF125+AI125+AL125,2)</f>
        <v>0</v>
      </c>
      <c r="I125" s="24">
        <f>IF(K124&gt;0,MIN(ROUND(I$6+IF(I$5=$C125,$E$5+$E125,0),2),ROUND(K124+J125,2)),0)</f>
        <v>0</v>
      </c>
      <c r="J125" s="24">
        <f>IF(K124&gt;0,ROUND(ROUND(K124*100,0)*ROUND(I$7*10000,0)/12000000,0)/100,0)</f>
        <v>0</v>
      </c>
      <c r="K125" s="24">
        <f>IF(K124&gt;0,ROUND(K124+J125-I125,2),0)</f>
        <v>0</v>
      </c>
      <c r="L125" s="24">
        <f>IF(N124&gt;0,MIN(ROUND(L$6+IF(L$5=$C125,$E$5+$E125,0),2),ROUND(N124+M125,2)),0)</f>
        <v>0</v>
      </c>
      <c r="M125" s="24">
        <f>IF(N124&gt;0,ROUND(ROUND(N124*100,0)*ROUND(L$7*10000,0)/12000000,0)/100,0)</f>
        <v>0</v>
      </c>
      <c r="N125" s="24">
        <f>IF(N124&gt;0,ROUND(N124+M125-L125,2),0)</f>
        <v>0</v>
      </c>
      <c r="O125" s="24">
        <f>IF(Q124&gt;0,MIN(ROUND(O$6+IF(O$5=$C125,$E$5+$E125,0),2),ROUND(Q124+P125,2)),0)</f>
        <v>0</v>
      </c>
      <c r="P125" s="24">
        <f>IF(Q124&gt;0,ROUND(ROUND(Q124*100,0)*ROUND(O$7*10000,0)/12000000,0)/100,0)</f>
        <v>0</v>
      </c>
      <c r="Q125" s="24">
        <f>IF(Q124&gt;0,ROUND(Q124+P125-O125,2),0)</f>
        <v>0</v>
      </c>
      <c r="R125" s="24">
        <f>IF(T124&gt;0,MIN(ROUND(R$6+IF(R$5=$C125,$E$5+$E125,0),2),ROUND(T124+S125,2)),0)</f>
        <v>0</v>
      </c>
      <c r="S125" s="24">
        <f>IF(T124&gt;0,ROUND(ROUND(T124*100,0)*ROUND(R$7*10000,0)/12000000,0)/100,0)</f>
        <v>0</v>
      </c>
      <c r="T125" s="24">
        <f>IF(T124&gt;0,ROUND(T124+S125-R125,2),0)</f>
        <v>0</v>
      </c>
      <c r="U125" s="24">
        <f>IF(W124&gt;0,MIN(ROUND(U$6+IF(U$5=$C125,$E$5+$E125,0),2),ROUND(W124+V125,2)),0)</f>
        <v>0</v>
      </c>
      <c r="V125" s="24">
        <f>IF(W124&gt;0,ROUND(ROUND(W124*100,0)*ROUND(U$7*10000,0)/12000000,0)/100,0)</f>
        <v>0</v>
      </c>
      <c r="W125" s="24">
        <f>IF(W124&gt;0,ROUND(W124+V125-U125,2),0)</f>
        <v>0</v>
      </c>
      <c r="X125" s="24">
        <f>IF(Z124&gt;0,MIN(ROUND(X$6+IF(X$5=$C125,$E$5+$E125,0),2),ROUND(Z124+Y125,2)),0)</f>
        <v>0</v>
      </c>
      <c r="Y125" s="24">
        <f>IF(Z124&gt;0,ROUND(ROUND(Z124*100,0)*ROUND(X$7*10000,0)/12000000,0)/100,0)</f>
        <v>0</v>
      </c>
      <c r="Z125" s="24">
        <f>IF(Z124&gt;0,ROUND(Z124+Y125-X125,2),0)</f>
        <v>0</v>
      </c>
      <c r="AA125" s="24">
        <f>IF(AC124&gt;0,MIN(ROUND(AA$6+IF(AA$5=$C125,$E$5+$E125,0),2),ROUND(AC124+AB125,2)),0)</f>
        <v>0</v>
      </c>
      <c r="AB125" s="24">
        <f>IF(AC124&gt;0,ROUND(ROUND(AC124*100,0)*ROUND(AA$7*10000,0)/12000000,0)/100,0)</f>
        <v>0</v>
      </c>
      <c r="AC125" s="24">
        <f>IF(AC124&gt;0,ROUND(AC124+AB125-AA125,2),0)</f>
        <v>0</v>
      </c>
      <c r="AD125" s="24">
        <f>IF(AF124&gt;0,MIN(ROUND(AD$6+IF(AD$5=$C125,$E$5+$E125,0),2),ROUND(AF124+AE125,2)),0)</f>
        <v>0</v>
      </c>
      <c r="AE125" s="24">
        <f>IF(AF124&gt;0,ROUND(ROUND(AF124*100,0)*ROUND(AD$7*10000,0)/12000000,0)/100,0)</f>
        <v>0</v>
      </c>
      <c r="AF125" s="24">
        <f>IF(AF124&gt;0,ROUND(AF124+AE125-AD125,2),0)</f>
        <v>0</v>
      </c>
      <c r="AG125" s="24">
        <f>IF(AI124&gt;0,MIN(ROUND(AG$6+IF(AG$5=$C125,$E$5+$E125,0),2),ROUND(AI124+AH125,2)),0)</f>
        <v>0</v>
      </c>
      <c r="AH125" s="24">
        <f>IF(AI124&gt;0,ROUND(ROUND(AI124*100,0)*ROUND(AG$7*10000,0)/12000000,0)/100,0)</f>
        <v>0</v>
      </c>
      <c r="AI125" s="24">
        <f>IF(AI124&gt;0,ROUND(AI124+AH125-AG125,2),0)</f>
        <v>0</v>
      </c>
      <c r="AJ125" s="24">
        <f>IF(AL124&gt;0,MIN(ROUND(AJ$6+IF(AJ$5=$C125,$E$5+$E125,0),2),ROUND(AL124+AK125,2)),0)</f>
        <v>0</v>
      </c>
      <c r="AK125" s="24">
        <f>IF(AL124&gt;0,ROUND(ROUND(AL124*100,0)*ROUND(AJ$7*10000,0)/12000000,0)/100,0)</f>
        <v>0</v>
      </c>
      <c r="AL125" s="24">
        <f>IF(AL124&gt;0,ROUND(AL124+AK125-AJ125,2),0)</f>
        <v>0</v>
      </c>
    </row>
    <row r="126" spans="1:38" x14ac:dyDescent="0.25">
      <c r="A126" s="17" t="str">
        <f>IF(F126&gt;0,116,"")</f>
        <v/>
      </c>
      <c r="B126" s="18" t="str">
        <f>IF(F126&gt;0,EDATE($E$6,116),"")</f>
        <v/>
      </c>
      <c r="C126" s="21">
        <f>IF(H125&gt;0,MIN(IF(K125&gt;0,I$5,99),IF(N125&gt;0,L$5,99),IF(Q125&gt;0,O$5,99),IF(T125&gt;0,R$5,99),IF(W125&gt;0,U$5,99),IF(Z125&gt;0,X$5,99),IF(AC125&gt;0,AA$5,99),IF(AF125&gt;0,AD$5,99),IF(AI125&gt;0,AG$5,99),IF(AL125&gt;0,AJ$5,99)),0)</f>
        <v>0</v>
      </c>
      <c r="D126" t="str">
        <f>IF(C126&gt;0,INDEX($I$4:$AL$4,1,MATCH(C126,$I$5:$AL$5,0)),"")</f>
        <v/>
      </c>
      <c r="E126" s="24">
        <f>ROUND(IF(AND(I$8&gt;0,K125=0),I$6,0)+IF(AND(L$8&gt;0,N125=0),L$6,0)+IF(AND(O$8&gt;0,Q125=0),O$6,0)+IF(AND(R$8&gt;0,T125=0),R$6,0)+IF(AND(U$8&gt;0,W125=0),U$6,0)+IF(AND(X$8&gt;0,Z125=0),X$6,0)+IF(AND(AA$8&gt;0,AC125=0),AA$6,0)+IF(AND(AD$8&gt;0,AF125=0),AD$6,0)+IF(AND(AG$8&gt;0,AI125=0),AG$6,0)+IF(AND(AJ$8&gt;0,AL125=0),AJ$6,0),2)</f>
        <v>330</v>
      </c>
      <c r="F126" s="24">
        <f>ROUND(I126+L126+O126+R126+U126+X126+AA126+AD126+AG126+AJ126,2)</f>
        <v>0</v>
      </c>
      <c r="G126" s="24">
        <f>ROUND(J126+M126+P126+S126+V126+Y126+AB126+AE126+AH126+AK126,2)</f>
        <v>0</v>
      </c>
      <c r="H126" s="24">
        <f>ROUND(K126+N126+Q126+T126+W126+Z126+AC126+AF126+AI126+AL126,2)</f>
        <v>0</v>
      </c>
      <c r="I126" s="24">
        <f>IF(K125&gt;0,MIN(ROUND(I$6+IF(I$5=$C126,$E$5+$E126,0),2),ROUND(K125+J126,2)),0)</f>
        <v>0</v>
      </c>
      <c r="J126" s="24">
        <f>IF(K125&gt;0,ROUND(ROUND(K125*100,0)*ROUND(I$7*10000,0)/12000000,0)/100,0)</f>
        <v>0</v>
      </c>
      <c r="K126" s="24">
        <f>IF(K125&gt;0,ROUND(K125+J126-I126,2),0)</f>
        <v>0</v>
      </c>
      <c r="L126" s="24">
        <f>IF(N125&gt;0,MIN(ROUND(L$6+IF(L$5=$C126,$E$5+$E126,0),2),ROUND(N125+M126,2)),0)</f>
        <v>0</v>
      </c>
      <c r="M126" s="24">
        <f>IF(N125&gt;0,ROUND(ROUND(N125*100,0)*ROUND(L$7*10000,0)/12000000,0)/100,0)</f>
        <v>0</v>
      </c>
      <c r="N126" s="24">
        <f>IF(N125&gt;0,ROUND(N125+M126-L126,2),0)</f>
        <v>0</v>
      </c>
      <c r="O126" s="24">
        <f>IF(Q125&gt;0,MIN(ROUND(O$6+IF(O$5=$C126,$E$5+$E126,0),2),ROUND(Q125+P126,2)),0)</f>
        <v>0</v>
      </c>
      <c r="P126" s="24">
        <f>IF(Q125&gt;0,ROUND(ROUND(Q125*100,0)*ROUND(O$7*10000,0)/12000000,0)/100,0)</f>
        <v>0</v>
      </c>
      <c r="Q126" s="24">
        <f>IF(Q125&gt;0,ROUND(Q125+P126-O126,2),0)</f>
        <v>0</v>
      </c>
      <c r="R126" s="24">
        <f>IF(T125&gt;0,MIN(ROUND(R$6+IF(R$5=$C126,$E$5+$E126,0),2),ROUND(T125+S126,2)),0)</f>
        <v>0</v>
      </c>
      <c r="S126" s="24">
        <f>IF(T125&gt;0,ROUND(ROUND(T125*100,0)*ROUND(R$7*10000,0)/12000000,0)/100,0)</f>
        <v>0</v>
      </c>
      <c r="T126" s="24">
        <f>IF(T125&gt;0,ROUND(T125+S126-R126,2),0)</f>
        <v>0</v>
      </c>
      <c r="U126" s="24">
        <f>IF(W125&gt;0,MIN(ROUND(U$6+IF(U$5=$C126,$E$5+$E126,0),2),ROUND(W125+V126,2)),0)</f>
        <v>0</v>
      </c>
      <c r="V126" s="24">
        <f>IF(W125&gt;0,ROUND(ROUND(W125*100,0)*ROUND(U$7*10000,0)/12000000,0)/100,0)</f>
        <v>0</v>
      </c>
      <c r="W126" s="24">
        <f>IF(W125&gt;0,ROUND(W125+V126-U126,2),0)</f>
        <v>0</v>
      </c>
      <c r="X126" s="24">
        <f>IF(Z125&gt;0,MIN(ROUND(X$6+IF(X$5=$C126,$E$5+$E126,0),2),ROUND(Z125+Y126,2)),0)</f>
        <v>0</v>
      </c>
      <c r="Y126" s="24">
        <f>IF(Z125&gt;0,ROUND(ROUND(Z125*100,0)*ROUND(X$7*10000,0)/12000000,0)/100,0)</f>
        <v>0</v>
      </c>
      <c r="Z126" s="24">
        <f>IF(Z125&gt;0,ROUND(Z125+Y126-X126,2),0)</f>
        <v>0</v>
      </c>
      <c r="AA126" s="24">
        <f>IF(AC125&gt;0,MIN(ROUND(AA$6+IF(AA$5=$C126,$E$5+$E126,0),2),ROUND(AC125+AB126,2)),0)</f>
        <v>0</v>
      </c>
      <c r="AB126" s="24">
        <f>IF(AC125&gt;0,ROUND(ROUND(AC125*100,0)*ROUND(AA$7*10000,0)/12000000,0)/100,0)</f>
        <v>0</v>
      </c>
      <c r="AC126" s="24">
        <f>IF(AC125&gt;0,ROUND(AC125+AB126-AA126,2),0)</f>
        <v>0</v>
      </c>
      <c r="AD126" s="24">
        <f>IF(AF125&gt;0,MIN(ROUND(AD$6+IF(AD$5=$C126,$E$5+$E126,0),2),ROUND(AF125+AE126,2)),0)</f>
        <v>0</v>
      </c>
      <c r="AE126" s="24">
        <f>IF(AF125&gt;0,ROUND(ROUND(AF125*100,0)*ROUND(AD$7*10000,0)/12000000,0)/100,0)</f>
        <v>0</v>
      </c>
      <c r="AF126" s="24">
        <f>IF(AF125&gt;0,ROUND(AF125+AE126-AD126,2),0)</f>
        <v>0</v>
      </c>
      <c r="AG126" s="24">
        <f>IF(AI125&gt;0,MIN(ROUND(AG$6+IF(AG$5=$C126,$E$5+$E126,0),2),ROUND(AI125+AH126,2)),0)</f>
        <v>0</v>
      </c>
      <c r="AH126" s="24">
        <f>IF(AI125&gt;0,ROUND(ROUND(AI125*100,0)*ROUND(AG$7*10000,0)/12000000,0)/100,0)</f>
        <v>0</v>
      </c>
      <c r="AI126" s="24">
        <f>IF(AI125&gt;0,ROUND(AI125+AH126-AG126,2),0)</f>
        <v>0</v>
      </c>
      <c r="AJ126" s="24">
        <f>IF(AL125&gt;0,MIN(ROUND(AJ$6+IF(AJ$5=$C126,$E$5+$E126,0),2),ROUND(AL125+AK126,2)),0)</f>
        <v>0</v>
      </c>
      <c r="AK126" s="24">
        <f>IF(AL125&gt;0,ROUND(ROUND(AL125*100,0)*ROUND(AJ$7*10000,0)/12000000,0)/100,0)</f>
        <v>0</v>
      </c>
      <c r="AL126" s="24">
        <f>IF(AL125&gt;0,ROUND(AL125+AK126-AJ126,2),0)</f>
        <v>0</v>
      </c>
    </row>
    <row r="127" spans="1:38" x14ac:dyDescent="0.25">
      <c r="A127" s="17" t="str">
        <f>IF(F127&gt;0,117,"")</f>
        <v/>
      </c>
      <c r="B127" s="18" t="str">
        <f>IF(F127&gt;0,EDATE($E$6,117),"")</f>
        <v/>
      </c>
      <c r="C127" s="21">
        <f>IF(H126&gt;0,MIN(IF(K126&gt;0,I$5,99),IF(N126&gt;0,L$5,99),IF(Q126&gt;0,O$5,99),IF(T126&gt;0,R$5,99),IF(W126&gt;0,U$5,99),IF(Z126&gt;0,X$5,99),IF(AC126&gt;0,AA$5,99),IF(AF126&gt;0,AD$5,99),IF(AI126&gt;0,AG$5,99),IF(AL126&gt;0,AJ$5,99)),0)</f>
        <v>0</v>
      </c>
      <c r="D127" t="str">
        <f>IF(C127&gt;0,INDEX($I$4:$AL$4,1,MATCH(C127,$I$5:$AL$5,0)),"")</f>
        <v/>
      </c>
      <c r="E127" s="24">
        <f>ROUND(IF(AND(I$8&gt;0,K126=0),I$6,0)+IF(AND(L$8&gt;0,N126=0),L$6,0)+IF(AND(O$8&gt;0,Q126=0),O$6,0)+IF(AND(R$8&gt;0,T126=0),R$6,0)+IF(AND(U$8&gt;0,W126=0),U$6,0)+IF(AND(X$8&gt;0,Z126=0),X$6,0)+IF(AND(AA$8&gt;0,AC126=0),AA$6,0)+IF(AND(AD$8&gt;0,AF126=0),AD$6,0)+IF(AND(AG$8&gt;0,AI126=0),AG$6,0)+IF(AND(AJ$8&gt;0,AL126=0),AJ$6,0),2)</f>
        <v>330</v>
      </c>
      <c r="F127" s="24">
        <f>ROUND(I127+L127+O127+R127+U127+X127+AA127+AD127+AG127+AJ127,2)</f>
        <v>0</v>
      </c>
      <c r="G127" s="24">
        <f>ROUND(J127+M127+P127+S127+V127+Y127+AB127+AE127+AH127+AK127,2)</f>
        <v>0</v>
      </c>
      <c r="H127" s="24">
        <f>ROUND(K127+N127+Q127+T127+W127+Z127+AC127+AF127+AI127+AL127,2)</f>
        <v>0</v>
      </c>
      <c r="I127" s="24">
        <f>IF(K126&gt;0,MIN(ROUND(I$6+IF(I$5=$C127,$E$5+$E127,0),2),ROUND(K126+J127,2)),0)</f>
        <v>0</v>
      </c>
      <c r="J127" s="24">
        <f>IF(K126&gt;0,ROUND(ROUND(K126*100,0)*ROUND(I$7*10000,0)/12000000,0)/100,0)</f>
        <v>0</v>
      </c>
      <c r="K127" s="24">
        <f>IF(K126&gt;0,ROUND(K126+J127-I127,2),0)</f>
        <v>0</v>
      </c>
      <c r="L127" s="24">
        <f>IF(N126&gt;0,MIN(ROUND(L$6+IF(L$5=$C127,$E$5+$E127,0),2),ROUND(N126+M127,2)),0)</f>
        <v>0</v>
      </c>
      <c r="M127" s="24">
        <f>IF(N126&gt;0,ROUND(ROUND(N126*100,0)*ROUND(L$7*10000,0)/12000000,0)/100,0)</f>
        <v>0</v>
      </c>
      <c r="N127" s="24">
        <f>IF(N126&gt;0,ROUND(N126+M127-L127,2),0)</f>
        <v>0</v>
      </c>
      <c r="O127" s="24">
        <f>IF(Q126&gt;0,MIN(ROUND(O$6+IF(O$5=$C127,$E$5+$E127,0),2),ROUND(Q126+P127,2)),0)</f>
        <v>0</v>
      </c>
      <c r="P127" s="24">
        <f>IF(Q126&gt;0,ROUND(ROUND(Q126*100,0)*ROUND(O$7*10000,0)/12000000,0)/100,0)</f>
        <v>0</v>
      </c>
      <c r="Q127" s="24">
        <f>IF(Q126&gt;0,ROUND(Q126+P127-O127,2),0)</f>
        <v>0</v>
      </c>
      <c r="R127" s="24">
        <f>IF(T126&gt;0,MIN(ROUND(R$6+IF(R$5=$C127,$E$5+$E127,0),2),ROUND(T126+S127,2)),0)</f>
        <v>0</v>
      </c>
      <c r="S127" s="24">
        <f>IF(T126&gt;0,ROUND(ROUND(T126*100,0)*ROUND(R$7*10000,0)/12000000,0)/100,0)</f>
        <v>0</v>
      </c>
      <c r="T127" s="24">
        <f>IF(T126&gt;0,ROUND(T126+S127-R127,2),0)</f>
        <v>0</v>
      </c>
      <c r="U127" s="24">
        <f>IF(W126&gt;0,MIN(ROUND(U$6+IF(U$5=$C127,$E$5+$E127,0),2),ROUND(W126+V127,2)),0)</f>
        <v>0</v>
      </c>
      <c r="V127" s="24">
        <f>IF(W126&gt;0,ROUND(ROUND(W126*100,0)*ROUND(U$7*10000,0)/12000000,0)/100,0)</f>
        <v>0</v>
      </c>
      <c r="W127" s="24">
        <f>IF(W126&gt;0,ROUND(W126+V127-U127,2),0)</f>
        <v>0</v>
      </c>
      <c r="X127" s="24">
        <f>IF(Z126&gt;0,MIN(ROUND(X$6+IF(X$5=$C127,$E$5+$E127,0),2),ROUND(Z126+Y127,2)),0)</f>
        <v>0</v>
      </c>
      <c r="Y127" s="24">
        <f>IF(Z126&gt;0,ROUND(ROUND(Z126*100,0)*ROUND(X$7*10000,0)/12000000,0)/100,0)</f>
        <v>0</v>
      </c>
      <c r="Z127" s="24">
        <f>IF(Z126&gt;0,ROUND(Z126+Y127-X127,2),0)</f>
        <v>0</v>
      </c>
      <c r="AA127" s="24">
        <f>IF(AC126&gt;0,MIN(ROUND(AA$6+IF(AA$5=$C127,$E$5+$E127,0),2),ROUND(AC126+AB127,2)),0)</f>
        <v>0</v>
      </c>
      <c r="AB127" s="24">
        <f>IF(AC126&gt;0,ROUND(ROUND(AC126*100,0)*ROUND(AA$7*10000,0)/12000000,0)/100,0)</f>
        <v>0</v>
      </c>
      <c r="AC127" s="24">
        <f>IF(AC126&gt;0,ROUND(AC126+AB127-AA127,2),0)</f>
        <v>0</v>
      </c>
      <c r="AD127" s="24">
        <f>IF(AF126&gt;0,MIN(ROUND(AD$6+IF(AD$5=$C127,$E$5+$E127,0),2),ROUND(AF126+AE127,2)),0)</f>
        <v>0</v>
      </c>
      <c r="AE127" s="24">
        <f>IF(AF126&gt;0,ROUND(ROUND(AF126*100,0)*ROUND(AD$7*10000,0)/12000000,0)/100,0)</f>
        <v>0</v>
      </c>
      <c r="AF127" s="24">
        <f>IF(AF126&gt;0,ROUND(AF126+AE127-AD127,2),0)</f>
        <v>0</v>
      </c>
      <c r="AG127" s="24">
        <f>IF(AI126&gt;0,MIN(ROUND(AG$6+IF(AG$5=$C127,$E$5+$E127,0),2),ROUND(AI126+AH127,2)),0)</f>
        <v>0</v>
      </c>
      <c r="AH127" s="24">
        <f>IF(AI126&gt;0,ROUND(ROUND(AI126*100,0)*ROUND(AG$7*10000,0)/12000000,0)/100,0)</f>
        <v>0</v>
      </c>
      <c r="AI127" s="24">
        <f>IF(AI126&gt;0,ROUND(AI126+AH127-AG127,2),0)</f>
        <v>0</v>
      </c>
      <c r="AJ127" s="24">
        <f>IF(AL126&gt;0,MIN(ROUND(AJ$6+IF(AJ$5=$C127,$E$5+$E127,0),2),ROUND(AL126+AK127,2)),0)</f>
        <v>0</v>
      </c>
      <c r="AK127" s="24">
        <f>IF(AL126&gt;0,ROUND(ROUND(AL126*100,0)*ROUND(AJ$7*10000,0)/12000000,0)/100,0)</f>
        <v>0</v>
      </c>
      <c r="AL127" s="24">
        <f>IF(AL126&gt;0,ROUND(AL126+AK127-AJ127,2),0)</f>
        <v>0</v>
      </c>
    </row>
    <row r="128" spans="1:38" x14ac:dyDescent="0.25">
      <c r="A128" s="17" t="str">
        <f>IF(F128&gt;0,118,"")</f>
        <v/>
      </c>
      <c r="B128" s="18" t="str">
        <f>IF(F128&gt;0,EDATE($E$6,118),"")</f>
        <v/>
      </c>
      <c r="C128" s="21">
        <f>IF(H127&gt;0,MIN(IF(K127&gt;0,I$5,99),IF(N127&gt;0,L$5,99),IF(Q127&gt;0,O$5,99),IF(T127&gt;0,R$5,99),IF(W127&gt;0,U$5,99),IF(Z127&gt;0,X$5,99),IF(AC127&gt;0,AA$5,99),IF(AF127&gt;0,AD$5,99),IF(AI127&gt;0,AG$5,99),IF(AL127&gt;0,AJ$5,99)),0)</f>
        <v>0</v>
      </c>
      <c r="D128" t="str">
        <f>IF(C128&gt;0,INDEX($I$4:$AL$4,1,MATCH(C128,$I$5:$AL$5,0)),"")</f>
        <v/>
      </c>
      <c r="E128" s="24">
        <f>ROUND(IF(AND(I$8&gt;0,K127=0),I$6,0)+IF(AND(L$8&gt;0,N127=0),L$6,0)+IF(AND(O$8&gt;0,Q127=0),O$6,0)+IF(AND(R$8&gt;0,T127=0),R$6,0)+IF(AND(U$8&gt;0,W127=0),U$6,0)+IF(AND(X$8&gt;0,Z127=0),X$6,0)+IF(AND(AA$8&gt;0,AC127=0),AA$6,0)+IF(AND(AD$8&gt;0,AF127=0),AD$6,0)+IF(AND(AG$8&gt;0,AI127=0),AG$6,0)+IF(AND(AJ$8&gt;0,AL127=0),AJ$6,0),2)</f>
        <v>330</v>
      </c>
      <c r="F128" s="24">
        <f>ROUND(I128+L128+O128+R128+U128+X128+AA128+AD128+AG128+AJ128,2)</f>
        <v>0</v>
      </c>
      <c r="G128" s="24">
        <f>ROUND(J128+M128+P128+S128+V128+Y128+AB128+AE128+AH128+AK128,2)</f>
        <v>0</v>
      </c>
      <c r="H128" s="24">
        <f>ROUND(K128+N128+Q128+T128+W128+Z128+AC128+AF128+AI128+AL128,2)</f>
        <v>0</v>
      </c>
      <c r="I128" s="24">
        <f>IF(K127&gt;0,MIN(ROUND(I$6+IF(I$5=$C128,$E$5+$E128,0),2),ROUND(K127+J128,2)),0)</f>
        <v>0</v>
      </c>
      <c r="J128" s="24">
        <f>IF(K127&gt;0,ROUND(ROUND(K127*100,0)*ROUND(I$7*10000,0)/12000000,0)/100,0)</f>
        <v>0</v>
      </c>
      <c r="K128" s="24">
        <f>IF(K127&gt;0,ROUND(K127+J128-I128,2),0)</f>
        <v>0</v>
      </c>
      <c r="L128" s="24">
        <f>IF(N127&gt;0,MIN(ROUND(L$6+IF(L$5=$C128,$E$5+$E128,0),2),ROUND(N127+M128,2)),0)</f>
        <v>0</v>
      </c>
      <c r="M128" s="24">
        <f>IF(N127&gt;0,ROUND(ROUND(N127*100,0)*ROUND(L$7*10000,0)/12000000,0)/100,0)</f>
        <v>0</v>
      </c>
      <c r="N128" s="24">
        <f>IF(N127&gt;0,ROUND(N127+M128-L128,2),0)</f>
        <v>0</v>
      </c>
      <c r="O128" s="24">
        <f>IF(Q127&gt;0,MIN(ROUND(O$6+IF(O$5=$C128,$E$5+$E128,0),2),ROUND(Q127+P128,2)),0)</f>
        <v>0</v>
      </c>
      <c r="P128" s="24">
        <f>IF(Q127&gt;0,ROUND(ROUND(Q127*100,0)*ROUND(O$7*10000,0)/12000000,0)/100,0)</f>
        <v>0</v>
      </c>
      <c r="Q128" s="24">
        <f>IF(Q127&gt;0,ROUND(Q127+P128-O128,2),0)</f>
        <v>0</v>
      </c>
      <c r="R128" s="24">
        <f>IF(T127&gt;0,MIN(ROUND(R$6+IF(R$5=$C128,$E$5+$E128,0),2),ROUND(T127+S128,2)),0)</f>
        <v>0</v>
      </c>
      <c r="S128" s="24">
        <f>IF(T127&gt;0,ROUND(ROUND(T127*100,0)*ROUND(R$7*10000,0)/12000000,0)/100,0)</f>
        <v>0</v>
      </c>
      <c r="T128" s="24">
        <f>IF(T127&gt;0,ROUND(T127+S128-R128,2),0)</f>
        <v>0</v>
      </c>
      <c r="U128" s="24">
        <f>IF(W127&gt;0,MIN(ROUND(U$6+IF(U$5=$C128,$E$5+$E128,0),2),ROUND(W127+V128,2)),0)</f>
        <v>0</v>
      </c>
      <c r="V128" s="24">
        <f>IF(W127&gt;0,ROUND(ROUND(W127*100,0)*ROUND(U$7*10000,0)/12000000,0)/100,0)</f>
        <v>0</v>
      </c>
      <c r="W128" s="24">
        <f>IF(W127&gt;0,ROUND(W127+V128-U128,2),0)</f>
        <v>0</v>
      </c>
      <c r="X128" s="24">
        <f>IF(Z127&gt;0,MIN(ROUND(X$6+IF(X$5=$C128,$E$5+$E128,0),2),ROUND(Z127+Y128,2)),0)</f>
        <v>0</v>
      </c>
      <c r="Y128" s="24">
        <f>IF(Z127&gt;0,ROUND(ROUND(Z127*100,0)*ROUND(X$7*10000,0)/12000000,0)/100,0)</f>
        <v>0</v>
      </c>
      <c r="Z128" s="24">
        <f>IF(Z127&gt;0,ROUND(Z127+Y128-X128,2),0)</f>
        <v>0</v>
      </c>
      <c r="AA128" s="24">
        <f>IF(AC127&gt;0,MIN(ROUND(AA$6+IF(AA$5=$C128,$E$5+$E128,0),2),ROUND(AC127+AB128,2)),0)</f>
        <v>0</v>
      </c>
      <c r="AB128" s="24">
        <f>IF(AC127&gt;0,ROUND(ROUND(AC127*100,0)*ROUND(AA$7*10000,0)/12000000,0)/100,0)</f>
        <v>0</v>
      </c>
      <c r="AC128" s="24">
        <f>IF(AC127&gt;0,ROUND(AC127+AB128-AA128,2),0)</f>
        <v>0</v>
      </c>
      <c r="AD128" s="24">
        <f>IF(AF127&gt;0,MIN(ROUND(AD$6+IF(AD$5=$C128,$E$5+$E128,0),2),ROUND(AF127+AE128,2)),0)</f>
        <v>0</v>
      </c>
      <c r="AE128" s="24">
        <f>IF(AF127&gt;0,ROUND(ROUND(AF127*100,0)*ROUND(AD$7*10000,0)/12000000,0)/100,0)</f>
        <v>0</v>
      </c>
      <c r="AF128" s="24">
        <f>IF(AF127&gt;0,ROUND(AF127+AE128-AD128,2),0)</f>
        <v>0</v>
      </c>
      <c r="AG128" s="24">
        <f>IF(AI127&gt;0,MIN(ROUND(AG$6+IF(AG$5=$C128,$E$5+$E128,0),2),ROUND(AI127+AH128,2)),0)</f>
        <v>0</v>
      </c>
      <c r="AH128" s="24">
        <f>IF(AI127&gt;0,ROUND(ROUND(AI127*100,0)*ROUND(AG$7*10000,0)/12000000,0)/100,0)</f>
        <v>0</v>
      </c>
      <c r="AI128" s="24">
        <f>IF(AI127&gt;0,ROUND(AI127+AH128-AG128,2),0)</f>
        <v>0</v>
      </c>
      <c r="AJ128" s="24">
        <f>IF(AL127&gt;0,MIN(ROUND(AJ$6+IF(AJ$5=$C128,$E$5+$E128,0),2),ROUND(AL127+AK128,2)),0)</f>
        <v>0</v>
      </c>
      <c r="AK128" s="24">
        <f>IF(AL127&gt;0,ROUND(ROUND(AL127*100,0)*ROUND(AJ$7*10000,0)/12000000,0)/100,0)</f>
        <v>0</v>
      </c>
      <c r="AL128" s="24">
        <f>IF(AL127&gt;0,ROUND(AL127+AK128-AJ128,2),0)</f>
        <v>0</v>
      </c>
    </row>
    <row r="129" spans="1:38" x14ac:dyDescent="0.25">
      <c r="A129" s="17" t="str">
        <f>IF(F129&gt;0,119,"")</f>
        <v/>
      </c>
      <c r="B129" s="18" t="str">
        <f>IF(F129&gt;0,EDATE($E$6,119),"")</f>
        <v/>
      </c>
      <c r="C129" s="21">
        <f>IF(H128&gt;0,MIN(IF(K128&gt;0,I$5,99),IF(N128&gt;0,L$5,99),IF(Q128&gt;0,O$5,99),IF(T128&gt;0,R$5,99),IF(W128&gt;0,U$5,99),IF(Z128&gt;0,X$5,99),IF(AC128&gt;0,AA$5,99),IF(AF128&gt;0,AD$5,99),IF(AI128&gt;0,AG$5,99),IF(AL128&gt;0,AJ$5,99)),0)</f>
        <v>0</v>
      </c>
      <c r="D129" t="str">
        <f>IF(C129&gt;0,INDEX($I$4:$AL$4,1,MATCH(C129,$I$5:$AL$5,0)),"")</f>
        <v/>
      </c>
      <c r="E129" s="24">
        <f>ROUND(IF(AND(I$8&gt;0,K128=0),I$6,0)+IF(AND(L$8&gt;0,N128=0),L$6,0)+IF(AND(O$8&gt;0,Q128=0),O$6,0)+IF(AND(R$8&gt;0,T128=0),R$6,0)+IF(AND(U$8&gt;0,W128=0),U$6,0)+IF(AND(X$8&gt;0,Z128=0),X$6,0)+IF(AND(AA$8&gt;0,AC128=0),AA$6,0)+IF(AND(AD$8&gt;0,AF128=0),AD$6,0)+IF(AND(AG$8&gt;0,AI128=0),AG$6,0)+IF(AND(AJ$8&gt;0,AL128=0),AJ$6,0),2)</f>
        <v>330</v>
      </c>
      <c r="F129" s="24">
        <f>ROUND(I129+L129+O129+R129+U129+X129+AA129+AD129+AG129+AJ129,2)</f>
        <v>0</v>
      </c>
      <c r="G129" s="24">
        <f>ROUND(J129+M129+P129+S129+V129+Y129+AB129+AE129+AH129+AK129,2)</f>
        <v>0</v>
      </c>
      <c r="H129" s="24">
        <f>ROUND(K129+N129+Q129+T129+W129+Z129+AC129+AF129+AI129+AL129,2)</f>
        <v>0</v>
      </c>
      <c r="I129" s="24">
        <f>IF(K128&gt;0,MIN(ROUND(I$6+IF(I$5=$C129,$E$5+$E129,0),2),ROUND(K128+J129,2)),0)</f>
        <v>0</v>
      </c>
      <c r="J129" s="24">
        <f>IF(K128&gt;0,ROUND(ROUND(K128*100,0)*ROUND(I$7*10000,0)/12000000,0)/100,0)</f>
        <v>0</v>
      </c>
      <c r="K129" s="24">
        <f>IF(K128&gt;0,ROUND(K128+J129-I129,2),0)</f>
        <v>0</v>
      </c>
      <c r="L129" s="24">
        <f>IF(N128&gt;0,MIN(ROUND(L$6+IF(L$5=$C129,$E$5+$E129,0),2),ROUND(N128+M129,2)),0)</f>
        <v>0</v>
      </c>
      <c r="M129" s="24">
        <f>IF(N128&gt;0,ROUND(ROUND(N128*100,0)*ROUND(L$7*10000,0)/12000000,0)/100,0)</f>
        <v>0</v>
      </c>
      <c r="N129" s="24">
        <f>IF(N128&gt;0,ROUND(N128+M129-L129,2),0)</f>
        <v>0</v>
      </c>
      <c r="O129" s="24">
        <f>IF(Q128&gt;0,MIN(ROUND(O$6+IF(O$5=$C129,$E$5+$E129,0),2),ROUND(Q128+P129,2)),0)</f>
        <v>0</v>
      </c>
      <c r="P129" s="24">
        <f>IF(Q128&gt;0,ROUND(ROUND(Q128*100,0)*ROUND(O$7*10000,0)/12000000,0)/100,0)</f>
        <v>0</v>
      </c>
      <c r="Q129" s="24">
        <f>IF(Q128&gt;0,ROUND(Q128+P129-O129,2),0)</f>
        <v>0</v>
      </c>
      <c r="R129" s="24">
        <f>IF(T128&gt;0,MIN(ROUND(R$6+IF(R$5=$C129,$E$5+$E129,0),2),ROUND(T128+S129,2)),0)</f>
        <v>0</v>
      </c>
      <c r="S129" s="24">
        <f>IF(T128&gt;0,ROUND(ROUND(T128*100,0)*ROUND(R$7*10000,0)/12000000,0)/100,0)</f>
        <v>0</v>
      </c>
      <c r="T129" s="24">
        <f>IF(T128&gt;0,ROUND(T128+S129-R129,2),0)</f>
        <v>0</v>
      </c>
      <c r="U129" s="24">
        <f>IF(W128&gt;0,MIN(ROUND(U$6+IF(U$5=$C129,$E$5+$E129,0),2),ROUND(W128+V129,2)),0)</f>
        <v>0</v>
      </c>
      <c r="V129" s="24">
        <f>IF(W128&gt;0,ROUND(ROUND(W128*100,0)*ROUND(U$7*10000,0)/12000000,0)/100,0)</f>
        <v>0</v>
      </c>
      <c r="W129" s="24">
        <f>IF(W128&gt;0,ROUND(W128+V129-U129,2),0)</f>
        <v>0</v>
      </c>
      <c r="X129" s="24">
        <f>IF(Z128&gt;0,MIN(ROUND(X$6+IF(X$5=$C129,$E$5+$E129,0),2),ROUND(Z128+Y129,2)),0)</f>
        <v>0</v>
      </c>
      <c r="Y129" s="24">
        <f>IF(Z128&gt;0,ROUND(ROUND(Z128*100,0)*ROUND(X$7*10000,0)/12000000,0)/100,0)</f>
        <v>0</v>
      </c>
      <c r="Z129" s="24">
        <f>IF(Z128&gt;0,ROUND(Z128+Y129-X129,2),0)</f>
        <v>0</v>
      </c>
      <c r="AA129" s="24">
        <f>IF(AC128&gt;0,MIN(ROUND(AA$6+IF(AA$5=$C129,$E$5+$E129,0),2),ROUND(AC128+AB129,2)),0)</f>
        <v>0</v>
      </c>
      <c r="AB129" s="24">
        <f>IF(AC128&gt;0,ROUND(ROUND(AC128*100,0)*ROUND(AA$7*10000,0)/12000000,0)/100,0)</f>
        <v>0</v>
      </c>
      <c r="AC129" s="24">
        <f>IF(AC128&gt;0,ROUND(AC128+AB129-AA129,2),0)</f>
        <v>0</v>
      </c>
      <c r="AD129" s="24">
        <f>IF(AF128&gt;0,MIN(ROUND(AD$6+IF(AD$5=$C129,$E$5+$E129,0),2),ROUND(AF128+AE129,2)),0)</f>
        <v>0</v>
      </c>
      <c r="AE129" s="24">
        <f>IF(AF128&gt;0,ROUND(ROUND(AF128*100,0)*ROUND(AD$7*10000,0)/12000000,0)/100,0)</f>
        <v>0</v>
      </c>
      <c r="AF129" s="24">
        <f>IF(AF128&gt;0,ROUND(AF128+AE129-AD129,2),0)</f>
        <v>0</v>
      </c>
      <c r="AG129" s="24">
        <f>IF(AI128&gt;0,MIN(ROUND(AG$6+IF(AG$5=$C129,$E$5+$E129,0),2),ROUND(AI128+AH129,2)),0)</f>
        <v>0</v>
      </c>
      <c r="AH129" s="24">
        <f>IF(AI128&gt;0,ROUND(ROUND(AI128*100,0)*ROUND(AG$7*10000,0)/12000000,0)/100,0)</f>
        <v>0</v>
      </c>
      <c r="AI129" s="24">
        <f>IF(AI128&gt;0,ROUND(AI128+AH129-AG129,2),0)</f>
        <v>0</v>
      </c>
      <c r="AJ129" s="24">
        <f>IF(AL128&gt;0,MIN(ROUND(AJ$6+IF(AJ$5=$C129,$E$5+$E129,0),2),ROUND(AL128+AK129,2)),0)</f>
        <v>0</v>
      </c>
      <c r="AK129" s="24">
        <f>IF(AL128&gt;0,ROUND(ROUND(AL128*100,0)*ROUND(AJ$7*10000,0)/12000000,0)/100,0)</f>
        <v>0</v>
      </c>
      <c r="AL129" s="24">
        <f>IF(AL128&gt;0,ROUND(AL128+AK129-AJ129,2),0)</f>
        <v>0</v>
      </c>
    </row>
    <row r="130" spans="1:38" x14ac:dyDescent="0.25">
      <c r="A130" s="17" t="str">
        <f>IF(F130&gt;0,120,"")</f>
        <v/>
      </c>
      <c r="B130" s="18" t="str">
        <f>IF(F130&gt;0,EDATE($E$6,120),"")</f>
        <v/>
      </c>
      <c r="C130" s="21">
        <f>IF(H129&gt;0,MIN(IF(K129&gt;0,I$5,99),IF(N129&gt;0,L$5,99),IF(Q129&gt;0,O$5,99),IF(T129&gt;0,R$5,99),IF(W129&gt;0,U$5,99),IF(Z129&gt;0,X$5,99),IF(AC129&gt;0,AA$5,99),IF(AF129&gt;0,AD$5,99),IF(AI129&gt;0,AG$5,99),IF(AL129&gt;0,AJ$5,99)),0)</f>
        <v>0</v>
      </c>
      <c r="D130" t="str">
        <f>IF(C130&gt;0,INDEX($I$4:$AL$4,1,MATCH(C130,$I$5:$AL$5,0)),"")</f>
        <v/>
      </c>
      <c r="E130" s="24">
        <f>ROUND(IF(AND(I$8&gt;0,K129=0),I$6,0)+IF(AND(L$8&gt;0,N129=0),L$6,0)+IF(AND(O$8&gt;0,Q129=0),O$6,0)+IF(AND(R$8&gt;0,T129=0),R$6,0)+IF(AND(U$8&gt;0,W129=0),U$6,0)+IF(AND(X$8&gt;0,Z129=0),X$6,0)+IF(AND(AA$8&gt;0,AC129=0),AA$6,0)+IF(AND(AD$8&gt;0,AF129=0),AD$6,0)+IF(AND(AG$8&gt;0,AI129=0),AG$6,0)+IF(AND(AJ$8&gt;0,AL129=0),AJ$6,0),2)</f>
        <v>330</v>
      </c>
      <c r="F130" s="24">
        <f>ROUND(I130+L130+O130+R130+U130+X130+AA130+AD130+AG130+AJ130,2)</f>
        <v>0</v>
      </c>
      <c r="G130" s="24">
        <f>ROUND(J130+M130+P130+S130+V130+Y130+AB130+AE130+AH130+AK130,2)</f>
        <v>0</v>
      </c>
      <c r="H130" s="24">
        <f>ROUND(K130+N130+Q130+T130+W130+Z130+AC130+AF130+AI130+AL130,2)</f>
        <v>0</v>
      </c>
      <c r="I130" s="24">
        <f>IF(K129&gt;0,MIN(ROUND(I$6+IF(I$5=$C130,$E$5+$E130,0),2),ROUND(K129+J130,2)),0)</f>
        <v>0</v>
      </c>
      <c r="J130" s="24">
        <f>IF(K129&gt;0,ROUND(ROUND(K129*100,0)*ROUND(I$7*10000,0)/12000000,0)/100,0)</f>
        <v>0</v>
      </c>
      <c r="K130" s="24">
        <f>IF(K129&gt;0,ROUND(K129+J130-I130,2),0)</f>
        <v>0</v>
      </c>
      <c r="L130" s="24">
        <f>IF(N129&gt;0,MIN(ROUND(L$6+IF(L$5=$C130,$E$5+$E130,0),2),ROUND(N129+M130,2)),0)</f>
        <v>0</v>
      </c>
      <c r="M130" s="24">
        <f>IF(N129&gt;0,ROUND(ROUND(N129*100,0)*ROUND(L$7*10000,0)/12000000,0)/100,0)</f>
        <v>0</v>
      </c>
      <c r="N130" s="24">
        <f>IF(N129&gt;0,ROUND(N129+M130-L130,2),0)</f>
        <v>0</v>
      </c>
      <c r="O130" s="24">
        <f>IF(Q129&gt;0,MIN(ROUND(O$6+IF(O$5=$C130,$E$5+$E130,0),2),ROUND(Q129+P130,2)),0)</f>
        <v>0</v>
      </c>
      <c r="P130" s="24">
        <f>IF(Q129&gt;0,ROUND(ROUND(Q129*100,0)*ROUND(O$7*10000,0)/12000000,0)/100,0)</f>
        <v>0</v>
      </c>
      <c r="Q130" s="24">
        <f>IF(Q129&gt;0,ROUND(Q129+P130-O130,2),0)</f>
        <v>0</v>
      </c>
      <c r="R130" s="24">
        <f>IF(T129&gt;0,MIN(ROUND(R$6+IF(R$5=$C130,$E$5+$E130,0),2),ROUND(T129+S130,2)),0)</f>
        <v>0</v>
      </c>
      <c r="S130" s="24">
        <f>IF(T129&gt;0,ROUND(ROUND(T129*100,0)*ROUND(R$7*10000,0)/12000000,0)/100,0)</f>
        <v>0</v>
      </c>
      <c r="T130" s="24">
        <f>IF(T129&gt;0,ROUND(T129+S130-R130,2),0)</f>
        <v>0</v>
      </c>
      <c r="U130" s="24">
        <f>IF(W129&gt;0,MIN(ROUND(U$6+IF(U$5=$C130,$E$5+$E130,0),2),ROUND(W129+V130,2)),0)</f>
        <v>0</v>
      </c>
      <c r="V130" s="24">
        <f>IF(W129&gt;0,ROUND(ROUND(W129*100,0)*ROUND(U$7*10000,0)/12000000,0)/100,0)</f>
        <v>0</v>
      </c>
      <c r="W130" s="24">
        <f>IF(W129&gt;0,ROUND(W129+V130-U130,2),0)</f>
        <v>0</v>
      </c>
      <c r="X130" s="24">
        <f>IF(Z129&gt;0,MIN(ROUND(X$6+IF(X$5=$C130,$E$5+$E130,0),2),ROUND(Z129+Y130,2)),0)</f>
        <v>0</v>
      </c>
      <c r="Y130" s="24">
        <f>IF(Z129&gt;0,ROUND(ROUND(Z129*100,0)*ROUND(X$7*10000,0)/12000000,0)/100,0)</f>
        <v>0</v>
      </c>
      <c r="Z130" s="24">
        <f>IF(Z129&gt;0,ROUND(Z129+Y130-X130,2),0)</f>
        <v>0</v>
      </c>
      <c r="AA130" s="24">
        <f>IF(AC129&gt;0,MIN(ROUND(AA$6+IF(AA$5=$C130,$E$5+$E130,0),2),ROUND(AC129+AB130,2)),0)</f>
        <v>0</v>
      </c>
      <c r="AB130" s="24">
        <f>IF(AC129&gt;0,ROUND(ROUND(AC129*100,0)*ROUND(AA$7*10000,0)/12000000,0)/100,0)</f>
        <v>0</v>
      </c>
      <c r="AC130" s="24">
        <f>IF(AC129&gt;0,ROUND(AC129+AB130-AA130,2),0)</f>
        <v>0</v>
      </c>
      <c r="AD130" s="24">
        <f>IF(AF129&gt;0,MIN(ROUND(AD$6+IF(AD$5=$C130,$E$5+$E130,0),2),ROUND(AF129+AE130,2)),0)</f>
        <v>0</v>
      </c>
      <c r="AE130" s="24">
        <f>IF(AF129&gt;0,ROUND(ROUND(AF129*100,0)*ROUND(AD$7*10000,0)/12000000,0)/100,0)</f>
        <v>0</v>
      </c>
      <c r="AF130" s="24">
        <f>IF(AF129&gt;0,ROUND(AF129+AE130-AD130,2),0)</f>
        <v>0</v>
      </c>
      <c r="AG130" s="24">
        <f>IF(AI129&gt;0,MIN(ROUND(AG$6+IF(AG$5=$C130,$E$5+$E130,0),2),ROUND(AI129+AH130,2)),0)</f>
        <v>0</v>
      </c>
      <c r="AH130" s="24">
        <f>IF(AI129&gt;0,ROUND(ROUND(AI129*100,0)*ROUND(AG$7*10000,0)/12000000,0)/100,0)</f>
        <v>0</v>
      </c>
      <c r="AI130" s="24">
        <f>IF(AI129&gt;0,ROUND(AI129+AH130-AG130,2),0)</f>
        <v>0</v>
      </c>
      <c r="AJ130" s="24">
        <f>IF(AL129&gt;0,MIN(ROUND(AJ$6+IF(AJ$5=$C130,$E$5+$E130,0),2),ROUND(AL129+AK130,2)),0)</f>
        <v>0</v>
      </c>
      <c r="AK130" s="24">
        <f>IF(AL129&gt;0,ROUND(ROUND(AL129*100,0)*ROUND(AJ$7*10000,0)/12000000,0)/100,0)</f>
        <v>0</v>
      </c>
      <c r="AL130" s="24">
        <f>IF(AL129&gt;0,ROUND(AL129+AK130-AJ130,2),0)</f>
        <v>0</v>
      </c>
    </row>
    <row r="131" spans="1:38" x14ac:dyDescent="0.25">
      <c r="A131" s="17" t="str">
        <f>IF(F131&gt;0,121,"")</f>
        <v/>
      </c>
      <c r="B131" s="18" t="str">
        <f>IF(F131&gt;0,EDATE($E$6,121),"")</f>
        <v/>
      </c>
      <c r="C131" s="21">
        <f>IF(H130&gt;0,MIN(IF(K130&gt;0,I$5,99),IF(N130&gt;0,L$5,99),IF(Q130&gt;0,O$5,99),IF(T130&gt;0,R$5,99),IF(W130&gt;0,U$5,99),IF(Z130&gt;0,X$5,99),IF(AC130&gt;0,AA$5,99),IF(AF130&gt;0,AD$5,99),IF(AI130&gt;0,AG$5,99),IF(AL130&gt;0,AJ$5,99)),0)</f>
        <v>0</v>
      </c>
      <c r="D131" t="str">
        <f>IF(C131&gt;0,INDEX($I$4:$AL$4,1,MATCH(C131,$I$5:$AL$5,0)),"")</f>
        <v/>
      </c>
      <c r="E131" s="24">
        <f>ROUND(IF(AND(I$8&gt;0,K130=0),I$6,0)+IF(AND(L$8&gt;0,N130=0),L$6,0)+IF(AND(O$8&gt;0,Q130=0),O$6,0)+IF(AND(R$8&gt;0,T130=0),R$6,0)+IF(AND(U$8&gt;0,W130=0),U$6,0)+IF(AND(X$8&gt;0,Z130=0),X$6,0)+IF(AND(AA$8&gt;0,AC130=0),AA$6,0)+IF(AND(AD$8&gt;0,AF130=0),AD$6,0)+IF(AND(AG$8&gt;0,AI130=0),AG$6,0)+IF(AND(AJ$8&gt;0,AL130=0),AJ$6,0),2)</f>
        <v>330</v>
      </c>
      <c r="F131" s="24">
        <f>ROUND(I131+L131+O131+R131+U131+X131+AA131+AD131+AG131+AJ131,2)</f>
        <v>0</v>
      </c>
      <c r="G131" s="24">
        <f>ROUND(J131+M131+P131+S131+V131+Y131+AB131+AE131+AH131+AK131,2)</f>
        <v>0</v>
      </c>
      <c r="H131" s="24">
        <f>ROUND(K131+N131+Q131+T131+W131+Z131+AC131+AF131+AI131+AL131,2)</f>
        <v>0</v>
      </c>
      <c r="I131" s="24">
        <f>IF(K130&gt;0,MIN(ROUND(I$6+IF(I$5=$C131,$E$5+$E131,0),2),ROUND(K130+J131,2)),0)</f>
        <v>0</v>
      </c>
      <c r="J131" s="24">
        <f>IF(K130&gt;0,ROUND(ROUND(K130*100,0)*ROUND(I$7*10000,0)/12000000,0)/100,0)</f>
        <v>0</v>
      </c>
      <c r="K131" s="24">
        <f>IF(K130&gt;0,ROUND(K130+J131-I131,2),0)</f>
        <v>0</v>
      </c>
      <c r="L131" s="24">
        <f>IF(N130&gt;0,MIN(ROUND(L$6+IF(L$5=$C131,$E$5+$E131,0),2),ROUND(N130+M131,2)),0)</f>
        <v>0</v>
      </c>
      <c r="M131" s="24">
        <f>IF(N130&gt;0,ROUND(ROUND(N130*100,0)*ROUND(L$7*10000,0)/12000000,0)/100,0)</f>
        <v>0</v>
      </c>
      <c r="N131" s="24">
        <f>IF(N130&gt;0,ROUND(N130+M131-L131,2),0)</f>
        <v>0</v>
      </c>
      <c r="O131" s="24">
        <f>IF(Q130&gt;0,MIN(ROUND(O$6+IF(O$5=$C131,$E$5+$E131,0),2),ROUND(Q130+P131,2)),0)</f>
        <v>0</v>
      </c>
      <c r="P131" s="24">
        <f>IF(Q130&gt;0,ROUND(ROUND(Q130*100,0)*ROUND(O$7*10000,0)/12000000,0)/100,0)</f>
        <v>0</v>
      </c>
      <c r="Q131" s="24">
        <f>IF(Q130&gt;0,ROUND(Q130+P131-O131,2),0)</f>
        <v>0</v>
      </c>
      <c r="R131" s="24">
        <f>IF(T130&gt;0,MIN(ROUND(R$6+IF(R$5=$C131,$E$5+$E131,0),2),ROUND(T130+S131,2)),0)</f>
        <v>0</v>
      </c>
      <c r="S131" s="24">
        <f>IF(T130&gt;0,ROUND(ROUND(T130*100,0)*ROUND(R$7*10000,0)/12000000,0)/100,0)</f>
        <v>0</v>
      </c>
      <c r="T131" s="24">
        <f>IF(T130&gt;0,ROUND(T130+S131-R131,2),0)</f>
        <v>0</v>
      </c>
      <c r="U131" s="24">
        <f>IF(W130&gt;0,MIN(ROUND(U$6+IF(U$5=$C131,$E$5+$E131,0),2),ROUND(W130+V131,2)),0)</f>
        <v>0</v>
      </c>
      <c r="V131" s="24">
        <f>IF(W130&gt;0,ROUND(ROUND(W130*100,0)*ROUND(U$7*10000,0)/12000000,0)/100,0)</f>
        <v>0</v>
      </c>
      <c r="W131" s="24">
        <f>IF(W130&gt;0,ROUND(W130+V131-U131,2),0)</f>
        <v>0</v>
      </c>
      <c r="X131" s="24">
        <f>IF(Z130&gt;0,MIN(ROUND(X$6+IF(X$5=$C131,$E$5+$E131,0),2),ROUND(Z130+Y131,2)),0)</f>
        <v>0</v>
      </c>
      <c r="Y131" s="24">
        <f>IF(Z130&gt;0,ROUND(ROUND(Z130*100,0)*ROUND(X$7*10000,0)/12000000,0)/100,0)</f>
        <v>0</v>
      </c>
      <c r="Z131" s="24">
        <f>IF(Z130&gt;0,ROUND(Z130+Y131-X131,2),0)</f>
        <v>0</v>
      </c>
      <c r="AA131" s="24">
        <f>IF(AC130&gt;0,MIN(ROUND(AA$6+IF(AA$5=$C131,$E$5+$E131,0),2),ROUND(AC130+AB131,2)),0)</f>
        <v>0</v>
      </c>
      <c r="AB131" s="24">
        <f>IF(AC130&gt;0,ROUND(ROUND(AC130*100,0)*ROUND(AA$7*10000,0)/12000000,0)/100,0)</f>
        <v>0</v>
      </c>
      <c r="AC131" s="24">
        <f>IF(AC130&gt;0,ROUND(AC130+AB131-AA131,2),0)</f>
        <v>0</v>
      </c>
      <c r="AD131" s="24">
        <f>IF(AF130&gt;0,MIN(ROUND(AD$6+IF(AD$5=$C131,$E$5+$E131,0),2),ROUND(AF130+AE131,2)),0)</f>
        <v>0</v>
      </c>
      <c r="AE131" s="24">
        <f>IF(AF130&gt;0,ROUND(ROUND(AF130*100,0)*ROUND(AD$7*10000,0)/12000000,0)/100,0)</f>
        <v>0</v>
      </c>
      <c r="AF131" s="24">
        <f>IF(AF130&gt;0,ROUND(AF130+AE131-AD131,2),0)</f>
        <v>0</v>
      </c>
      <c r="AG131" s="24">
        <f>IF(AI130&gt;0,MIN(ROUND(AG$6+IF(AG$5=$C131,$E$5+$E131,0),2),ROUND(AI130+AH131,2)),0)</f>
        <v>0</v>
      </c>
      <c r="AH131" s="24">
        <f>IF(AI130&gt;0,ROUND(ROUND(AI130*100,0)*ROUND(AG$7*10000,0)/12000000,0)/100,0)</f>
        <v>0</v>
      </c>
      <c r="AI131" s="24">
        <f>IF(AI130&gt;0,ROUND(AI130+AH131-AG131,2),0)</f>
        <v>0</v>
      </c>
      <c r="AJ131" s="24">
        <f>IF(AL130&gt;0,MIN(ROUND(AJ$6+IF(AJ$5=$C131,$E$5+$E131,0),2),ROUND(AL130+AK131,2)),0)</f>
        <v>0</v>
      </c>
      <c r="AK131" s="24">
        <f>IF(AL130&gt;0,ROUND(ROUND(AL130*100,0)*ROUND(AJ$7*10000,0)/12000000,0)/100,0)</f>
        <v>0</v>
      </c>
      <c r="AL131" s="24">
        <f>IF(AL130&gt;0,ROUND(AL130+AK131-AJ131,2),0)</f>
        <v>0</v>
      </c>
    </row>
    <row r="132" spans="1:38" x14ac:dyDescent="0.25">
      <c r="A132" s="17" t="str">
        <f>IF(F132&gt;0,122,"")</f>
        <v/>
      </c>
      <c r="B132" s="18" t="str">
        <f>IF(F132&gt;0,EDATE($E$6,122),"")</f>
        <v/>
      </c>
      <c r="C132" s="21">
        <f>IF(H131&gt;0,MIN(IF(K131&gt;0,I$5,99),IF(N131&gt;0,L$5,99),IF(Q131&gt;0,O$5,99),IF(T131&gt;0,R$5,99),IF(W131&gt;0,U$5,99),IF(Z131&gt;0,X$5,99),IF(AC131&gt;0,AA$5,99),IF(AF131&gt;0,AD$5,99),IF(AI131&gt;0,AG$5,99),IF(AL131&gt;0,AJ$5,99)),0)</f>
        <v>0</v>
      </c>
      <c r="D132" t="str">
        <f>IF(C132&gt;0,INDEX($I$4:$AL$4,1,MATCH(C132,$I$5:$AL$5,0)),"")</f>
        <v/>
      </c>
      <c r="E132" s="24">
        <f>ROUND(IF(AND(I$8&gt;0,K131=0),I$6,0)+IF(AND(L$8&gt;0,N131=0),L$6,0)+IF(AND(O$8&gt;0,Q131=0),O$6,0)+IF(AND(R$8&gt;0,T131=0),R$6,0)+IF(AND(U$8&gt;0,W131=0),U$6,0)+IF(AND(X$8&gt;0,Z131=0),X$6,0)+IF(AND(AA$8&gt;0,AC131=0),AA$6,0)+IF(AND(AD$8&gt;0,AF131=0),AD$6,0)+IF(AND(AG$8&gt;0,AI131=0),AG$6,0)+IF(AND(AJ$8&gt;0,AL131=0),AJ$6,0),2)</f>
        <v>330</v>
      </c>
      <c r="F132" s="24">
        <f>ROUND(I132+L132+O132+R132+U132+X132+AA132+AD132+AG132+AJ132,2)</f>
        <v>0</v>
      </c>
      <c r="G132" s="24">
        <f>ROUND(J132+M132+P132+S132+V132+Y132+AB132+AE132+AH132+AK132,2)</f>
        <v>0</v>
      </c>
      <c r="H132" s="24">
        <f>ROUND(K132+N132+Q132+T132+W132+Z132+AC132+AF132+AI132+AL132,2)</f>
        <v>0</v>
      </c>
      <c r="I132" s="24">
        <f>IF(K131&gt;0,MIN(ROUND(I$6+IF(I$5=$C132,$E$5+$E132,0),2),ROUND(K131+J132,2)),0)</f>
        <v>0</v>
      </c>
      <c r="J132" s="24">
        <f>IF(K131&gt;0,ROUND(ROUND(K131*100,0)*ROUND(I$7*10000,0)/12000000,0)/100,0)</f>
        <v>0</v>
      </c>
      <c r="K132" s="24">
        <f>IF(K131&gt;0,ROUND(K131+J132-I132,2),0)</f>
        <v>0</v>
      </c>
      <c r="L132" s="24">
        <f>IF(N131&gt;0,MIN(ROUND(L$6+IF(L$5=$C132,$E$5+$E132,0),2),ROUND(N131+M132,2)),0)</f>
        <v>0</v>
      </c>
      <c r="M132" s="24">
        <f>IF(N131&gt;0,ROUND(ROUND(N131*100,0)*ROUND(L$7*10000,0)/12000000,0)/100,0)</f>
        <v>0</v>
      </c>
      <c r="N132" s="24">
        <f>IF(N131&gt;0,ROUND(N131+M132-L132,2),0)</f>
        <v>0</v>
      </c>
      <c r="O132" s="24">
        <f>IF(Q131&gt;0,MIN(ROUND(O$6+IF(O$5=$C132,$E$5+$E132,0),2),ROUND(Q131+P132,2)),0)</f>
        <v>0</v>
      </c>
      <c r="P132" s="24">
        <f>IF(Q131&gt;0,ROUND(ROUND(Q131*100,0)*ROUND(O$7*10000,0)/12000000,0)/100,0)</f>
        <v>0</v>
      </c>
      <c r="Q132" s="24">
        <f>IF(Q131&gt;0,ROUND(Q131+P132-O132,2),0)</f>
        <v>0</v>
      </c>
      <c r="R132" s="24">
        <f>IF(T131&gt;0,MIN(ROUND(R$6+IF(R$5=$C132,$E$5+$E132,0),2),ROUND(T131+S132,2)),0)</f>
        <v>0</v>
      </c>
      <c r="S132" s="24">
        <f>IF(T131&gt;0,ROUND(ROUND(T131*100,0)*ROUND(R$7*10000,0)/12000000,0)/100,0)</f>
        <v>0</v>
      </c>
      <c r="T132" s="24">
        <f>IF(T131&gt;0,ROUND(T131+S132-R132,2),0)</f>
        <v>0</v>
      </c>
      <c r="U132" s="24">
        <f>IF(W131&gt;0,MIN(ROUND(U$6+IF(U$5=$C132,$E$5+$E132,0),2),ROUND(W131+V132,2)),0)</f>
        <v>0</v>
      </c>
      <c r="V132" s="24">
        <f>IF(W131&gt;0,ROUND(ROUND(W131*100,0)*ROUND(U$7*10000,0)/12000000,0)/100,0)</f>
        <v>0</v>
      </c>
      <c r="W132" s="24">
        <f>IF(W131&gt;0,ROUND(W131+V132-U132,2),0)</f>
        <v>0</v>
      </c>
      <c r="X132" s="24">
        <f>IF(Z131&gt;0,MIN(ROUND(X$6+IF(X$5=$C132,$E$5+$E132,0),2),ROUND(Z131+Y132,2)),0)</f>
        <v>0</v>
      </c>
      <c r="Y132" s="24">
        <f>IF(Z131&gt;0,ROUND(ROUND(Z131*100,0)*ROUND(X$7*10000,0)/12000000,0)/100,0)</f>
        <v>0</v>
      </c>
      <c r="Z132" s="24">
        <f>IF(Z131&gt;0,ROUND(Z131+Y132-X132,2),0)</f>
        <v>0</v>
      </c>
      <c r="AA132" s="24">
        <f>IF(AC131&gt;0,MIN(ROUND(AA$6+IF(AA$5=$C132,$E$5+$E132,0),2),ROUND(AC131+AB132,2)),0)</f>
        <v>0</v>
      </c>
      <c r="AB132" s="24">
        <f>IF(AC131&gt;0,ROUND(ROUND(AC131*100,0)*ROUND(AA$7*10000,0)/12000000,0)/100,0)</f>
        <v>0</v>
      </c>
      <c r="AC132" s="24">
        <f>IF(AC131&gt;0,ROUND(AC131+AB132-AA132,2),0)</f>
        <v>0</v>
      </c>
      <c r="AD132" s="24">
        <f>IF(AF131&gt;0,MIN(ROUND(AD$6+IF(AD$5=$C132,$E$5+$E132,0),2),ROUND(AF131+AE132,2)),0)</f>
        <v>0</v>
      </c>
      <c r="AE132" s="24">
        <f>IF(AF131&gt;0,ROUND(ROUND(AF131*100,0)*ROUND(AD$7*10000,0)/12000000,0)/100,0)</f>
        <v>0</v>
      </c>
      <c r="AF132" s="24">
        <f>IF(AF131&gt;0,ROUND(AF131+AE132-AD132,2),0)</f>
        <v>0</v>
      </c>
      <c r="AG132" s="24">
        <f>IF(AI131&gt;0,MIN(ROUND(AG$6+IF(AG$5=$C132,$E$5+$E132,0),2),ROUND(AI131+AH132,2)),0)</f>
        <v>0</v>
      </c>
      <c r="AH132" s="24">
        <f>IF(AI131&gt;0,ROUND(ROUND(AI131*100,0)*ROUND(AG$7*10000,0)/12000000,0)/100,0)</f>
        <v>0</v>
      </c>
      <c r="AI132" s="24">
        <f>IF(AI131&gt;0,ROUND(AI131+AH132-AG132,2),0)</f>
        <v>0</v>
      </c>
      <c r="AJ132" s="24">
        <f>IF(AL131&gt;0,MIN(ROUND(AJ$6+IF(AJ$5=$C132,$E$5+$E132,0),2),ROUND(AL131+AK132,2)),0)</f>
        <v>0</v>
      </c>
      <c r="AK132" s="24">
        <f>IF(AL131&gt;0,ROUND(ROUND(AL131*100,0)*ROUND(AJ$7*10000,0)/12000000,0)/100,0)</f>
        <v>0</v>
      </c>
      <c r="AL132" s="24">
        <f>IF(AL131&gt;0,ROUND(AL131+AK132-AJ132,2),0)</f>
        <v>0</v>
      </c>
    </row>
    <row r="133" spans="1:38" x14ac:dyDescent="0.25">
      <c r="A133" s="17" t="str">
        <f>IF(F133&gt;0,123,"")</f>
        <v/>
      </c>
      <c r="B133" s="18" t="str">
        <f>IF(F133&gt;0,EDATE($E$6,123),"")</f>
        <v/>
      </c>
      <c r="C133" s="21">
        <f>IF(H132&gt;0,MIN(IF(K132&gt;0,I$5,99),IF(N132&gt;0,L$5,99),IF(Q132&gt;0,O$5,99),IF(T132&gt;0,R$5,99),IF(W132&gt;0,U$5,99),IF(Z132&gt;0,X$5,99),IF(AC132&gt;0,AA$5,99),IF(AF132&gt;0,AD$5,99),IF(AI132&gt;0,AG$5,99),IF(AL132&gt;0,AJ$5,99)),0)</f>
        <v>0</v>
      </c>
      <c r="D133" t="str">
        <f>IF(C133&gt;0,INDEX($I$4:$AL$4,1,MATCH(C133,$I$5:$AL$5,0)),"")</f>
        <v/>
      </c>
      <c r="E133" s="24">
        <f>ROUND(IF(AND(I$8&gt;0,K132=0),I$6,0)+IF(AND(L$8&gt;0,N132=0),L$6,0)+IF(AND(O$8&gt;0,Q132=0),O$6,0)+IF(AND(R$8&gt;0,T132=0),R$6,0)+IF(AND(U$8&gt;0,W132=0),U$6,0)+IF(AND(X$8&gt;0,Z132=0),X$6,0)+IF(AND(AA$8&gt;0,AC132=0),AA$6,0)+IF(AND(AD$8&gt;0,AF132=0),AD$6,0)+IF(AND(AG$8&gt;0,AI132=0),AG$6,0)+IF(AND(AJ$8&gt;0,AL132=0),AJ$6,0),2)</f>
        <v>330</v>
      </c>
      <c r="F133" s="24">
        <f>ROUND(I133+L133+O133+R133+U133+X133+AA133+AD133+AG133+AJ133,2)</f>
        <v>0</v>
      </c>
      <c r="G133" s="24">
        <f>ROUND(J133+M133+P133+S133+V133+Y133+AB133+AE133+AH133+AK133,2)</f>
        <v>0</v>
      </c>
      <c r="H133" s="24">
        <f>ROUND(K133+N133+Q133+T133+W133+Z133+AC133+AF133+AI133+AL133,2)</f>
        <v>0</v>
      </c>
      <c r="I133" s="24">
        <f>IF(K132&gt;0,MIN(ROUND(I$6+IF(I$5=$C133,$E$5+$E133,0),2),ROUND(K132+J133,2)),0)</f>
        <v>0</v>
      </c>
      <c r="J133" s="24">
        <f>IF(K132&gt;0,ROUND(ROUND(K132*100,0)*ROUND(I$7*10000,0)/12000000,0)/100,0)</f>
        <v>0</v>
      </c>
      <c r="K133" s="24">
        <f>IF(K132&gt;0,ROUND(K132+J133-I133,2),0)</f>
        <v>0</v>
      </c>
      <c r="L133" s="24">
        <f>IF(N132&gt;0,MIN(ROUND(L$6+IF(L$5=$C133,$E$5+$E133,0),2),ROUND(N132+M133,2)),0)</f>
        <v>0</v>
      </c>
      <c r="M133" s="24">
        <f>IF(N132&gt;0,ROUND(ROUND(N132*100,0)*ROUND(L$7*10000,0)/12000000,0)/100,0)</f>
        <v>0</v>
      </c>
      <c r="N133" s="24">
        <f>IF(N132&gt;0,ROUND(N132+M133-L133,2),0)</f>
        <v>0</v>
      </c>
      <c r="O133" s="24">
        <f>IF(Q132&gt;0,MIN(ROUND(O$6+IF(O$5=$C133,$E$5+$E133,0),2),ROUND(Q132+P133,2)),0)</f>
        <v>0</v>
      </c>
      <c r="P133" s="24">
        <f>IF(Q132&gt;0,ROUND(ROUND(Q132*100,0)*ROUND(O$7*10000,0)/12000000,0)/100,0)</f>
        <v>0</v>
      </c>
      <c r="Q133" s="24">
        <f>IF(Q132&gt;0,ROUND(Q132+P133-O133,2),0)</f>
        <v>0</v>
      </c>
      <c r="R133" s="24">
        <f>IF(T132&gt;0,MIN(ROUND(R$6+IF(R$5=$C133,$E$5+$E133,0),2),ROUND(T132+S133,2)),0)</f>
        <v>0</v>
      </c>
      <c r="S133" s="24">
        <f>IF(T132&gt;0,ROUND(ROUND(T132*100,0)*ROUND(R$7*10000,0)/12000000,0)/100,0)</f>
        <v>0</v>
      </c>
      <c r="T133" s="24">
        <f>IF(T132&gt;0,ROUND(T132+S133-R133,2),0)</f>
        <v>0</v>
      </c>
      <c r="U133" s="24">
        <f>IF(W132&gt;0,MIN(ROUND(U$6+IF(U$5=$C133,$E$5+$E133,0),2),ROUND(W132+V133,2)),0)</f>
        <v>0</v>
      </c>
      <c r="V133" s="24">
        <f>IF(W132&gt;0,ROUND(ROUND(W132*100,0)*ROUND(U$7*10000,0)/12000000,0)/100,0)</f>
        <v>0</v>
      </c>
      <c r="W133" s="24">
        <f>IF(W132&gt;0,ROUND(W132+V133-U133,2),0)</f>
        <v>0</v>
      </c>
      <c r="X133" s="24">
        <f>IF(Z132&gt;0,MIN(ROUND(X$6+IF(X$5=$C133,$E$5+$E133,0),2),ROUND(Z132+Y133,2)),0)</f>
        <v>0</v>
      </c>
      <c r="Y133" s="24">
        <f>IF(Z132&gt;0,ROUND(ROUND(Z132*100,0)*ROUND(X$7*10000,0)/12000000,0)/100,0)</f>
        <v>0</v>
      </c>
      <c r="Z133" s="24">
        <f>IF(Z132&gt;0,ROUND(Z132+Y133-X133,2),0)</f>
        <v>0</v>
      </c>
      <c r="AA133" s="24">
        <f>IF(AC132&gt;0,MIN(ROUND(AA$6+IF(AA$5=$C133,$E$5+$E133,0),2),ROUND(AC132+AB133,2)),0)</f>
        <v>0</v>
      </c>
      <c r="AB133" s="24">
        <f>IF(AC132&gt;0,ROUND(ROUND(AC132*100,0)*ROUND(AA$7*10000,0)/12000000,0)/100,0)</f>
        <v>0</v>
      </c>
      <c r="AC133" s="24">
        <f>IF(AC132&gt;0,ROUND(AC132+AB133-AA133,2),0)</f>
        <v>0</v>
      </c>
      <c r="AD133" s="24">
        <f>IF(AF132&gt;0,MIN(ROUND(AD$6+IF(AD$5=$C133,$E$5+$E133,0),2),ROUND(AF132+AE133,2)),0)</f>
        <v>0</v>
      </c>
      <c r="AE133" s="24">
        <f>IF(AF132&gt;0,ROUND(ROUND(AF132*100,0)*ROUND(AD$7*10000,0)/12000000,0)/100,0)</f>
        <v>0</v>
      </c>
      <c r="AF133" s="24">
        <f>IF(AF132&gt;0,ROUND(AF132+AE133-AD133,2),0)</f>
        <v>0</v>
      </c>
      <c r="AG133" s="24">
        <f>IF(AI132&gt;0,MIN(ROUND(AG$6+IF(AG$5=$C133,$E$5+$E133,0),2),ROUND(AI132+AH133,2)),0)</f>
        <v>0</v>
      </c>
      <c r="AH133" s="24">
        <f>IF(AI132&gt;0,ROUND(ROUND(AI132*100,0)*ROUND(AG$7*10000,0)/12000000,0)/100,0)</f>
        <v>0</v>
      </c>
      <c r="AI133" s="24">
        <f>IF(AI132&gt;0,ROUND(AI132+AH133-AG133,2),0)</f>
        <v>0</v>
      </c>
      <c r="AJ133" s="24">
        <f>IF(AL132&gt;0,MIN(ROUND(AJ$6+IF(AJ$5=$C133,$E$5+$E133,0),2),ROUND(AL132+AK133,2)),0)</f>
        <v>0</v>
      </c>
      <c r="AK133" s="24">
        <f>IF(AL132&gt;0,ROUND(ROUND(AL132*100,0)*ROUND(AJ$7*10000,0)/12000000,0)/100,0)</f>
        <v>0</v>
      </c>
      <c r="AL133" s="24">
        <f>IF(AL132&gt;0,ROUND(AL132+AK133-AJ133,2),0)</f>
        <v>0</v>
      </c>
    </row>
    <row r="134" spans="1:38" x14ac:dyDescent="0.25">
      <c r="A134" s="17" t="str">
        <f>IF(F134&gt;0,124,"")</f>
        <v/>
      </c>
      <c r="B134" s="18" t="str">
        <f>IF(F134&gt;0,EDATE($E$6,124),"")</f>
        <v/>
      </c>
      <c r="C134" s="21">
        <f>IF(H133&gt;0,MIN(IF(K133&gt;0,I$5,99),IF(N133&gt;0,L$5,99),IF(Q133&gt;0,O$5,99),IF(T133&gt;0,R$5,99),IF(W133&gt;0,U$5,99),IF(Z133&gt;0,X$5,99),IF(AC133&gt;0,AA$5,99),IF(AF133&gt;0,AD$5,99),IF(AI133&gt;0,AG$5,99),IF(AL133&gt;0,AJ$5,99)),0)</f>
        <v>0</v>
      </c>
      <c r="D134" t="str">
        <f>IF(C134&gt;0,INDEX($I$4:$AL$4,1,MATCH(C134,$I$5:$AL$5,0)),"")</f>
        <v/>
      </c>
      <c r="E134" s="24">
        <f>ROUND(IF(AND(I$8&gt;0,K133=0),I$6,0)+IF(AND(L$8&gt;0,N133=0),L$6,0)+IF(AND(O$8&gt;0,Q133=0),O$6,0)+IF(AND(R$8&gt;0,T133=0),R$6,0)+IF(AND(U$8&gt;0,W133=0),U$6,0)+IF(AND(X$8&gt;0,Z133=0),X$6,0)+IF(AND(AA$8&gt;0,AC133=0),AA$6,0)+IF(AND(AD$8&gt;0,AF133=0),AD$6,0)+IF(AND(AG$8&gt;0,AI133=0),AG$6,0)+IF(AND(AJ$8&gt;0,AL133=0),AJ$6,0),2)</f>
        <v>330</v>
      </c>
      <c r="F134" s="24">
        <f>ROUND(I134+L134+O134+R134+U134+X134+AA134+AD134+AG134+AJ134,2)</f>
        <v>0</v>
      </c>
      <c r="G134" s="24">
        <f>ROUND(J134+M134+P134+S134+V134+Y134+AB134+AE134+AH134+AK134,2)</f>
        <v>0</v>
      </c>
      <c r="H134" s="24">
        <f>ROUND(K134+N134+Q134+T134+W134+Z134+AC134+AF134+AI134+AL134,2)</f>
        <v>0</v>
      </c>
      <c r="I134" s="24">
        <f>IF(K133&gt;0,MIN(ROUND(I$6+IF(I$5=$C134,$E$5+$E134,0),2),ROUND(K133+J134,2)),0)</f>
        <v>0</v>
      </c>
      <c r="J134" s="24">
        <f>IF(K133&gt;0,ROUND(ROUND(K133*100,0)*ROUND(I$7*10000,0)/12000000,0)/100,0)</f>
        <v>0</v>
      </c>
      <c r="K134" s="24">
        <f>IF(K133&gt;0,ROUND(K133+J134-I134,2),0)</f>
        <v>0</v>
      </c>
      <c r="L134" s="24">
        <f>IF(N133&gt;0,MIN(ROUND(L$6+IF(L$5=$C134,$E$5+$E134,0),2),ROUND(N133+M134,2)),0)</f>
        <v>0</v>
      </c>
      <c r="M134" s="24">
        <f>IF(N133&gt;0,ROUND(ROUND(N133*100,0)*ROUND(L$7*10000,0)/12000000,0)/100,0)</f>
        <v>0</v>
      </c>
      <c r="N134" s="24">
        <f>IF(N133&gt;0,ROUND(N133+M134-L134,2),0)</f>
        <v>0</v>
      </c>
      <c r="O134" s="24">
        <f>IF(Q133&gt;0,MIN(ROUND(O$6+IF(O$5=$C134,$E$5+$E134,0),2),ROUND(Q133+P134,2)),0)</f>
        <v>0</v>
      </c>
      <c r="P134" s="24">
        <f>IF(Q133&gt;0,ROUND(ROUND(Q133*100,0)*ROUND(O$7*10000,0)/12000000,0)/100,0)</f>
        <v>0</v>
      </c>
      <c r="Q134" s="24">
        <f>IF(Q133&gt;0,ROUND(Q133+P134-O134,2),0)</f>
        <v>0</v>
      </c>
      <c r="R134" s="24">
        <f>IF(T133&gt;0,MIN(ROUND(R$6+IF(R$5=$C134,$E$5+$E134,0),2),ROUND(T133+S134,2)),0)</f>
        <v>0</v>
      </c>
      <c r="S134" s="24">
        <f>IF(T133&gt;0,ROUND(ROUND(T133*100,0)*ROUND(R$7*10000,0)/12000000,0)/100,0)</f>
        <v>0</v>
      </c>
      <c r="T134" s="24">
        <f>IF(T133&gt;0,ROUND(T133+S134-R134,2),0)</f>
        <v>0</v>
      </c>
      <c r="U134" s="24">
        <f>IF(W133&gt;0,MIN(ROUND(U$6+IF(U$5=$C134,$E$5+$E134,0),2),ROUND(W133+V134,2)),0)</f>
        <v>0</v>
      </c>
      <c r="V134" s="24">
        <f>IF(W133&gt;0,ROUND(ROUND(W133*100,0)*ROUND(U$7*10000,0)/12000000,0)/100,0)</f>
        <v>0</v>
      </c>
      <c r="W134" s="24">
        <f>IF(W133&gt;0,ROUND(W133+V134-U134,2),0)</f>
        <v>0</v>
      </c>
      <c r="X134" s="24">
        <f>IF(Z133&gt;0,MIN(ROUND(X$6+IF(X$5=$C134,$E$5+$E134,0),2),ROUND(Z133+Y134,2)),0)</f>
        <v>0</v>
      </c>
      <c r="Y134" s="24">
        <f>IF(Z133&gt;0,ROUND(ROUND(Z133*100,0)*ROUND(X$7*10000,0)/12000000,0)/100,0)</f>
        <v>0</v>
      </c>
      <c r="Z134" s="24">
        <f>IF(Z133&gt;0,ROUND(Z133+Y134-X134,2),0)</f>
        <v>0</v>
      </c>
      <c r="AA134" s="24">
        <f>IF(AC133&gt;0,MIN(ROUND(AA$6+IF(AA$5=$C134,$E$5+$E134,0),2),ROUND(AC133+AB134,2)),0)</f>
        <v>0</v>
      </c>
      <c r="AB134" s="24">
        <f>IF(AC133&gt;0,ROUND(ROUND(AC133*100,0)*ROUND(AA$7*10000,0)/12000000,0)/100,0)</f>
        <v>0</v>
      </c>
      <c r="AC134" s="24">
        <f>IF(AC133&gt;0,ROUND(AC133+AB134-AA134,2),0)</f>
        <v>0</v>
      </c>
      <c r="AD134" s="24">
        <f>IF(AF133&gt;0,MIN(ROUND(AD$6+IF(AD$5=$C134,$E$5+$E134,0),2),ROUND(AF133+AE134,2)),0)</f>
        <v>0</v>
      </c>
      <c r="AE134" s="24">
        <f>IF(AF133&gt;0,ROUND(ROUND(AF133*100,0)*ROUND(AD$7*10000,0)/12000000,0)/100,0)</f>
        <v>0</v>
      </c>
      <c r="AF134" s="24">
        <f>IF(AF133&gt;0,ROUND(AF133+AE134-AD134,2),0)</f>
        <v>0</v>
      </c>
      <c r="AG134" s="24">
        <f>IF(AI133&gt;0,MIN(ROUND(AG$6+IF(AG$5=$C134,$E$5+$E134,0),2),ROUND(AI133+AH134,2)),0)</f>
        <v>0</v>
      </c>
      <c r="AH134" s="24">
        <f>IF(AI133&gt;0,ROUND(ROUND(AI133*100,0)*ROUND(AG$7*10000,0)/12000000,0)/100,0)</f>
        <v>0</v>
      </c>
      <c r="AI134" s="24">
        <f>IF(AI133&gt;0,ROUND(AI133+AH134-AG134,2),0)</f>
        <v>0</v>
      </c>
      <c r="AJ134" s="24">
        <f>IF(AL133&gt;0,MIN(ROUND(AJ$6+IF(AJ$5=$C134,$E$5+$E134,0),2),ROUND(AL133+AK134,2)),0)</f>
        <v>0</v>
      </c>
      <c r="AK134" s="24">
        <f>IF(AL133&gt;0,ROUND(ROUND(AL133*100,0)*ROUND(AJ$7*10000,0)/12000000,0)/100,0)</f>
        <v>0</v>
      </c>
      <c r="AL134" s="24">
        <f>IF(AL133&gt;0,ROUND(AL133+AK134-AJ134,2),0)</f>
        <v>0</v>
      </c>
    </row>
    <row r="135" spans="1:38" x14ac:dyDescent="0.25">
      <c r="A135" s="17" t="str">
        <f>IF(F135&gt;0,125,"")</f>
        <v/>
      </c>
      <c r="B135" s="18" t="str">
        <f>IF(F135&gt;0,EDATE($E$6,125),"")</f>
        <v/>
      </c>
      <c r="C135" s="21">
        <f>IF(H134&gt;0,MIN(IF(K134&gt;0,I$5,99),IF(N134&gt;0,L$5,99),IF(Q134&gt;0,O$5,99),IF(T134&gt;0,R$5,99),IF(W134&gt;0,U$5,99),IF(Z134&gt;0,X$5,99),IF(AC134&gt;0,AA$5,99),IF(AF134&gt;0,AD$5,99),IF(AI134&gt;0,AG$5,99),IF(AL134&gt;0,AJ$5,99)),0)</f>
        <v>0</v>
      </c>
      <c r="D135" t="str">
        <f>IF(C135&gt;0,INDEX($I$4:$AL$4,1,MATCH(C135,$I$5:$AL$5,0)),"")</f>
        <v/>
      </c>
      <c r="E135" s="24">
        <f>ROUND(IF(AND(I$8&gt;0,K134=0),I$6,0)+IF(AND(L$8&gt;0,N134=0),L$6,0)+IF(AND(O$8&gt;0,Q134=0),O$6,0)+IF(AND(R$8&gt;0,T134=0),R$6,0)+IF(AND(U$8&gt;0,W134=0),U$6,0)+IF(AND(X$8&gt;0,Z134=0),X$6,0)+IF(AND(AA$8&gt;0,AC134=0),AA$6,0)+IF(AND(AD$8&gt;0,AF134=0),AD$6,0)+IF(AND(AG$8&gt;0,AI134=0),AG$6,0)+IF(AND(AJ$8&gt;0,AL134=0),AJ$6,0),2)</f>
        <v>330</v>
      </c>
      <c r="F135" s="24">
        <f>ROUND(I135+L135+O135+R135+U135+X135+AA135+AD135+AG135+AJ135,2)</f>
        <v>0</v>
      </c>
      <c r="G135" s="24">
        <f>ROUND(J135+M135+P135+S135+V135+Y135+AB135+AE135+AH135+AK135,2)</f>
        <v>0</v>
      </c>
      <c r="H135" s="24">
        <f>ROUND(K135+N135+Q135+T135+W135+Z135+AC135+AF135+AI135+AL135,2)</f>
        <v>0</v>
      </c>
      <c r="I135" s="24">
        <f>IF(K134&gt;0,MIN(ROUND(I$6+IF(I$5=$C135,$E$5+$E135,0),2),ROUND(K134+J135,2)),0)</f>
        <v>0</v>
      </c>
      <c r="J135" s="24">
        <f>IF(K134&gt;0,ROUND(ROUND(K134*100,0)*ROUND(I$7*10000,0)/12000000,0)/100,0)</f>
        <v>0</v>
      </c>
      <c r="K135" s="24">
        <f>IF(K134&gt;0,ROUND(K134+J135-I135,2),0)</f>
        <v>0</v>
      </c>
      <c r="L135" s="24">
        <f>IF(N134&gt;0,MIN(ROUND(L$6+IF(L$5=$C135,$E$5+$E135,0),2),ROUND(N134+M135,2)),0)</f>
        <v>0</v>
      </c>
      <c r="M135" s="24">
        <f>IF(N134&gt;0,ROUND(ROUND(N134*100,0)*ROUND(L$7*10000,0)/12000000,0)/100,0)</f>
        <v>0</v>
      </c>
      <c r="N135" s="24">
        <f>IF(N134&gt;0,ROUND(N134+M135-L135,2),0)</f>
        <v>0</v>
      </c>
      <c r="O135" s="24">
        <f>IF(Q134&gt;0,MIN(ROUND(O$6+IF(O$5=$C135,$E$5+$E135,0),2),ROUND(Q134+P135,2)),0)</f>
        <v>0</v>
      </c>
      <c r="P135" s="24">
        <f>IF(Q134&gt;0,ROUND(ROUND(Q134*100,0)*ROUND(O$7*10000,0)/12000000,0)/100,0)</f>
        <v>0</v>
      </c>
      <c r="Q135" s="24">
        <f>IF(Q134&gt;0,ROUND(Q134+P135-O135,2),0)</f>
        <v>0</v>
      </c>
      <c r="R135" s="24">
        <f>IF(T134&gt;0,MIN(ROUND(R$6+IF(R$5=$C135,$E$5+$E135,0),2),ROUND(T134+S135,2)),0)</f>
        <v>0</v>
      </c>
      <c r="S135" s="24">
        <f>IF(T134&gt;0,ROUND(ROUND(T134*100,0)*ROUND(R$7*10000,0)/12000000,0)/100,0)</f>
        <v>0</v>
      </c>
      <c r="T135" s="24">
        <f>IF(T134&gt;0,ROUND(T134+S135-R135,2),0)</f>
        <v>0</v>
      </c>
      <c r="U135" s="24">
        <f>IF(W134&gt;0,MIN(ROUND(U$6+IF(U$5=$C135,$E$5+$E135,0),2),ROUND(W134+V135,2)),0)</f>
        <v>0</v>
      </c>
      <c r="V135" s="24">
        <f>IF(W134&gt;0,ROUND(ROUND(W134*100,0)*ROUND(U$7*10000,0)/12000000,0)/100,0)</f>
        <v>0</v>
      </c>
      <c r="W135" s="24">
        <f>IF(W134&gt;0,ROUND(W134+V135-U135,2),0)</f>
        <v>0</v>
      </c>
      <c r="X135" s="24">
        <f>IF(Z134&gt;0,MIN(ROUND(X$6+IF(X$5=$C135,$E$5+$E135,0),2),ROUND(Z134+Y135,2)),0)</f>
        <v>0</v>
      </c>
      <c r="Y135" s="24">
        <f>IF(Z134&gt;0,ROUND(ROUND(Z134*100,0)*ROUND(X$7*10000,0)/12000000,0)/100,0)</f>
        <v>0</v>
      </c>
      <c r="Z135" s="24">
        <f>IF(Z134&gt;0,ROUND(Z134+Y135-X135,2),0)</f>
        <v>0</v>
      </c>
      <c r="AA135" s="24">
        <f>IF(AC134&gt;0,MIN(ROUND(AA$6+IF(AA$5=$C135,$E$5+$E135,0),2),ROUND(AC134+AB135,2)),0)</f>
        <v>0</v>
      </c>
      <c r="AB135" s="24">
        <f>IF(AC134&gt;0,ROUND(ROUND(AC134*100,0)*ROUND(AA$7*10000,0)/12000000,0)/100,0)</f>
        <v>0</v>
      </c>
      <c r="AC135" s="24">
        <f>IF(AC134&gt;0,ROUND(AC134+AB135-AA135,2),0)</f>
        <v>0</v>
      </c>
      <c r="AD135" s="24">
        <f>IF(AF134&gt;0,MIN(ROUND(AD$6+IF(AD$5=$C135,$E$5+$E135,0),2),ROUND(AF134+AE135,2)),0)</f>
        <v>0</v>
      </c>
      <c r="AE135" s="24">
        <f>IF(AF134&gt;0,ROUND(ROUND(AF134*100,0)*ROUND(AD$7*10000,0)/12000000,0)/100,0)</f>
        <v>0</v>
      </c>
      <c r="AF135" s="24">
        <f>IF(AF134&gt;0,ROUND(AF134+AE135-AD135,2),0)</f>
        <v>0</v>
      </c>
      <c r="AG135" s="24">
        <f>IF(AI134&gt;0,MIN(ROUND(AG$6+IF(AG$5=$C135,$E$5+$E135,0),2),ROUND(AI134+AH135,2)),0)</f>
        <v>0</v>
      </c>
      <c r="AH135" s="24">
        <f>IF(AI134&gt;0,ROUND(ROUND(AI134*100,0)*ROUND(AG$7*10000,0)/12000000,0)/100,0)</f>
        <v>0</v>
      </c>
      <c r="AI135" s="24">
        <f>IF(AI134&gt;0,ROUND(AI134+AH135-AG135,2),0)</f>
        <v>0</v>
      </c>
      <c r="AJ135" s="24">
        <f>IF(AL134&gt;0,MIN(ROUND(AJ$6+IF(AJ$5=$C135,$E$5+$E135,0),2),ROUND(AL134+AK135,2)),0)</f>
        <v>0</v>
      </c>
      <c r="AK135" s="24">
        <f>IF(AL134&gt;0,ROUND(ROUND(AL134*100,0)*ROUND(AJ$7*10000,0)/12000000,0)/100,0)</f>
        <v>0</v>
      </c>
      <c r="AL135" s="24">
        <f>IF(AL134&gt;0,ROUND(AL134+AK135-AJ135,2),0)</f>
        <v>0</v>
      </c>
    </row>
    <row r="136" spans="1:38" x14ac:dyDescent="0.25">
      <c r="A136" s="17" t="str">
        <f>IF(F136&gt;0,126,"")</f>
        <v/>
      </c>
      <c r="B136" s="18" t="str">
        <f>IF(F136&gt;0,EDATE($E$6,126),"")</f>
        <v/>
      </c>
      <c r="C136" s="21">
        <f>IF(H135&gt;0,MIN(IF(K135&gt;0,I$5,99),IF(N135&gt;0,L$5,99),IF(Q135&gt;0,O$5,99),IF(T135&gt;0,R$5,99),IF(W135&gt;0,U$5,99),IF(Z135&gt;0,X$5,99),IF(AC135&gt;0,AA$5,99),IF(AF135&gt;0,AD$5,99),IF(AI135&gt;0,AG$5,99),IF(AL135&gt;0,AJ$5,99)),0)</f>
        <v>0</v>
      </c>
      <c r="D136" t="str">
        <f>IF(C136&gt;0,INDEX($I$4:$AL$4,1,MATCH(C136,$I$5:$AL$5,0)),"")</f>
        <v/>
      </c>
      <c r="E136" s="24">
        <f>ROUND(IF(AND(I$8&gt;0,K135=0),I$6,0)+IF(AND(L$8&gt;0,N135=0),L$6,0)+IF(AND(O$8&gt;0,Q135=0),O$6,0)+IF(AND(R$8&gt;0,T135=0),R$6,0)+IF(AND(U$8&gt;0,W135=0),U$6,0)+IF(AND(X$8&gt;0,Z135=0),X$6,0)+IF(AND(AA$8&gt;0,AC135=0),AA$6,0)+IF(AND(AD$8&gt;0,AF135=0),AD$6,0)+IF(AND(AG$8&gt;0,AI135=0),AG$6,0)+IF(AND(AJ$8&gt;0,AL135=0),AJ$6,0),2)</f>
        <v>330</v>
      </c>
      <c r="F136" s="24">
        <f>ROUND(I136+L136+O136+R136+U136+X136+AA136+AD136+AG136+AJ136,2)</f>
        <v>0</v>
      </c>
      <c r="G136" s="24">
        <f>ROUND(J136+M136+P136+S136+V136+Y136+AB136+AE136+AH136+AK136,2)</f>
        <v>0</v>
      </c>
      <c r="H136" s="24">
        <f>ROUND(K136+N136+Q136+T136+W136+Z136+AC136+AF136+AI136+AL136,2)</f>
        <v>0</v>
      </c>
      <c r="I136" s="24">
        <f>IF(K135&gt;0,MIN(ROUND(I$6+IF(I$5=$C136,$E$5+$E136,0),2),ROUND(K135+J136,2)),0)</f>
        <v>0</v>
      </c>
      <c r="J136" s="24">
        <f>IF(K135&gt;0,ROUND(ROUND(K135*100,0)*ROUND(I$7*10000,0)/12000000,0)/100,0)</f>
        <v>0</v>
      </c>
      <c r="K136" s="24">
        <f>IF(K135&gt;0,ROUND(K135+J136-I136,2),0)</f>
        <v>0</v>
      </c>
      <c r="L136" s="24">
        <f>IF(N135&gt;0,MIN(ROUND(L$6+IF(L$5=$C136,$E$5+$E136,0),2),ROUND(N135+M136,2)),0)</f>
        <v>0</v>
      </c>
      <c r="M136" s="24">
        <f>IF(N135&gt;0,ROUND(ROUND(N135*100,0)*ROUND(L$7*10000,0)/12000000,0)/100,0)</f>
        <v>0</v>
      </c>
      <c r="N136" s="24">
        <f>IF(N135&gt;0,ROUND(N135+M136-L136,2),0)</f>
        <v>0</v>
      </c>
      <c r="O136" s="24">
        <f>IF(Q135&gt;0,MIN(ROUND(O$6+IF(O$5=$C136,$E$5+$E136,0),2),ROUND(Q135+P136,2)),0)</f>
        <v>0</v>
      </c>
      <c r="P136" s="24">
        <f>IF(Q135&gt;0,ROUND(ROUND(Q135*100,0)*ROUND(O$7*10000,0)/12000000,0)/100,0)</f>
        <v>0</v>
      </c>
      <c r="Q136" s="24">
        <f>IF(Q135&gt;0,ROUND(Q135+P136-O136,2),0)</f>
        <v>0</v>
      </c>
      <c r="R136" s="24">
        <f>IF(T135&gt;0,MIN(ROUND(R$6+IF(R$5=$C136,$E$5+$E136,0),2),ROUND(T135+S136,2)),0)</f>
        <v>0</v>
      </c>
      <c r="S136" s="24">
        <f>IF(T135&gt;0,ROUND(ROUND(T135*100,0)*ROUND(R$7*10000,0)/12000000,0)/100,0)</f>
        <v>0</v>
      </c>
      <c r="T136" s="24">
        <f>IF(T135&gt;0,ROUND(T135+S136-R136,2),0)</f>
        <v>0</v>
      </c>
      <c r="U136" s="24">
        <f>IF(W135&gt;0,MIN(ROUND(U$6+IF(U$5=$C136,$E$5+$E136,0),2),ROUND(W135+V136,2)),0)</f>
        <v>0</v>
      </c>
      <c r="V136" s="24">
        <f>IF(W135&gt;0,ROUND(ROUND(W135*100,0)*ROUND(U$7*10000,0)/12000000,0)/100,0)</f>
        <v>0</v>
      </c>
      <c r="W136" s="24">
        <f>IF(W135&gt;0,ROUND(W135+V136-U136,2),0)</f>
        <v>0</v>
      </c>
      <c r="X136" s="24">
        <f>IF(Z135&gt;0,MIN(ROUND(X$6+IF(X$5=$C136,$E$5+$E136,0),2),ROUND(Z135+Y136,2)),0)</f>
        <v>0</v>
      </c>
      <c r="Y136" s="24">
        <f>IF(Z135&gt;0,ROUND(ROUND(Z135*100,0)*ROUND(X$7*10000,0)/12000000,0)/100,0)</f>
        <v>0</v>
      </c>
      <c r="Z136" s="24">
        <f>IF(Z135&gt;0,ROUND(Z135+Y136-X136,2),0)</f>
        <v>0</v>
      </c>
      <c r="AA136" s="24">
        <f>IF(AC135&gt;0,MIN(ROUND(AA$6+IF(AA$5=$C136,$E$5+$E136,0),2),ROUND(AC135+AB136,2)),0)</f>
        <v>0</v>
      </c>
      <c r="AB136" s="24">
        <f>IF(AC135&gt;0,ROUND(ROUND(AC135*100,0)*ROUND(AA$7*10000,0)/12000000,0)/100,0)</f>
        <v>0</v>
      </c>
      <c r="AC136" s="24">
        <f>IF(AC135&gt;0,ROUND(AC135+AB136-AA136,2),0)</f>
        <v>0</v>
      </c>
      <c r="AD136" s="24">
        <f>IF(AF135&gt;0,MIN(ROUND(AD$6+IF(AD$5=$C136,$E$5+$E136,0),2),ROUND(AF135+AE136,2)),0)</f>
        <v>0</v>
      </c>
      <c r="AE136" s="24">
        <f>IF(AF135&gt;0,ROUND(ROUND(AF135*100,0)*ROUND(AD$7*10000,0)/12000000,0)/100,0)</f>
        <v>0</v>
      </c>
      <c r="AF136" s="24">
        <f>IF(AF135&gt;0,ROUND(AF135+AE136-AD136,2),0)</f>
        <v>0</v>
      </c>
      <c r="AG136" s="24">
        <f>IF(AI135&gt;0,MIN(ROUND(AG$6+IF(AG$5=$C136,$E$5+$E136,0),2),ROUND(AI135+AH136,2)),0)</f>
        <v>0</v>
      </c>
      <c r="AH136" s="24">
        <f>IF(AI135&gt;0,ROUND(ROUND(AI135*100,0)*ROUND(AG$7*10000,0)/12000000,0)/100,0)</f>
        <v>0</v>
      </c>
      <c r="AI136" s="24">
        <f>IF(AI135&gt;0,ROUND(AI135+AH136-AG136,2),0)</f>
        <v>0</v>
      </c>
      <c r="AJ136" s="24">
        <f>IF(AL135&gt;0,MIN(ROUND(AJ$6+IF(AJ$5=$C136,$E$5+$E136,0),2),ROUND(AL135+AK136,2)),0)</f>
        <v>0</v>
      </c>
      <c r="AK136" s="24">
        <f>IF(AL135&gt;0,ROUND(ROUND(AL135*100,0)*ROUND(AJ$7*10000,0)/12000000,0)/100,0)</f>
        <v>0</v>
      </c>
      <c r="AL136" s="24">
        <f>IF(AL135&gt;0,ROUND(AL135+AK136-AJ136,2),0)</f>
        <v>0</v>
      </c>
    </row>
    <row r="137" spans="1:38" x14ac:dyDescent="0.25">
      <c r="A137" s="17" t="str">
        <f>IF(F137&gt;0,127,"")</f>
        <v/>
      </c>
      <c r="B137" s="18" t="str">
        <f>IF(F137&gt;0,EDATE($E$6,127),"")</f>
        <v/>
      </c>
      <c r="C137" s="21">
        <f>IF(H136&gt;0,MIN(IF(K136&gt;0,I$5,99),IF(N136&gt;0,L$5,99),IF(Q136&gt;0,O$5,99),IF(T136&gt;0,R$5,99),IF(W136&gt;0,U$5,99),IF(Z136&gt;0,X$5,99),IF(AC136&gt;0,AA$5,99),IF(AF136&gt;0,AD$5,99),IF(AI136&gt;0,AG$5,99),IF(AL136&gt;0,AJ$5,99)),0)</f>
        <v>0</v>
      </c>
      <c r="D137" t="str">
        <f>IF(C137&gt;0,INDEX($I$4:$AL$4,1,MATCH(C137,$I$5:$AL$5,0)),"")</f>
        <v/>
      </c>
      <c r="E137" s="24">
        <f>ROUND(IF(AND(I$8&gt;0,K136=0),I$6,0)+IF(AND(L$8&gt;0,N136=0),L$6,0)+IF(AND(O$8&gt;0,Q136=0),O$6,0)+IF(AND(R$8&gt;0,T136=0),R$6,0)+IF(AND(U$8&gt;0,W136=0),U$6,0)+IF(AND(X$8&gt;0,Z136=0),X$6,0)+IF(AND(AA$8&gt;0,AC136=0),AA$6,0)+IF(AND(AD$8&gt;0,AF136=0),AD$6,0)+IF(AND(AG$8&gt;0,AI136=0),AG$6,0)+IF(AND(AJ$8&gt;0,AL136=0),AJ$6,0),2)</f>
        <v>330</v>
      </c>
      <c r="F137" s="24">
        <f>ROUND(I137+L137+O137+R137+U137+X137+AA137+AD137+AG137+AJ137,2)</f>
        <v>0</v>
      </c>
      <c r="G137" s="24">
        <f>ROUND(J137+M137+P137+S137+V137+Y137+AB137+AE137+AH137+AK137,2)</f>
        <v>0</v>
      </c>
      <c r="H137" s="24">
        <f>ROUND(K137+N137+Q137+T137+W137+Z137+AC137+AF137+AI137+AL137,2)</f>
        <v>0</v>
      </c>
      <c r="I137" s="24">
        <f>IF(K136&gt;0,MIN(ROUND(I$6+IF(I$5=$C137,$E$5+$E137,0),2),ROUND(K136+J137,2)),0)</f>
        <v>0</v>
      </c>
      <c r="J137" s="24">
        <f>IF(K136&gt;0,ROUND(ROUND(K136*100,0)*ROUND(I$7*10000,0)/12000000,0)/100,0)</f>
        <v>0</v>
      </c>
      <c r="K137" s="24">
        <f>IF(K136&gt;0,ROUND(K136+J137-I137,2),0)</f>
        <v>0</v>
      </c>
      <c r="L137" s="24">
        <f>IF(N136&gt;0,MIN(ROUND(L$6+IF(L$5=$C137,$E$5+$E137,0),2),ROUND(N136+M137,2)),0)</f>
        <v>0</v>
      </c>
      <c r="M137" s="24">
        <f>IF(N136&gt;0,ROUND(ROUND(N136*100,0)*ROUND(L$7*10000,0)/12000000,0)/100,0)</f>
        <v>0</v>
      </c>
      <c r="N137" s="24">
        <f>IF(N136&gt;0,ROUND(N136+M137-L137,2),0)</f>
        <v>0</v>
      </c>
      <c r="O137" s="24">
        <f>IF(Q136&gt;0,MIN(ROUND(O$6+IF(O$5=$C137,$E$5+$E137,0),2),ROUND(Q136+P137,2)),0)</f>
        <v>0</v>
      </c>
      <c r="P137" s="24">
        <f>IF(Q136&gt;0,ROUND(ROUND(Q136*100,0)*ROUND(O$7*10000,0)/12000000,0)/100,0)</f>
        <v>0</v>
      </c>
      <c r="Q137" s="24">
        <f>IF(Q136&gt;0,ROUND(Q136+P137-O137,2),0)</f>
        <v>0</v>
      </c>
      <c r="R137" s="24">
        <f>IF(T136&gt;0,MIN(ROUND(R$6+IF(R$5=$C137,$E$5+$E137,0),2),ROUND(T136+S137,2)),0)</f>
        <v>0</v>
      </c>
      <c r="S137" s="24">
        <f>IF(T136&gt;0,ROUND(ROUND(T136*100,0)*ROUND(R$7*10000,0)/12000000,0)/100,0)</f>
        <v>0</v>
      </c>
      <c r="T137" s="24">
        <f>IF(T136&gt;0,ROUND(T136+S137-R137,2),0)</f>
        <v>0</v>
      </c>
      <c r="U137" s="24">
        <f>IF(W136&gt;0,MIN(ROUND(U$6+IF(U$5=$C137,$E$5+$E137,0),2),ROUND(W136+V137,2)),0)</f>
        <v>0</v>
      </c>
      <c r="V137" s="24">
        <f>IF(W136&gt;0,ROUND(ROUND(W136*100,0)*ROUND(U$7*10000,0)/12000000,0)/100,0)</f>
        <v>0</v>
      </c>
      <c r="W137" s="24">
        <f>IF(W136&gt;0,ROUND(W136+V137-U137,2),0)</f>
        <v>0</v>
      </c>
      <c r="X137" s="24">
        <f>IF(Z136&gt;0,MIN(ROUND(X$6+IF(X$5=$C137,$E$5+$E137,0),2),ROUND(Z136+Y137,2)),0)</f>
        <v>0</v>
      </c>
      <c r="Y137" s="24">
        <f>IF(Z136&gt;0,ROUND(ROUND(Z136*100,0)*ROUND(X$7*10000,0)/12000000,0)/100,0)</f>
        <v>0</v>
      </c>
      <c r="Z137" s="24">
        <f>IF(Z136&gt;0,ROUND(Z136+Y137-X137,2),0)</f>
        <v>0</v>
      </c>
      <c r="AA137" s="24">
        <f>IF(AC136&gt;0,MIN(ROUND(AA$6+IF(AA$5=$C137,$E$5+$E137,0),2),ROUND(AC136+AB137,2)),0)</f>
        <v>0</v>
      </c>
      <c r="AB137" s="24">
        <f>IF(AC136&gt;0,ROUND(ROUND(AC136*100,0)*ROUND(AA$7*10000,0)/12000000,0)/100,0)</f>
        <v>0</v>
      </c>
      <c r="AC137" s="24">
        <f>IF(AC136&gt;0,ROUND(AC136+AB137-AA137,2),0)</f>
        <v>0</v>
      </c>
      <c r="AD137" s="24">
        <f>IF(AF136&gt;0,MIN(ROUND(AD$6+IF(AD$5=$C137,$E$5+$E137,0),2),ROUND(AF136+AE137,2)),0)</f>
        <v>0</v>
      </c>
      <c r="AE137" s="24">
        <f>IF(AF136&gt;0,ROUND(ROUND(AF136*100,0)*ROUND(AD$7*10000,0)/12000000,0)/100,0)</f>
        <v>0</v>
      </c>
      <c r="AF137" s="24">
        <f>IF(AF136&gt;0,ROUND(AF136+AE137-AD137,2),0)</f>
        <v>0</v>
      </c>
      <c r="AG137" s="24">
        <f>IF(AI136&gt;0,MIN(ROUND(AG$6+IF(AG$5=$C137,$E$5+$E137,0),2),ROUND(AI136+AH137,2)),0)</f>
        <v>0</v>
      </c>
      <c r="AH137" s="24">
        <f>IF(AI136&gt;0,ROUND(ROUND(AI136*100,0)*ROUND(AG$7*10000,0)/12000000,0)/100,0)</f>
        <v>0</v>
      </c>
      <c r="AI137" s="24">
        <f>IF(AI136&gt;0,ROUND(AI136+AH137-AG137,2),0)</f>
        <v>0</v>
      </c>
      <c r="AJ137" s="24">
        <f>IF(AL136&gt;0,MIN(ROUND(AJ$6+IF(AJ$5=$C137,$E$5+$E137,0),2),ROUND(AL136+AK137,2)),0)</f>
        <v>0</v>
      </c>
      <c r="AK137" s="24">
        <f>IF(AL136&gt;0,ROUND(ROUND(AL136*100,0)*ROUND(AJ$7*10000,0)/12000000,0)/100,0)</f>
        <v>0</v>
      </c>
      <c r="AL137" s="24">
        <f>IF(AL136&gt;0,ROUND(AL136+AK137-AJ137,2),0)</f>
        <v>0</v>
      </c>
    </row>
    <row r="138" spans="1:38" x14ac:dyDescent="0.25">
      <c r="A138" s="17" t="str">
        <f>IF(F138&gt;0,128,"")</f>
        <v/>
      </c>
      <c r="B138" s="18" t="str">
        <f>IF(F138&gt;0,EDATE($E$6,128),"")</f>
        <v/>
      </c>
      <c r="C138" s="21">
        <f>IF(H137&gt;0,MIN(IF(K137&gt;0,I$5,99),IF(N137&gt;0,L$5,99),IF(Q137&gt;0,O$5,99),IF(T137&gt;0,R$5,99),IF(W137&gt;0,U$5,99),IF(Z137&gt;0,X$5,99),IF(AC137&gt;0,AA$5,99),IF(AF137&gt;0,AD$5,99),IF(AI137&gt;0,AG$5,99),IF(AL137&gt;0,AJ$5,99)),0)</f>
        <v>0</v>
      </c>
      <c r="D138" t="str">
        <f>IF(C138&gt;0,INDEX($I$4:$AL$4,1,MATCH(C138,$I$5:$AL$5,0)),"")</f>
        <v/>
      </c>
      <c r="E138" s="24">
        <f>ROUND(IF(AND(I$8&gt;0,K137=0),I$6,0)+IF(AND(L$8&gt;0,N137=0),L$6,0)+IF(AND(O$8&gt;0,Q137=0),O$6,0)+IF(AND(R$8&gt;0,T137=0),R$6,0)+IF(AND(U$8&gt;0,W137=0),U$6,0)+IF(AND(X$8&gt;0,Z137=0),X$6,0)+IF(AND(AA$8&gt;0,AC137=0),AA$6,0)+IF(AND(AD$8&gt;0,AF137=0),AD$6,0)+IF(AND(AG$8&gt;0,AI137=0),AG$6,0)+IF(AND(AJ$8&gt;0,AL137=0),AJ$6,0),2)</f>
        <v>330</v>
      </c>
      <c r="F138" s="24">
        <f>ROUND(I138+L138+O138+R138+U138+X138+AA138+AD138+AG138+AJ138,2)</f>
        <v>0</v>
      </c>
      <c r="G138" s="24">
        <f>ROUND(J138+M138+P138+S138+V138+Y138+AB138+AE138+AH138+AK138,2)</f>
        <v>0</v>
      </c>
      <c r="H138" s="24">
        <f>ROUND(K138+N138+Q138+T138+W138+Z138+AC138+AF138+AI138+AL138,2)</f>
        <v>0</v>
      </c>
      <c r="I138" s="24">
        <f>IF(K137&gt;0,MIN(ROUND(I$6+IF(I$5=$C138,$E$5+$E138,0),2),ROUND(K137+J138,2)),0)</f>
        <v>0</v>
      </c>
      <c r="J138" s="24">
        <f>IF(K137&gt;0,ROUND(ROUND(K137*100,0)*ROUND(I$7*10000,0)/12000000,0)/100,0)</f>
        <v>0</v>
      </c>
      <c r="K138" s="24">
        <f>IF(K137&gt;0,ROUND(K137+J138-I138,2),0)</f>
        <v>0</v>
      </c>
      <c r="L138" s="24">
        <f>IF(N137&gt;0,MIN(ROUND(L$6+IF(L$5=$C138,$E$5+$E138,0),2),ROUND(N137+M138,2)),0)</f>
        <v>0</v>
      </c>
      <c r="M138" s="24">
        <f>IF(N137&gt;0,ROUND(ROUND(N137*100,0)*ROUND(L$7*10000,0)/12000000,0)/100,0)</f>
        <v>0</v>
      </c>
      <c r="N138" s="24">
        <f>IF(N137&gt;0,ROUND(N137+M138-L138,2),0)</f>
        <v>0</v>
      </c>
      <c r="O138" s="24">
        <f>IF(Q137&gt;0,MIN(ROUND(O$6+IF(O$5=$C138,$E$5+$E138,0),2),ROUND(Q137+P138,2)),0)</f>
        <v>0</v>
      </c>
      <c r="P138" s="24">
        <f>IF(Q137&gt;0,ROUND(ROUND(Q137*100,0)*ROUND(O$7*10000,0)/12000000,0)/100,0)</f>
        <v>0</v>
      </c>
      <c r="Q138" s="24">
        <f>IF(Q137&gt;0,ROUND(Q137+P138-O138,2),0)</f>
        <v>0</v>
      </c>
      <c r="R138" s="24">
        <f>IF(T137&gt;0,MIN(ROUND(R$6+IF(R$5=$C138,$E$5+$E138,0),2),ROUND(T137+S138,2)),0)</f>
        <v>0</v>
      </c>
      <c r="S138" s="24">
        <f>IF(T137&gt;0,ROUND(ROUND(T137*100,0)*ROUND(R$7*10000,0)/12000000,0)/100,0)</f>
        <v>0</v>
      </c>
      <c r="T138" s="24">
        <f>IF(T137&gt;0,ROUND(T137+S138-R138,2),0)</f>
        <v>0</v>
      </c>
      <c r="U138" s="24">
        <f>IF(W137&gt;0,MIN(ROUND(U$6+IF(U$5=$C138,$E$5+$E138,0),2),ROUND(W137+V138,2)),0)</f>
        <v>0</v>
      </c>
      <c r="V138" s="24">
        <f>IF(W137&gt;0,ROUND(ROUND(W137*100,0)*ROUND(U$7*10000,0)/12000000,0)/100,0)</f>
        <v>0</v>
      </c>
      <c r="W138" s="24">
        <f>IF(W137&gt;0,ROUND(W137+V138-U138,2),0)</f>
        <v>0</v>
      </c>
      <c r="X138" s="24">
        <f>IF(Z137&gt;0,MIN(ROUND(X$6+IF(X$5=$C138,$E$5+$E138,0),2),ROUND(Z137+Y138,2)),0)</f>
        <v>0</v>
      </c>
      <c r="Y138" s="24">
        <f>IF(Z137&gt;0,ROUND(ROUND(Z137*100,0)*ROUND(X$7*10000,0)/12000000,0)/100,0)</f>
        <v>0</v>
      </c>
      <c r="Z138" s="24">
        <f>IF(Z137&gt;0,ROUND(Z137+Y138-X138,2),0)</f>
        <v>0</v>
      </c>
      <c r="AA138" s="24">
        <f>IF(AC137&gt;0,MIN(ROUND(AA$6+IF(AA$5=$C138,$E$5+$E138,0),2),ROUND(AC137+AB138,2)),0)</f>
        <v>0</v>
      </c>
      <c r="AB138" s="24">
        <f>IF(AC137&gt;0,ROUND(ROUND(AC137*100,0)*ROUND(AA$7*10000,0)/12000000,0)/100,0)</f>
        <v>0</v>
      </c>
      <c r="AC138" s="24">
        <f>IF(AC137&gt;0,ROUND(AC137+AB138-AA138,2),0)</f>
        <v>0</v>
      </c>
      <c r="AD138" s="24">
        <f>IF(AF137&gt;0,MIN(ROUND(AD$6+IF(AD$5=$C138,$E$5+$E138,0),2),ROUND(AF137+AE138,2)),0)</f>
        <v>0</v>
      </c>
      <c r="AE138" s="24">
        <f>IF(AF137&gt;0,ROUND(ROUND(AF137*100,0)*ROUND(AD$7*10000,0)/12000000,0)/100,0)</f>
        <v>0</v>
      </c>
      <c r="AF138" s="24">
        <f>IF(AF137&gt;0,ROUND(AF137+AE138-AD138,2),0)</f>
        <v>0</v>
      </c>
      <c r="AG138" s="24">
        <f>IF(AI137&gt;0,MIN(ROUND(AG$6+IF(AG$5=$C138,$E$5+$E138,0),2),ROUND(AI137+AH138,2)),0)</f>
        <v>0</v>
      </c>
      <c r="AH138" s="24">
        <f>IF(AI137&gt;0,ROUND(ROUND(AI137*100,0)*ROUND(AG$7*10000,0)/12000000,0)/100,0)</f>
        <v>0</v>
      </c>
      <c r="AI138" s="24">
        <f>IF(AI137&gt;0,ROUND(AI137+AH138-AG138,2),0)</f>
        <v>0</v>
      </c>
      <c r="AJ138" s="24">
        <f>IF(AL137&gt;0,MIN(ROUND(AJ$6+IF(AJ$5=$C138,$E$5+$E138,0),2),ROUND(AL137+AK138,2)),0)</f>
        <v>0</v>
      </c>
      <c r="AK138" s="24">
        <f>IF(AL137&gt;0,ROUND(ROUND(AL137*100,0)*ROUND(AJ$7*10000,0)/12000000,0)/100,0)</f>
        <v>0</v>
      </c>
      <c r="AL138" s="24">
        <f>IF(AL137&gt;0,ROUND(AL137+AK138-AJ138,2),0)</f>
        <v>0</v>
      </c>
    </row>
    <row r="139" spans="1:38" x14ac:dyDescent="0.25">
      <c r="A139" s="17" t="str">
        <f>IF(F139&gt;0,129,"")</f>
        <v/>
      </c>
      <c r="B139" s="18" t="str">
        <f>IF(F139&gt;0,EDATE($E$6,129),"")</f>
        <v/>
      </c>
      <c r="C139" s="21">
        <f>IF(H138&gt;0,MIN(IF(K138&gt;0,I$5,99),IF(N138&gt;0,L$5,99),IF(Q138&gt;0,O$5,99),IF(T138&gt;0,R$5,99),IF(W138&gt;0,U$5,99),IF(Z138&gt;0,X$5,99),IF(AC138&gt;0,AA$5,99),IF(AF138&gt;0,AD$5,99),IF(AI138&gt;0,AG$5,99),IF(AL138&gt;0,AJ$5,99)),0)</f>
        <v>0</v>
      </c>
      <c r="D139" t="str">
        <f>IF(C139&gt;0,INDEX($I$4:$AL$4,1,MATCH(C139,$I$5:$AL$5,0)),"")</f>
        <v/>
      </c>
      <c r="E139" s="24">
        <f>ROUND(IF(AND(I$8&gt;0,K138=0),I$6,0)+IF(AND(L$8&gt;0,N138=0),L$6,0)+IF(AND(O$8&gt;0,Q138=0),O$6,0)+IF(AND(R$8&gt;0,T138=0),R$6,0)+IF(AND(U$8&gt;0,W138=0),U$6,0)+IF(AND(X$8&gt;0,Z138=0),X$6,0)+IF(AND(AA$8&gt;0,AC138=0),AA$6,0)+IF(AND(AD$8&gt;0,AF138=0),AD$6,0)+IF(AND(AG$8&gt;0,AI138=0),AG$6,0)+IF(AND(AJ$8&gt;0,AL138=0),AJ$6,0),2)</f>
        <v>330</v>
      </c>
      <c r="F139" s="24">
        <f>ROUND(I139+L139+O139+R139+U139+X139+AA139+AD139+AG139+AJ139,2)</f>
        <v>0</v>
      </c>
      <c r="G139" s="24">
        <f>ROUND(J139+M139+P139+S139+V139+Y139+AB139+AE139+AH139+AK139,2)</f>
        <v>0</v>
      </c>
      <c r="H139" s="24">
        <f>ROUND(K139+N139+Q139+T139+W139+Z139+AC139+AF139+AI139+AL139,2)</f>
        <v>0</v>
      </c>
      <c r="I139" s="24">
        <f>IF(K138&gt;0,MIN(ROUND(I$6+IF(I$5=$C139,$E$5+$E139,0),2),ROUND(K138+J139,2)),0)</f>
        <v>0</v>
      </c>
      <c r="J139" s="24">
        <f>IF(K138&gt;0,ROUND(ROUND(K138*100,0)*ROUND(I$7*10000,0)/12000000,0)/100,0)</f>
        <v>0</v>
      </c>
      <c r="K139" s="24">
        <f>IF(K138&gt;0,ROUND(K138+J139-I139,2),0)</f>
        <v>0</v>
      </c>
      <c r="L139" s="24">
        <f>IF(N138&gt;0,MIN(ROUND(L$6+IF(L$5=$C139,$E$5+$E139,0),2),ROUND(N138+M139,2)),0)</f>
        <v>0</v>
      </c>
      <c r="M139" s="24">
        <f>IF(N138&gt;0,ROUND(ROUND(N138*100,0)*ROUND(L$7*10000,0)/12000000,0)/100,0)</f>
        <v>0</v>
      </c>
      <c r="N139" s="24">
        <f>IF(N138&gt;0,ROUND(N138+M139-L139,2),0)</f>
        <v>0</v>
      </c>
      <c r="O139" s="24">
        <f>IF(Q138&gt;0,MIN(ROUND(O$6+IF(O$5=$C139,$E$5+$E139,0),2),ROUND(Q138+P139,2)),0)</f>
        <v>0</v>
      </c>
      <c r="P139" s="24">
        <f>IF(Q138&gt;0,ROUND(ROUND(Q138*100,0)*ROUND(O$7*10000,0)/12000000,0)/100,0)</f>
        <v>0</v>
      </c>
      <c r="Q139" s="24">
        <f>IF(Q138&gt;0,ROUND(Q138+P139-O139,2),0)</f>
        <v>0</v>
      </c>
      <c r="R139" s="24">
        <f>IF(T138&gt;0,MIN(ROUND(R$6+IF(R$5=$C139,$E$5+$E139,0),2),ROUND(T138+S139,2)),0)</f>
        <v>0</v>
      </c>
      <c r="S139" s="24">
        <f>IF(T138&gt;0,ROUND(ROUND(T138*100,0)*ROUND(R$7*10000,0)/12000000,0)/100,0)</f>
        <v>0</v>
      </c>
      <c r="T139" s="24">
        <f>IF(T138&gt;0,ROUND(T138+S139-R139,2),0)</f>
        <v>0</v>
      </c>
      <c r="U139" s="24">
        <f>IF(W138&gt;0,MIN(ROUND(U$6+IF(U$5=$C139,$E$5+$E139,0),2),ROUND(W138+V139,2)),0)</f>
        <v>0</v>
      </c>
      <c r="V139" s="24">
        <f>IF(W138&gt;0,ROUND(ROUND(W138*100,0)*ROUND(U$7*10000,0)/12000000,0)/100,0)</f>
        <v>0</v>
      </c>
      <c r="W139" s="24">
        <f>IF(W138&gt;0,ROUND(W138+V139-U139,2),0)</f>
        <v>0</v>
      </c>
      <c r="X139" s="24">
        <f>IF(Z138&gt;0,MIN(ROUND(X$6+IF(X$5=$C139,$E$5+$E139,0),2),ROUND(Z138+Y139,2)),0)</f>
        <v>0</v>
      </c>
      <c r="Y139" s="24">
        <f>IF(Z138&gt;0,ROUND(ROUND(Z138*100,0)*ROUND(X$7*10000,0)/12000000,0)/100,0)</f>
        <v>0</v>
      </c>
      <c r="Z139" s="24">
        <f>IF(Z138&gt;0,ROUND(Z138+Y139-X139,2),0)</f>
        <v>0</v>
      </c>
      <c r="AA139" s="24">
        <f>IF(AC138&gt;0,MIN(ROUND(AA$6+IF(AA$5=$C139,$E$5+$E139,0),2),ROUND(AC138+AB139,2)),0)</f>
        <v>0</v>
      </c>
      <c r="AB139" s="24">
        <f>IF(AC138&gt;0,ROUND(ROUND(AC138*100,0)*ROUND(AA$7*10000,0)/12000000,0)/100,0)</f>
        <v>0</v>
      </c>
      <c r="AC139" s="24">
        <f>IF(AC138&gt;0,ROUND(AC138+AB139-AA139,2),0)</f>
        <v>0</v>
      </c>
      <c r="AD139" s="24">
        <f>IF(AF138&gt;0,MIN(ROUND(AD$6+IF(AD$5=$C139,$E$5+$E139,0),2),ROUND(AF138+AE139,2)),0)</f>
        <v>0</v>
      </c>
      <c r="AE139" s="24">
        <f>IF(AF138&gt;0,ROUND(ROUND(AF138*100,0)*ROUND(AD$7*10000,0)/12000000,0)/100,0)</f>
        <v>0</v>
      </c>
      <c r="AF139" s="24">
        <f>IF(AF138&gt;0,ROUND(AF138+AE139-AD139,2),0)</f>
        <v>0</v>
      </c>
      <c r="AG139" s="24">
        <f>IF(AI138&gt;0,MIN(ROUND(AG$6+IF(AG$5=$C139,$E$5+$E139,0),2),ROUND(AI138+AH139,2)),0)</f>
        <v>0</v>
      </c>
      <c r="AH139" s="24">
        <f>IF(AI138&gt;0,ROUND(ROUND(AI138*100,0)*ROUND(AG$7*10000,0)/12000000,0)/100,0)</f>
        <v>0</v>
      </c>
      <c r="AI139" s="24">
        <f>IF(AI138&gt;0,ROUND(AI138+AH139-AG139,2),0)</f>
        <v>0</v>
      </c>
      <c r="AJ139" s="24">
        <f>IF(AL138&gt;0,MIN(ROUND(AJ$6+IF(AJ$5=$C139,$E$5+$E139,0),2),ROUND(AL138+AK139,2)),0)</f>
        <v>0</v>
      </c>
      <c r="AK139" s="24">
        <f>IF(AL138&gt;0,ROUND(ROUND(AL138*100,0)*ROUND(AJ$7*10000,0)/12000000,0)/100,0)</f>
        <v>0</v>
      </c>
      <c r="AL139" s="24">
        <f>IF(AL138&gt;0,ROUND(AL138+AK139-AJ139,2),0)</f>
        <v>0</v>
      </c>
    </row>
    <row r="140" spans="1:38" x14ac:dyDescent="0.25">
      <c r="A140" s="17" t="str">
        <f>IF(F140&gt;0,130,"")</f>
        <v/>
      </c>
      <c r="B140" s="18" t="str">
        <f>IF(F140&gt;0,EDATE($E$6,130),"")</f>
        <v/>
      </c>
      <c r="C140" s="21">
        <f>IF(H139&gt;0,MIN(IF(K139&gt;0,I$5,99),IF(N139&gt;0,L$5,99),IF(Q139&gt;0,O$5,99),IF(T139&gt;0,R$5,99),IF(W139&gt;0,U$5,99),IF(Z139&gt;0,X$5,99),IF(AC139&gt;0,AA$5,99),IF(AF139&gt;0,AD$5,99),IF(AI139&gt;0,AG$5,99),IF(AL139&gt;0,AJ$5,99)),0)</f>
        <v>0</v>
      </c>
      <c r="D140" t="str">
        <f>IF(C140&gt;0,INDEX($I$4:$AL$4,1,MATCH(C140,$I$5:$AL$5,0)),"")</f>
        <v/>
      </c>
      <c r="E140" s="24">
        <f>ROUND(IF(AND(I$8&gt;0,K139=0),I$6,0)+IF(AND(L$8&gt;0,N139=0),L$6,0)+IF(AND(O$8&gt;0,Q139=0),O$6,0)+IF(AND(R$8&gt;0,T139=0),R$6,0)+IF(AND(U$8&gt;0,W139=0),U$6,0)+IF(AND(X$8&gt;0,Z139=0),X$6,0)+IF(AND(AA$8&gt;0,AC139=0),AA$6,0)+IF(AND(AD$8&gt;0,AF139=0),AD$6,0)+IF(AND(AG$8&gt;0,AI139=0),AG$6,0)+IF(AND(AJ$8&gt;0,AL139=0),AJ$6,0),2)</f>
        <v>330</v>
      </c>
      <c r="F140" s="24">
        <f>ROUND(I140+L140+O140+R140+U140+X140+AA140+AD140+AG140+AJ140,2)</f>
        <v>0</v>
      </c>
      <c r="G140" s="24">
        <f>ROUND(J140+M140+P140+S140+V140+Y140+AB140+AE140+AH140+AK140,2)</f>
        <v>0</v>
      </c>
      <c r="H140" s="24">
        <f>ROUND(K140+N140+Q140+T140+W140+Z140+AC140+AF140+AI140+AL140,2)</f>
        <v>0</v>
      </c>
      <c r="I140" s="24">
        <f>IF(K139&gt;0,MIN(ROUND(I$6+IF(I$5=$C140,$E$5+$E140,0),2),ROUND(K139+J140,2)),0)</f>
        <v>0</v>
      </c>
      <c r="J140" s="24">
        <f>IF(K139&gt;0,ROUND(ROUND(K139*100,0)*ROUND(I$7*10000,0)/12000000,0)/100,0)</f>
        <v>0</v>
      </c>
      <c r="K140" s="24">
        <f>IF(K139&gt;0,ROUND(K139+J140-I140,2),0)</f>
        <v>0</v>
      </c>
      <c r="L140" s="24">
        <f>IF(N139&gt;0,MIN(ROUND(L$6+IF(L$5=$C140,$E$5+$E140,0),2),ROUND(N139+M140,2)),0)</f>
        <v>0</v>
      </c>
      <c r="M140" s="24">
        <f>IF(N139&gt;0,ROUND(ROUND(N139*100,0)*ROUND(L$7*10000,0)/12000000,0)/100,0)</f>
        <v>0</v>
      </c>
      <c r="N140" s="24">
        <f>IF(N139&gt;0,ROUND(N139+M140-L140,2),0)</f>
        <v>0</v>
      </c>
      <c r="O140" s="24">
        <f>IF(Q139&gt;0,MIN(ROUND(O$6+IF(O$5=$C140,$E$5+$E140,0),2),ROUND(Q139+P140,2)),0)</f>
        <v>0</v>
      </c>
      <c r="P140" s="24">
        <f>IF(Q139&gt;0,ROUND(ROUND(Q139*100,0)*ROUND(O$7*10000,0)/12000000,0)/100,0)</f>
        <v>0</v>
      </c>
      <c r="Q140" s="24">
        <f>IF(Q139&gt;0,ROUND(Q139+P140-O140,2),0)</f>
        <v>0</v>
      </c>
      <c r="R140" s="24">
        <f>IF(T139&gt;0,MIN(ROUND(R$6+IF(R$5=$C140,$E$5+$E140,0),2),ROUND(T139+S140,2)),0)</f>
        <v>0</v>
      </c>
      <c r="S140" s="24">
        <f>IF(T139&gt;0,ROUND(ROUND(T139*100,0)*ROUND(R$7*10000,0)/12000000,0)/100,0)</f>
        <v>0</v>
      </c>
      <c r="T140" s="24">
        <f>IF(T139&gt;0,ROUND(T139+S140-R140,2),0)</f>
        <v>0</v>
      </c>
      <c r="U140" s="24">
        <f>IF(W139&gt;0,MIN(ROUND(U$6+IF(U$5=$C140,$E$5+$E140,0),2),ROUND(W139+V140,2)),0)</f>
        <v>0</v>
      </c>
      <c r="V140" s="24">
        <f>IF(W139&gt;0,ROUND(ROUND(W139*100,0)*ROUND(U$7*10000,0)/12000000,0)/100,0)</f>
        <v>0</v>
      </c>
      <c r="W140" s="24">
        <f>IF(W139&gt;0,ROUND(W139+V140-U140,2),0)</f>
        <v>0</v>
      </c>
      <c r="X140" s="24">
        <f>IF(Z139&gt;0,MIN(ROUND(X$6+IF(X$5=$C140,$E$5+$E140,0),2),ROUND(Z139+Y140,2)),0)</f>
        <v>0</v>
      </c>
      <c r="Y140" s="24">
        <f>IF(Z139&gt;0,ROUND(ROUND(Z139*100,0)*ROUND(X$7*10000,0)/12000000,0)/100,0)</f>
        <v>0</v>
      </c>
      <c r="Z140" s="24">
        <f>IF(Z139&gt;0,ROUND(Z139+Y140-X140,2),0)</f>
        <v>0</v>
      </c>
      <c r="AA140" s="24">
        <f>IF(AC139&gt;0,MIN(ROUND(AA$6+IF(AA$5=$C140,$E$5+$E140,0),2),ROUND(AC139+AB140,2)),0)</f>
        <v>0</v>
      </c>
      <c r="AB140" s="24">
        <f>IF(AC139&gt;0,ROUND(ROUND(AC139*100,0)*ROUND(AA$7*10000,0)/12000000,0)/100,0)</f>
        <v>0</v>
      </c>
      <c r="AC140" s="24">
        <f>IF(AC139&gt;0,ROUND(AC139+AB140-AA140,2),0)</f>
        <v>0</v>
      </c>
      <c r="AD140" s="24">
        <f>IF(AF139&gt;0,MIN(ROUND(AD$6+IF(AD$5=$C140,$E$5+$E140,0),2),ROUND(AF139+AE140,2)),0)</f>
        <v>0</v>
      </c>
      <c r="AE140" s="24">
        <f>IF(AF139&gt;0,ROUND(ROUND(AF139*100,0)*ROUND(AD$7*10000,0)/12000000,0)/100,0)</f>
        <v>0</v>
      </c>
      <c r="AF140" s="24">
        <f>IF(AF139&gt;0,ROUND(AF139+AE140-AD140,2),0)</f>
        <v>0</v>
      </c>
      <c r="AG140" s="24">
        <f>IF(AI139&gt;0,MIN(ROUND(AG$6+IF(AG$5=$C140,$E$5+$E140,0),2),ROUND(AI139+AH140,2)),0)</f>
        <v>0</v>
      </c>
      <c r="AH140" s="24">
        <f>IF(AI139&gt;0,ROUND(ROUND(AI139*100,0)*ROUND(AG$7*10000,0)/12000000,0)/100,0)</f>
        <v>0</v>
      </c>
      <c r="AI140" s="24">
        <f>IF(AI139&gt;0,ROUND(AI139+AH140-AG140,2),0)</f>
        <v>0</v>
      </c>
      <c r="AJ140" s="24">
        <f>IF(AL139&gt;0,MIN(ROUND(AJ$6+IF(AJ$5=$C140,$E$5+$E140,0),2),ROUND(AL139+AK140,2)),0)</f>
        <v>0</v>
      </c>
      <c r="AK140" s="24">
        <f>IF(AL139&gt;0,ROUND(ROUND(AL139*100,0)*ROUND(AJ$7*10000,0)/12000000,0)/100,0)</f>
        <v>0</v>
      </c>
      <c r="AL140" s="24">
        <f>IF(AL139&gt;0,ROUND(AL139+AK140-AJ140,2),0)</f>
        <v>0</v>
      </c>
    </row>
    <row r="141" spans="1:38" x14ac:dyDescent="0.25">
      <c r="A141" s="17" t="str">
        <f>IF(F141&gt;0,131,"")</f>
        <v/>
      </c>
      <c r="B141" s="18" t="str">
        <f>IF(F141&gt;0,EDATE($E$6,131),"")</f>
        <v/>
      </c>
      <c r="C141" s="21">
        <f>IF(H140&gt;0,MIN(IF(K140&gt;0,I$5,99),IF(N140&gt;0,L$5,99),IF(Q140&gt;0,O$5,99),IF(T140&gt;0,R$5,99),IF(W140&gt;0,U$5,99),IF(Z140&gt;0,X$5,99),IF(AC140&gt;0,AA$5,99),IF(AF140&gt;0,AD$5,99),IF(AI140&gt;0,AG$5,99),IF(AL140&gt;0,AJ$5,99)),0)</f>
        <v>0</v>
      </c>
      <c r="D141" t="str">
        <f>IF(C141&gt;0,INDEX($I$4:$AL$4,1,MATCH(C141,$I$5:$AL$5,0)),"")</f>
        <v/>
      </c>
      <c r="E141" s="24">
        <f>ROUND(IF(AND(I$8&gt;0,K140=0),I$6,0)+IF(AND(L$8&gt;0,N140=0),L$6,0)+IF(AND(O$8&gt;0,Q140=0),O$6,0)+IF(AND(R$8&gt;0,T140=0),R$6,0)+IF(AND(U$8&gt;0,W140=0),U$6,0)+IF(AND(X$8&gt;0,Z140=0),X$6,0)+IF(AND(AA$8&gt;0,AC140=0),AA$6,0)+IF(AND(AD$8&gt;0,AF140=0),AD$6,0)+IF(AND(AG$8&gt;0,AI140=0),AG$6,0)+IF(AND(AJ$8&gt;0,AL140=0),AJ$6,0),2)</f>
        <v>330</v>
      </c>
      <c r="F141" s="24">
        <f>ROUND(I141+L141+O141+R141+U141+X141+AA141+AD141+AG141+AJ141,2)</f>
        <v>0</v>
      </c>
      <c r="G141" s="24">
        <f>ROUND(J141+M141+P141+S141+V141+Y141+AB141+AE141+AH141+AK141,2)</f>
        <v>0</v>
      </c>
      <c r="H141" s="24">
        <f>ROUND(K141+N141+Q141+T141+W141+Z141+AC141+AF141+AI141+AL141,2)</f>
        <v>0</v>
      </c>
      <c r="I141" s="24">
        <f>IF(K140&gt;0,MIN(ROUND(I$6+IF(I$5=$C141,$E$5+$E141,0),2),ROUND(K140+J141,2)),0)</f>
        <v>0</v>
      </c>
      <c r="J141" s="24">
        <f>IF(K140&gt;0,ROUND(ROUND(K140*100,0)*ROUND(I$7*10000,0)/12000000,0)/100,0)</f>
        <v>0</v>
      </c>
      <c r="K141" s="24">
        <f>IF(K140&gt;0,ROUND(K140+J141-I141,2),0)</f>
        <v>0</v>
      </c>
      <c r="L141" s="24">
        <f>IF(N140&gt;0,MIN(ROUND(L$6+IF(L$5=$C141,$E$5+$E141,0),2),ROUND(N140+M141,2)),0)</f>
        <v>0</v>
      </c>
      <c r="M141" s="24">
        <f>IF(N140&gt;0,ROUND(ROUND(N140*100,0)*ROUND(L$7*10000,0)/12000000,0)/100,0)</f>
        <v>0</v>
      </c>
      <c r="N141" s="24">
        <f>IF(N140&gt;0,ROUND(N140+M141-L141,2),0)</f>
        <v>0</v>
      </c>
      <c r="O141" s="24">
        <f>IF(Q140&gt;0,MIN(ROUND(O$6+IF(O$5=$C141,$E$5+$E141,0),2),ROUND(Q140+P141,2)),0)</f>
        <v>0</v>
      </c>
      <c r="P141" s="24">
        <f>IF(Q140&gt;0,ROUND(ROUND(Q140*100,0)*ROUND(O$7*10000,0)/12000000,0)/100,0)</f>
        <v>0</v>
      </c>
      <c r="Q141" s="24">
        <f>IF(Q140&gt;0,ROUND(Q140+P141-O141,2),0)</f>
        <v>0</v>
      </c>
      <c r="R141" s="24">
        <f>IF(T140&gt;0,MIN(ROUND(R$6+IF(R$5=$C141,$E$5+$E141,0),2),ROUND(T140+S141,2)),0)</f>
        <v>0</v>
      </c>
      <c r="S141" s="24">
        <f>IF(T140&gt;0,ROUND(ROUND(T140*100,0)*ROUND(R$7*10000,0)/12000000,0)/100,0)</f>
        <v>0</v>
      </c>
      <c r="T141" s="24">
        <f>IF(T140&gt;0,ROUND(T140+S141-R141,2),0)</f>
        <v>0</v>
      </c>
      <c r="U141" s="24">
        <f>IF(W140&gt;0,MIN(ROUND(U$6+IF(U$5=$C141,$E$5+$E141,0),2),ROUND(W140+V141,2)),0)</f>
        <v>0</v>
      </c>
      <c r="V141" s="24">
        <f>IF(W140&gt;0,ROUND(ROUND(W140*100,0)*ROUND(U$7*10000,0)/12000000,0)/100,0)</f>
        <v>0</v>
      </c>
      <c r="W141" s="24">
        <f>IF(W140&gt;0,ROUND(W140+V141-U141,2),0)</f>
        <v>0</v>
      </c>
      <c r="X141" s="24">
        <f>IF(Z140&gt;0,MIN(ROUND(X$6+IF(X$5=$C141,$E$5+$E141,0),2),ROUND(Z140+Y141,2)),0)</f>
        <v>0</v>
      </c>
      <c r="Y141" s="24">
        <f>IF(Z140&gt;0,ROUND(ROUND(Z140*100,0)*ROUND(X$7*10000,0)/12000000,0)/100,0)</f>
        <v>0</v>
      </c>
      <c r="Z141" s="24">
        <f>IF(Z140&gt;0,ROUND(Z140+Y141-X141,2),0)</f>
        <v>0</v>
      </c>
      <c r="AA141" s="24">
        <f>IF(AC140&gt;0,MIN(ROUND(AA$6+IF(AA$5=$C141,$E$5+$E141,0),2),ROUND(AC140+AB141,2)),0)</f>
        <v>0</v>
      </c>
      <c r="AB141" s="24">
        <f>IF(AC140&gt;0,ROUND(ROUND(AC140*100,0)*ROUND(AA$7*10000,0)/12000000,0)/100,0)</f>
        <v>0</v>
      </c>
      <c r="AC141" s="24">
        <f>IF(AC140&gt;0,ROUND(AC140+AB141-AA141,2),0)</f>
        <v>0</v>
      </c>
      <c r="AD141" s="24">
        <f>IF(AF140&gt;0,MIN(ROUND(AD$6+IF(AD$5=$C141,$E$5+$E141,0),2),ROUND(AF140+AE141,2)),0)</f>
        <v>0</v>
      </c>
      <c r="AE141" s="24">
        <f>IF(AF140&gt;0,ROUND(ROUND(AF140*100,0)*ROUND(AD$7*10000,0)/12000000,0)/100,0)</f>
        <v>0</v>
      </c>
      <c r="AF141" s="24">
        <f>IF(AF140&gt;0,ROUND(AF140+AE141-AD141,2),0)</f>
        <v>0</v>
      </c>
      <c r="AG141" s="24">
        <f>IF(AI140&gt;0,MIN(ROUND(AG$6+IF(AG$5=$C141,$E$5+$E141,0),2),ROUND(AI140+AH141,2)),0)</f>
        <v>0</v>
      </c>
      <c r="AH141" s="24">
        <f>IF(AI140&gt;0,ROUND(ROUND(AI140*100,0)*ROUND(AG$7*10000,0)/12000000,0)/100,0)</f>
        <v>0</v>
      </c>
      <c r="AI141" s="24">
        <f>IF(AI140&gt;0,ROUND(AI140+AH141-AG141,2),0)</f>
        <v>0</v>
      </c>
      <c r="AJ141" s="24">
        <f>IF(AL140&gt;0,MIN(ROUND(AJ$6+IF(AJ$5=$C141,$E$5+$E141,0),2),ROUND(AL140+AK141,2)),0)</f>
        <v>0</v>
      </c>
      <c r="AK141" s="24">
        <f>IF(AL140&gt;0,ROUND(ROUND(AL140*100,0)*ROUND(AJ$7*10000,0)/12000000,0)/100,0)</f>
        <v>0</v>
      </c>
      <c r="AL141" s="24">
        <f>IF(AL140&gt;0,ROUND(AL140+AK141-AJ141,2),0)</f>
        <v>0</v>
      </c>
    </row>
    <row r="142" spans="1:38" x14ac:dyDescent="0.25">
      <c r="A142" s="17" t="str">
        <f>IF(F142&gt;0,132,"")</f>
        <v/>
      </c>
      <c r="B142" s="18" t="str">
        <f>IF(F142&gt;0,EDATE($E$6,132),"")</f>
        <v/>
      </c>
      <c r="C142" s="21">
        <f>IF(H141&gt;0,MIN(IF(K141&gt;0,I$5,99),IF(N141&gt;0,L$5,99),IF(Q141&gt;0,O$5,99),IF(T141&gt;0,R$5,99),IF(W141&gt;0,U$5,99),IF(Z141&gt;0,X$5,99),IF(AC141&gt;0,AA$5,99),IF(AF141&gt;0,AD$5,99),IF(AI141&gt;0,AG$5,99),IF(AL141&gt;0,AJ$5,99)),0)</f>
        <v>0</v>
      </c>
      <c r="D142" t="str">
        <f>IF(C142&gt;0,INDEX($I$4:$AL$4,1,MATCH(C142,$I$5:$AL$5,0)),"")</f>
        <v/>
      </c>
      <c r="E142" s="24">
        <f>ROUND(IF(AND(I$8&gt;0,K141=0),I$6,0)+IF(AND(L$8&gt;0,N141=0),L$6,0)+IF(AND(O$8&gt;0,Q141=0),O$6,0)+IF(AND(R$8&gt;0,T141=0),R$6,0)+IF(AND(U$8&gt;0,W141=0),U$6,0)+IF(AND(X$8&gt;0,Z141=0),X$6,0)+IF(AND(AA$8&gt;0,AC141=0),AA$6,0)+IF(AND(AD$8&gt;0,AF141=0),AD$6,0)+IF(AND(AG$8&gt;0,AI141=0),AG$6,0)+IF(AND(AJ$8&gt;0,AL141=0),AJ$6,0),2)</f>
        <v>330</v>
      </c>
      <c r="F142" s="24">
        <f>ROUND(I142+L142+O142+R142+U142+X142+AA142+AD142+AG142+AJ142,2)</f>
        <v>0</v>
      </c>
      <c r="G142" s="24">
        <f>ROUND(J142+M142+P142+S142+V142+Y142+AB142+AE142+AH142+AK142,2)</f>
        <v>0</v>
      </c>
      <c r="H142" s="24">
        <f>ROUND(K142+N142+Q142+T142+W142+Z142+AC142+AF142+AI142+AL142,2)</f>
        <v>0</v>
      </c>
      <c r="I142" s="24">
        <f>IF(K141&gt;0,MIN(ROUND(I$6+IF(I$5=$C142,$E$5+$E142,0),2),ROUND(K141+J142,2)),0)</f>
        <v>0</v>
      </c>
      <c r="J142" s="24">
        <f>IF(K141&gt;0,ROUND(ROUND(K141*100,0)*ROUND(I$7*10000,0)/12000000,0)/100,0)</f>
        <v>0</v>
      </c>
      <c r="K142" s="24">
        <f>IF(K141&gt;0,ROUND(K141+J142-I142,2),0)</f>
        <v>0</v>
      </c>
      <c r="L142" s="24">
        <f>IF(N141&gt;0,MIN(ROUND(L$6+IF(L$5=$C142,$E$5+$E142,0),2),ROUND(N141+M142,2)),0)</f>
        <v>0</v>
      </c>
      <c r="M142" s="24">
        <f>IF(N141&gt;0,ROUND(ROUND(N141*100,0)*ROUND(L$7*10000,0)/12000000,0)/100,0)</f>
        <v>0</v>
      </c>
      <c r="N142" s="24">
        <f>IF(N141&gt;0,ROUND(N141+M142-L142,2),0)</f>
        <v>0</v>
      </c>
      <c r="O142" s="24">
        <f>IF(Q141&gt;0,MIN(ROUND(O$6+IF(O$5=$C142,$E$5+$E142,0),2),ROUND(Q141+P142,2)),0)</f>
        <v>0</v>
      </c>
      <c r="P142" s="24">
        <f>IF(Q141&gt;0,ROUND(ROUND(Q141*100,0)*ROUND(O$7*10000,0)/12000000,0)/100,0)</f>
        <v>0</v>
      </c>
      <c r="Q142" s="24">
        <f>IF(Q141&gt;0,ROUND(Q141+P142-O142,2),0)</f>
        <v>0</v>
      </c>
      <c r="R142" s="24">
        <f>IF(T141&gt;0,MIN(ROUND(R$6+IF(R$5=$C142,$E$5+$E142,0),2),ROUND(T141+S142,2)),0)</f>
        <v>0</v>
      </c>
      <c r="S142" s="24">
        <f>IF(T141&gt;0,ROUND(ROUND(T141*100,0)*ROUND(R$7*10000,0)/12000000,0)/100,0)</f>
        <v>0</v>
      </c>
      <c r="T142" s="24">
        <f>IF(T141&gt;0,ROUND(T141+S142-R142,2),0)</f>
        <v>0</v>
      </c>
      <c r="U142" s="24">
        <f>IF(W141&gt;0,MIN(ROUND(U$6+IF(U$5=$C142,$E$5+$E142,0),2),ROUND(W141+V142,2)),0)</f>
        <v>0</v>
      </c>
      <c r="V142" s="24">
        <f>IF(W141&gt;0,ROUND(ROUND(W141*100,0)*ROUND(U$7*10000,0)/12000000,0)/100,0)</f>
        <v>0</v>
      </c>
      <c r="W142" s="24">
        <f>IF(W141&gt;0,ROUND(W141+V142-U142,2),0)</f>
        <v>0</v>
      </c>
      <c r="X142" s="24">
        <f>IF(Z141&gt;0,MIN(ROUND(X$6+IF(X$5=$C142,$E$5+$E142,0),2),ROUND(Z141+Y142,2)),0)</f>
        <v>0</v>
      </c>
      <c r="Y142" s="24">
        <f>IF(Z141&gt;0,ROUND(ROUND(Z141*100,0)*ROUND(X$7*10000,0)/12000000,0)/100,0)</f>
        <v>0</v>
      </c>
      <c r="Z142" s="24">
        <f>IF(Z141&gt;0,ROUND(Z141+Y142-X142,2),0)</f>
        <v>0</v>
      </c>
      <c r="AA142" s="24">
        <f>IF(AC141&gt;0,MIN(ROUND(AA$6+IF(AA$5=$C142,$E$5+$E142,0),2),ROUND(AC141+AB142,2)),0)</f>
        <v>0</v>
      </c>
      <c r="AB142" s="24">
        <f>IF(AC141&gt;0,ROUND(ROUND(AC141*100,0)*ROUND(AA$7*10000,0)/12000000,0)/100,0)</f>
        <v>0</v>
      </c>
      <c r="AC142" s="24">
        <f>IF(AC141&gt;0,ROUND(AC141+AB142-AA142,2),0)</f>
        <v>0</v>
      </c>
      <c r="AD142" s="24">
        <f>IF(AF141&gt;0,MIN(ROUND(AD$6+IF(AD$5=$C142,$E$5+$E142,0),2),ROUND(AF141+AE142,2)),0)</f>
        <v>0</v>
      </c>
      <c r="AE142" s="24">
        <f>IF(AF141&gt;0,ROUND(ROUND(AF141*100,0)*ROUND(AD$7*10000,0)/12000000,0)/100,0)</f>
        <v>0</v>
      </c>
      <c r="AF142" s="24">
        <f>IF(AF141&gt;0,ROUND(AF141+AE142-AD142,2),0)</f>
        <v>0</v>
      </c>
      <c r="AG142" s="24">
        <f>IF(AI141&gt;0,MIN(ROUND(AG$6+IF(AG$5=$C142,$E$5+$E142,0),2),ROUND(AI141+AH142,2)),0)</f>
        <v>0</v>
      </c>
      <c r="AH142" s="24">
        <f>IF(AI141&gt;0,ROUND(ROUND(AI141*100,0)*ROUND(AG$7*10000,0)/12000000,0)/100,0)</f>
        <v>0</v>
      </c>
      <c r="AI142" s="24">
        <f>IF(AI141&gt;0,ROUND(AI141+AH142-AG142,2),0)</f>
        <v>0</v>
      </c>
      <c r="AJ142" s="24">
        <f>IF(AL141&gt;0,MIN(ROUND(AJ$6+IF(AJ$5=$C142,$E$5+$E142,0),2),ROUND(AL141+AK142,2)),0)</f>
        <v>0</v>
      </c>
      <c r="AK142" s="24">
        <f>IF(AL141&gt;0,ROUND(ROUND(AL141*100,0)*ROUND(AJ$7*10000,0)/12000000,0)/100,0)</f>
        <v>0</v>
      </c>
      <c r="AL142" s="24">
        <f>IF(AL141&gt;0,ROUND(AL141+AK142-AJ142,2),0)</f>
        <v>0</v>
      </c>
    </row>
    <row r="143" spans="1:38" x14ac:dyDescent="0.25">
      <c r="A143" s="17" t="str">
        <f>IF(F143&gt;0,133,"")</f>
        <v/>
      </c>
      <c r="B143" s="18" t="str">
        <f>IF(F143&gt;0,EDATE($E$6,133),"")</f>
        <v/>
      </c>
      <c r="C143" s="21">
        <f>IF(H142&gt;0,MIN(IF(K142&gt;0,I$5,99),IF(N142&gt;0,L$5,99),IF(Q142&gt;0,O$5,99),IF(T142&gt;0,R$5,99),IF(W142&gt;0,U$5,99),IF(Z142&gt;0,X$5,99),IF(AC142&gt;0,AA$5,99),IF(AF142&gt;0,AD$5,99),IF(AI142&gt;0,AG$5,99),IF(AL142&gt;0,AJ$5,99)),0)</f>
        <v>0</v>
      </c>
      <c r="D143" t="str">
        <f>IF(C143&gt;0,INDEX($I$4:$AL$4,1,MATCH(C143,$I$5:$AL$5,0)),"")</f>
        <v/>
      </c>
      <c r="E143" s="24">
        <f>ROUND(IF(AND(I$8&gt;0,K142=0),I$6,0)+IF(AND(L$8&gt;0,N142=0),L$6,0)+IF(AND(O$8&gt;0,Q142=0),O$6,0)+IF(AND(R$8&gt;0,T142=0),R$6,0)+IF(AND(U$8&gt;0,W142=0),U$6,0)+IF(AND(X$8&gt;0,Z142=0),X$6,0)+IF(AND(AA$8&gt;0,AC142=0),AA$6,0)+IF(AND(AD$8&gt;0,AF142=0),AD$6,0)+IF(AND(AG$8&gt;0,AI142=0),AG$6,0)+IF(AND(AJ$8&gt;0,AL142=0),AJ$6,0),2)</f>
        <v>330</v>
      </c>
      <c r="F143" s="24">
        <f>ROUND(I143+L143+O143+R143+U143+X143+AA143+AD143+AG143+AJ143,2)</f>
        <v>0</v>
      </c>
      <c r="G143" s="24">
        <f>ROUND(J143+M143+P143+S143+V143+Y143+AB143+AE143+AH143+AK143,2)</f>
        <v>0</v>
      </c>
      <c r="H143" s="24">
        <f>ROUND(K143+N143+Q143+T143+W143+Z143+AC143+AF143+AI143+AL143,2)</f>
        <v>0</v>
      </c>
      <c r="I143" s="24">
        <f>IF(K142&gt;0,MIN(ROUND(I$6+IF(I$5=$C143,$E$5+$E143,0),2),ROUND(K142+J143,2)),0)</f>
        <v>0</v>
      </c>
      <c r="J143" s="24">
        <f>IF(K142&gt;0,ROUND(ROUND(K142*100,0)*ROUND(I$7*10000,0)/12000000,0)/100,0)</f>
        <v>0</v>
      </c>
      <c r="K143" s="24">
        <f>IF(K142&gt;0,ROUND(K142+J143-I143,2),0)</f>
        <v>0</v>
      </c>
      <c r="L143" s="24">
        <f>IF(N142&gt;0,MIN(ROUND(L$6+IF(L$5=$C143,$E$5+$E143,0),2),ROUND(N142+M143,2)),0)</f>
        <v>0</v>
      </c>
      <c r="M143" s="24">
        <f>IF(N142&gt;0,ROUND(ROUND(N142*100,0)*ROUND(L$7*10000,0)/12000000,0)/100,0)</f>
        <v>0</v>
      </c>
      <c r="N143" s="24">
        <f>IF(N142&gt;0,ROUND(N142+M143-L143,2),0)</f>
        <v>0</v>
      </c>
      <c r="O143" s="24">
        <f>IF(Q142&gt;0,MIN(ROUND(O$6+IF(O$5=$C143,$E$5+$E143,0),2),ROUND(Q142+P143,2)),0)</f>
        <v>0</v>
      </c>
      <c r="P143" s="24">
        <f>IF(Q142&gt;0,ROUND(ROUND(Q142*100,0)*ROUND(O$7*10000,0)/12000000,0)/100,0)</f>
        <v>0</v>
      </c>
      <c r="Q143" s="24">
        <f>IF(Q142&gt;0,ROUND(Q142+P143-O143,2),0)</f>
        <v>0</v>
      </c>
      <c r="R143" s="24">
        <f>IF(T142&gt;0,MIN(ROUND(R$6+IF(R$5=$C143,$E$5+$E143,0),2),ROUND(T142+S143,2)),0)</f>
        <v>0</v>
      </c>
      <c r="S143" s="24">
        <f>IF(T142&gt;0,ROUND(ROUND(T142*100,0)*ROUND(R$7*10000,0)/12000000,0)/100,0)</f>
        <v>0</v>
      </c>
      <c r="T143" s="24">
        <f>IF(T142&gt;0,ROUND(T142+S143-R143,2),0)</f>
        <v>0</v>
      </c>
      <c r="U143" s="24">
        <f>IF(W142&gt;0,MIN(ROUND(U$6+IF(U$5=$C143,$E$5+$E143,0),2),ROUND(W142+V143,2)),0)</f>
        <v>0</v>
      </c>
      <c r="V143" s="24">
        <f>IF(W142&gt;0,ROUND(ROUND(W142*100,0)*ROUND(U$7*10000,0)/12000000,0)/100,0)</f>
        <v>0</v>
      </c>
      <c r="W143" s="24">
        <f>IF(W142&gt;0,ROUND(W142+V143-U143,2),0)</f>
        <v>0</v>
      </c>
      <c r="X143" s="24">
        <f>IF(Z142&gt;0,MIN(ROUND(X$6+IF(X$5=$C143,$E$5+$E143,0),2),ROUND(Z142+Y143,2)),0)</f>
        <v>0</v>
      </c>
      <c r="Y143" s="24">
        <f>IF(Z142&gt;0,ROUND(ROUND(Z142*100,0)*ROUND(X$7*10000,0)/12000000,0)/100,0)</f>
        <v>0</v>
      </c>
      <c r="Z143" s="24">
        <f>IF(Z142&gt;0,ROUND(Z142+Y143-X143,2),0)</f>
        <v>0</v>
      </c>
      <c r="AA143" s="24">
        <f>IF(AC142&gt;0,MIN(ROUND(AA$6+IF(AA$5=$C143,$E$5+$E143,0),2),ROUND(AC142+AB143,2)),0)</f>
        <v>0</v>
      </c>
      <c r="AB143" s="24">
        <f>IF(AC142&gt;0,ROUND(ROUND(AC142*100,0)*ROUND(AA$7*10000,0)/12000000,0)/100,0)</f>
        <v>0</v>
      </c>
      <c r="AC143" s="24">
        <f>IF(AC142&gt;0,ROUND(AC142+AB143-AA143,2),0)</f>
        <v>0</v>
      </c>
      <c r="AD143" s="24">
        <f>IF(AF142&gt;0,MIN(ROUND(AD$6+IF(AD$5=$C143,$E$5+$E143,0),2),ROUND(AF142+AE143,2)),0)</f>
        <v>0</v>
      </c>
      <c r="AE143" s="24">
        <f>IF(AF142&gt;0,ROUND(ROUND(AF142*100,0)*ROUND(AD$7*10000,0)/12000000,0)/100,0)</f>
        <v>0</v>
      </c>
      <c r="AF143" s="24">
        <f>IF(AF142&gt;0,ROUND(AF142+AE143-AD143,2),0)</f>
        <v>0</v>
      </c>
      <c r="AG143" s="24">
        <f>IF(AI142&gt;0,MIN(ROUND(AG$6+IF(AG$5=$C143,$E$5+$E143,0),2),ROUND(AI142+AH143,2)),0)</f>
        <v>0</v>
      </c>
      <c r="AH143" s="24">
        <f>IF(AI142&gt;0,ROUND(ROUND(AI142*100,0)*ROUND(AG$7*10000,0)/12000000,0)/100,0)</f>
        <v>0</v>
      </c>
      <c r="AI143" s="24">
        <f>IF(AI142&gt;0,ROUND(AI142+AH143-AG143,2),0)</f>
        <v>0</v>
      </c>
      <c r="AJ143" s="24">
        <f>IF(AL142&gt;0,MIN(ROUND(AJ$6+IF(AJ$5=$C143,$E$5+$E143,0),2),ROUND(AL142+AK143,2)),0)</f>
        <v>0</v>
      </c>
      <c r="AK143" s="24">
        <f>IF(AL142&gt;0,ROUND(ROUND(AL142*100,0)*ROUND(AJ$7*10000,0)/12000000,0)/100,0)</f>
        <v>0</v>
      </c>
      <c r="AL143" s="24">
        <f>IF(AL142&gt;0,ROUND(AL142+AK143-AJ143,2),0)</f>
        <v>0</v>
      </c>
    </row>
    <row r="144" spans="1:38" x14ac:dyDescent="0.25">
      <c r="A144" s="17" t="str">
        <f>IF(F144&gt;0,134,"")</f>
        <v/>
      </c>
      <c r="B144" s="18" t="str">
        <f>IF(F144&gt;0,EDATE($E$6,134),"")</f>
        <v/>
      </c>
      <c r="C144" s="21">
        <f>IF(H143&gt;0,MIN(IF(K143&gt;0,I$5,99),IF(N143&gt;0,L$5,99),IF(Q143&gt;0,O$5,99),IF(T143&gt;0,R$5,99),IF(W143&gt;0,U$5,99),IF(Z143&gt;0,X$5,99),IF(AC143&gt;0,AA$5,99),IF(AF143&gt;0,AD$5,99),IF(AI143&gt;0,AG$5,99),IF(AL143&gt;0,AJ$5,99)),0)</f>
        <v>0</v>
      </c>
      <c r="D144" t="str">
        <f>IF(C144&gt;0,INDEX($I$4:$AL$4,1,MATCH(C144,$I$5:$AL$5,0)),"")</f>
        <v/>
      </c>
      <c r="E144" s="24">
        <f>ROUND(IF(AND(I$8&gt;0,K143=0),I$6,0)+IF(AND(L$8&gt;0,N143=0),L$6,0)+IF(AND(O$8&gt;0,Q143=0),O$6,0)+IF(AND(R$8&gt;0,T143=0),R$6,0)+IF(AND(U$8&gt;0,W143=0),U$6,0)+IF(AND(X$8&gt;0,Z143=0),X$6,0)+IF(AND(AA$8&gt;0,AC143=0),AA$6,0)+IF(AND(AD$8&gt;0,AF143=0),AD$6,0)+IF(AND(AG$8&gt;0,AI143=0),AG$6,0)+IF(AND(AJ$8&gt;0,AL143=0),AJ$6,0),2)</f>
        <v>330</v>
      </c>
      <c r="F144" s="24">
        <f>ROUND(I144+L144+O144+R144+U144+X144+AA144+AD144+AG144+AJ144,2)</f>
        <v>0</v>
      </c>
      <c r="G144" s="24">
        <f>ROUND(J144+M144+P144+S144+V144+Y144+AB144+AE144+AH144+AK144,2)</f>
        <v>0</v>
      </c>
      <c r="H144" s="24">
        <f>ROUND(K144+N144+Q144+T144+W144+Z144+AC144+AF144+AI144+AL144,2)</f>
        <v>0</v>
      </c>
      <c r="I144" s="24">
        <f>IF(K143&gt;0,MIN(ROUND(I$6+IF(I$5=$C144,$E$5+$E144,0),2),ROUND(K143+J144,2)),0)</f>
        <v>0</v>
      </c>
      <c r="J144" s="24">
        <f>IF(K143&gt;0,ROUND(ROUND(K143*100,0)*ROUND(I$7*10000,0)/12000000,0)/100,0)</f>
        <v>0</v>
      </c>
      <c r="K144" s="24">
        <f>IF(K143&gt;0,ROUND(K143+J144-I144,2),0)</f>
        <v>0</v>
      </c>
      <c r="L144" s="24">
        <f>IF(N143&gt;0,MIN(ROUND(L$6+IF(L$5=$C144,$E$5+$E144,0),2),ROUND(N143+M144,2)),0)</f>
        <v>0</v>
      </c>
      <c r="M144" s="24">
        <f>IF(N143&gt;0,ROUND(ROUND(N143*100,0)*ROUND(L$7*10000,0)/12000000,0)/100,0)</f>
        <v>0</v>
      </c>
      <c r="N144" s="24">
        <f>IF(N143&gt;0,ROUND(N143+M144-L144,2),0)</f>
        <v>0</v>
      </c>
      <c r="O144" s="24">
        <f>IF(Q143&gt;0,MIN(ROUND(O$6+IF(O$5=$C144,$E$5+$E144,0),2),ROUND(Q143+P144,2)),0)</f>
        <v>0</v>
      </c>
      <c r="P144" s="24">
        <f>IF(Q143&gt;0,ROUND(ROUND(Q143*100,0)*ROUND(O$7*10000,0)/12000000,0)/100,0)</f>
        <v>0</v>
      </c>
      <c r="Q144" s="24">
        <f>IF(Q143&gt;0,ROUND(Q143+P144-O144,2),0)</f>
        <v>0</v>
      </c>
      <c r="R144" s="24">
        <f>IF(T143&gt;0,MIN(ROUND(R$6+IF(R$5=$C144,$E$5+$E144,0),2),ROUND(T143+S144,2)),0)</f>
        <v>0</v>
      </c>
      <c r="S144" s="24">
        <f>IF(T143&gt;0,ROUND(ROUND(T143*100,0)*ROUND(R$7*10000,0)/12000000,0)/100,0)</f>
        <v>0</v>
      </c>
      <c r="T144" s="24">
        <f>IF(T143&gt;0,ROUND(T143+S144-R144,2),0)</f>
        <v>0</v>
      </c>
      <c r="U144" s="24">
        <f>IF(W143&gt;0,MIN(ROUND(U$6+IF(U$5=$C144,$E$5+$E144,0),2),ROUND(W143+V144,2)),0)</f>
        <v>0</v>
      </c>
      <c r="V144" s="24">
        <f>IF(W143&gt;0,ROUND(ROUND(W143*100,0)*ROUND(U$7*10000,0)/12000000,0)/100,0)</f>
        <v>0</v>
      </c>
      <c r="W144" s="24">
        <f>IF(W143&gt;0,ROUND(W143+V144-U144,2),0)</f>
        <v>0</v>
      </c>
      <c r="X144" s="24">
        <f>IF(Z143&gt;0,MIN(ROUND(X$6+IF(X$5=$C144,$E$5+$E144,0),2),ROUND(Z143+Y144,2)),0)</f>
        <v>0</v>
      </c>
      <c r="Y144" s="24">
        <f>IF(Z143&gt;0,ROUND(ROUND(Z143*100,0)*ROUND(X$7*10000,0)/12000000,0)/100,0)</f>
        <v>0</v>
      </c>
      <c r="Z144" s="24">
        <f>IF(Z143&gt;0,ROUND(Z143+Y144-X144,2),0)</f>
        <v>0</v>
      </c>
      <c r="AA144" s="24">
        <f>IF(AC143&gt;0,MIN(ROUND(AA$6+IF(AA$5=$C144,$E$5+$E144,0),2),ROUND(AC143+AB144,2)),0)</f>
        <v>0</v>
      </c>
      <c r="AB144" s="24">
        <f>IF(AC143&gt;0,ROUND(ROUND(AC143*100,0)*ROUND(AA$7*10000,0)/12000000,0)/100,0)</f>
        <v>0</v>
      </c>
      <c r="AC144" s="24">
        <f>IF(AC143&gt;0,ROUND(AC143+AB144-AA144,2),0)</f>
        <v>0</v>
      </c>
      <c r="AD144" s="24">
        <f>IF(AF143&gt;0,MIN(ROUND(AD$6+IF(AD$5=$C144,$E$5+$E144,0),2),ROUND(AF143+AE144,2)),0)</f>
        <v>0</v>
      </c>
      <c r="AE144" s="24">
        <f>IF(AF143&gt;0,ROUND(ROUND(AF143*100,0)*ROUND(AD$7*10000,0)/12000000,0)/100,0)</f>
        <v>0</v>
      </c>
      <c r="AF144" s="24">
        <f>IF(AF143&gt;0,ROUND(AF143+AE144-AD144,2),0)</f>
        <v>0</v>
      </c>
      <c r="AG144" s="24">
        <f>IF(AI143&gt;0,MIN(ROUND(AG$6+IF(AG$5=$C144,$E$5+$E144,0),2),ROUND(AI143+AH144,2)),0)</f>
        <v>0</v>
      </c>
      <c r="AH144" s="24">
        <f>IF(AI143&gt;0,ROUND(ROUND(AI143*100,0)*ROUND(AG$7*10000,0)/12000000,0)/100,0)</f>
        <v>0</v>
      </c>
      <c r="AI144" s="24">
        <f>IF(AI143&gt;0,ROUND(AI143+AH144-AG144,2),0)</f>
        <v>0</v>
      </c>
      <c r="AJ144" s="24">
        <f>IF(AL143&gt;0,MIN(ROUND(AJ$6+IF(AJ$5=$C144,$E$5+$E144,0),2),ROUND(AL143+AK144,2)),0)</f>
        <v>0</v>
      </c>
      <c r="AK144" s="24">
        <f>IF(AL143&gt;0,ROUND(ROUND(AL143*100,0)*ROUND(AJ$7*10000,0)/12000000,0)/100,0)</f>
        <v>0</v>
      </c>
      <c r="AL144" s="24">
        <f>IF(AL143&gt;0,ROUND(AL143+AK144-AJ144,2),0)</f>
        <v>0</v>
      </c>
    </row>
    <row r="145" spans="1:38" x14ac:dyDescent="0.25">
      <c r="A145" s="17" t="str">
        <f>IF(F145&gt;0,135,"")</f>
        <v/>
      </c>
      <c r="B145" s="18" t="str">
        <f>IF(F145&gt;0,EDATE($E$6,135),"")</f>
        <v/>
      </c>
      <c r="C145" s="21">
        <f>IF(H144&gt;0,MIN(IF(K144&gt;0,I$5,99),IF(N144&gt;0,L$5,99),IF(Q144&gt;0,O$5,99),IF(T144&gt;0,R$5,99),IF(W144&gt;0,U$5,99),IF(Z144&gt;0,X$5,99),IF(AC144&gt;0,AA$5,99),IF(AF144&gt;0,AD$5,99),IF(AI144&gt;0,AG$5,99),IF(AL144&gt;0,AJ$5,99)),0)</f>
        <v>0</v>
      </c>
      <c r="D145" t="str">
        <f>IF(C145&gt;0,INDEX($I$4:$AL$4,1,MATCH(C145,$I$5:$AL$5,0)),"")</f>
        <v/>
      </c>
      <c r="E145" s="24">
        <f>ROUND(IF(AND(I$8&gt;0,K144=0),I$6,0)+IF(AND(L$8&gt;0,N144=0),L$6,0)+IF(AND(O$8&gt;0,Q144=0),O$6,0)+IF(AND(R$8&gt;0,T144=0),R$6,0)+IF(AND(U$8&gt;0,W144=0),U$6,0)+IF(AND(X$8&gt;0,Z144=0),X$6,0)+IF(AND(AA$8&gt;0,AC144=0),AA$6,0)+IF(AND(AD$8&gt;0,AF144=0),AD$6,0)+IF(AND(AG$8&gt;0,AI144=0),AG$6,0)+IF(AND(AJ$8&gt;0,AL144=0),AJ$6,0),2)</f>
        <v>330</v>
      </c>
      <c r="F145" s="24">
        <f>ROUND(I145+L145+O145+R145+U145+X145+AA145+AD145+AG145+AJ145,2)</f>
        <v>0</v>
      </c>
      <c r="G145" s="24">
        <f>ROUND(J145+M145+P145+S145+V145+Y145+AB145+AE145+AH145+AK145,2)</f>
        <v>0</v>
      </c>
      <c r="H145" s="24">
        <f>ROUND(K145+N145+Q145+T145+W145+Z145+AC145+AF145+AI145+AL145,2)</f>
        <v>0</v>
      </c>
      <c r="I145" s="24">
        <f>IF(K144&gt;0,MIN(ROUND(I$6+IF(I$5=$C145,$E$5+$E145,0),2),ROUND(K144+J145,2)),0)</f>
        <v>0</v>
      </c>
      <c r="J145" s="24">
        <f>IF(K144&gt;0,ROUND(ROUND(K144*100,0)*ROUND(I$7*10000,0)/12000000,0)/100,0)</f>
        <v>0</v>
      </c>
      <c r="K145" s="24">
        <f>IF(K144&gt;0,ROUND(K144+J145-I145,2),0)</f>
        <v>0</v>
      </c>
      <c r="L145" s="24">
        <f>IF(N144&gt;0,MIN(ROUND(L$6+IF(L$5=$C145,$E$5+$E145,0),2),ROUND(N144+M145,2)),0)</f>
        <v>0</v>
      </c>
      <c r="M145" s="24">
        <f>IF(N144&gt;0,ROUND(ROUND(N144*100,0)*ROUND(L$7*10000,0)/12000000,0)/100,0)</f>
        <v>0</v>
      </c>
      <c r="N145" s="24">
        <f>IF(N144&gt;0,ROUND(N144+M145-L145,2),0)</f>
        <v>0</v>
      </c>
      <c r="O145" s="24">
        <f>IF(Q144&gt;0,MIN(ROUND(O$6+IF(O$5=$C145,$E$5+$E145,0),2),ROUND(Q144+P145,2)),0)</f>
        <v>0</v>
      </c>
      <c r="P145" s="24">
        <f>IF(Q144&gt;0,ROUND(ROUND(Q144*100,0)*ROUND(O$7*10000,0)/12000000,0)/100,0)</f>
        <v>0</v>
      </c>
      <c r="Q145" s="24">
        <f>IF(Q144&gt;0,ROUND(Q144+P145-O145,2),0)</f>
        <v>0</v>
      </c>
      <c r="R145" s="24">
        <f>IF(T144&gt;0,MIN(ROUND(R$6+IF(R$5=$C145,$E$5+$E145,0),2),ROUND(T144+S145,2)),0)</f>
        <v>0</v>
      </c>
      <c r="S145" s="24">
        <f>IF(T144&gt;0,ROUND(ROUND(T144*100,0)*ROUND(R$7*10000,0)/12000000,0)/100,0)</f>
        <v>0</v>
      </c>
      <c r="T145" s="24">
        <f>IF(T144&gt;0,ROUND(T144+S145-R145,2),0)</f>
        <v>0</v>
      </c>
      <c r="U145" s="24">
        <f>IF(W144&gt;0,MIN(ROUND(U$6+IF(U$5=$C145,$E$5+$E145,0),2),ROUND(W144+V145,2)),0)</f>
        <v>0</v>
      </c>
      <c r="V145" s="24">
        <f>IF(W144&gt;0,ROUND(ROUND(W144*100,0)*ROUND(U$7*10000,0)/12000000,0)/100,0)</f>
        <v>0</v>
      </c>
      <c r="W145" s="24">
        <f>IF(W144&gt;0,ROUND(W144+V145-U145,2),0)</f>
        <v>0</v>
      </c>
      <c r="X145" s="24">
        <f>IF(Z144&gt;0,MIN(ROUND(X$6+IF(X$5=$C145,$E$5+$E145,0),2),ROUND(Z144+Y145,2)),0)</f>
        <v>0</v>
      </c>
      <c r="Y145" s="24">
        <f>IF(Z144&gt;0,ROUND(ROUND(Z144*100,0)*ROUND(X$7*10000,0)/12000000,0)/100,0)</f>
        <v>0</v>
      </c>
      <c r="Z145" s="24">
        <f>IF(Z144&gt;0,ROUND(Z144+Y145-X145,2),0)</f>
        <v>0</v>
      </c>
      <c r="AA145" s="24">
        <f>IF(AC144&gt;0,MIN(ROUND(AA$6+IF(AA$5=$C145,$E$5+$E145,0),2),ROUND(AC144+AB145,2)),0)</f>
        <v>0</v>
      </c>
      <c r="AB145" s="24">
        <f>IF(AC144&gt;0,ROUND(ROUND(AC144*100,0)*ROUND(AA$7*10000,0)/12000000,0)/100,0)</f>
        <v>0</v>
      </c>
      <c r="AC145" s="24">
        <f>IF(AC144&gt;0,ROUND(AC144+AB145-AA145,2),0)</f>
        <v>0</v>
      </c>
      <c r="AD145" s="24">
        <f>IF(AF144&gt;0,MIN(ROUND(AD$6+IF(AD$5=$C145,$E$5+$E145,0),2),ROUND(AF144+AE145,2)),0)</f>
        <v>0</v>
      </c>
      <c r="AE145" s="24">
        <f>IF(AF144&gt;0,ROUND(ROUND(AF144*100,0)*ROUND(AD$7*10000,0)/12000000,0)/100,0)</f>
        <v>0</v>
      </c>
      <c r="AF145" s="24">
        <f>IF(AF144&gt;0,ROUND(AF144+AE145-AD145,2),0)</f>
        <v>0</v>
      </c>
      <c r="AG145" s="24">
        <f>IF(AI144&gt;0,MIN(ROUND(AG$6+IF(AG$5=$C145,$E$5+$E145,0),2),ROUND(AI144+AH145,2)),0)</f>
        <v>0</v>
      </c>
      <c r="AH145" s="24">
        <f>IF(AI144&gt;0,ROUND(ROUND(AI144*100,0)*ROUND(AG$7*10000,0)/12000000,0)/100,0)</f>
        <v>0</v>
      </c>
      <c r="AI145" s="24">
        <f>IF(AI144&gt;0,ROUND(AI144+AH145-AG145,2),0)</f>
        <v>0</v>
      </c>
      <c r="AJ145" s="24">
        <f>IF(AL144&gt;0,MIN(ROUND(AJ$6+IF(AJ$5=$C145,$E$5+$E145,0),2),ROUND(AL144+AK145,2)),0)</f>
        <v>0</v>
      </c>
      <c r="AK145" s="24">
        <f>IF(AL144&gt;0,ROUND(ROUND(AL144*100,0)*ROUND(AJ$7*10000,0)/12000000,0)/100,0)</f>
        <v>0</v>
      </c>
      <c r="AL145" s="24">
        <f>IF(AL144&gt;0,ROUND(AL144+AK145-AJ145,2),0)</f>
        <v>0</v>
      </c>
    </row>
    <row r="146" spans="1:38" x14ac:dyDescent="0.25">
      <c r="A146" s="17" t="str">
        <f>IF(F146&gt;0,136,"")</f>
        <v/>
      </c>
      <c r="B146" s="18" t="str">
        <f>IF(F146&gt;0,EDATE($E$6,136),"")</f>
        <v/>
      </c>
      <c r="C146" s="21">
        <f>IF(H145&gt;0,MIN(IF(K145&gt;0,I$5,99),IF(N145&gt;0,L$5,99),IF(Q145&gt;0,O$5,99),IF(T145&gt;0,R$5,99),IF(W145&gt;0,U$5,99),IF(Z145&gt;0,X$5,99),IF(AC145&gt;0,AA$5,99),IF(AF145&gt;0,AD$5,99),IF(AI145&gt;0,AG$5,99),IF(AL145&gt;0,AJ$5,99)),0)</f>
        <v>0</v>
      </c>
      <c r="D146" t="str">
        <f>IF(C146&gt;0,INDEX($I$4:$AL$4,1,MATCH(C146,$I$5:$AL$5,0)),"")</f>
        <v/>
      </c>
      <c r="E146" s="24">
        <f>ROUND(IF(AND(I$8&gt;0,K145=0),I$6,0)+IF(AND(L$8&gt;0,N145=0),L$6,0)+IF(AND(O$8&gt;0,Q145=0),O$6,0)+IF(AND(R$8&gt;0,T145=0),R$6,0)+IF(AND(U$8&gt;0,W145=0),U$6,0)+IF(AND(X$8&gt;0,Z145=0),X$6,0)+IF(AND(AA$8&gt;0,AC145=0),AA$6,0)+IF(AND(AD$8&gt;0,AF145=0),AD$6,0)+IF(AND(AG$8&gt;0,AI145=0),AG$6,0)+IF(AND(AJ$8&gt;0,AL145=0),AJ$6,0),2)</f>
        <v>330</v>
      </c>
      <c r="F146" s="24">
        <f>ROUND(I146+L146+O146+R146+U146+X146+AA146+AD146+AG146+AJ146,2)</f>
        <v>0</v>
      </c>
      <c r="G146" s="24">
        <f>ROUND(J146+M146+P146+S146+V146+Y146+AB146+AE146+AH146+AK146,2)</f>
        <v>0</v>
      </c>
      <c r="H146" s="24">
        <f>ROUND(K146+N146+Q146+T146+W146+Z146+AC146+AF146+AI146+AL146,2)</f>
        <v>0</v>
      </c>
      <c r="I146" s="24">
        <f>IF(K145&gt;0,MIN(ROUND(I$6+IF(I$5=$C146,$E$5+$E146,0),2),ROUND(K145+J146,2)),0)</f>
        <v>0</v>
      </c>
      <c r="J146" s="24">
        <f>IF(K145&gt;0,ROUND(ROUND(K145*100,0)*ROUND(I$7*10000,0)/12000000,0)/100,0)</f>
        <v>0</v>
      </c>
      <c r="K146" s="24">
        <f>IF(K145&gt;0,ROUND(K145+J146-I146,2),0)</f>
        <v>0</v>
      </c>
      <c r="L146" s="24">
        <f>IF(N145&gt;0,MIN(ROUND(L$6+IF(L$5=$C146,$E$5+$E146,0),2),ROUND(N145+M146,2)),0)</f>
        <v>0</v>
      </c>
      <c r="M146" s="24">
        <f>IF(N145&gt;0,ROUND(ROUND(N145*100,0)*ROUND(L$7*10000,0)/12000000,0)/100,0)</f>
        <v>0</v>
      </c>
      <c r="N146" s="24">
        <f>IF(N145&gt;0,ROUND(N145+M146-L146,2),0)</f>
        <v>0</v>
      </c>
      <c r="O146" s="24">
        <f>IF(Q145&gt;0,MIN(ROUND(O$6+IF(O$5=$C146,$E$5+$E146,0),2),ROUND(Q145+P146,2)),0)</f>
        <v>0</v>
      </c>
      <c r="P146" s="24">
        <f>IF(Q145&gt;0,ROUND(ROUND(Q145*100,0)*ROUND(O$7*10000,0)/12000000,0)/100,0)</f>
        <v>0</v>
      </c>
      <c r="Q146" s="24">
        <f>IF(Q145&gt;0,ROUND(Q145+P146-O146,2),0)</f>
        <v>0</v>
      </c>
      <c r="R146" s="24">
        <f>IF(T145&gt;0,MIN(ROUND(R$6+IF(R$5=$C146,$E$5+$E146,0),2),ROUND(T145+S146,2)),0)</f>
        <v>0</v>
      </c>
      <c r="S146" s="24">
        <f>IF(T145&gt;0,ROUND(ROUND(T145*100,0)*ROUND(R$7*10000,0)/12000000,0)/100,0)</f>
        <v>0</v>
      </c>
      <c r="T146" s="24">
        <f>IF(T145&gt;0,ROUND(T145+S146-R146,2),0)</f>
        <v>0</v>
      </c>
      <c r="U146" s="24">
        <f>IF(W145&gt;0,MIN(ROUND(U$6+IF(U$5=$C146,$E$5+$E146,0),2),ROUND(W145+V146,2)),0)</f>
        <v>0</v>
      </c>
      <c r="V146" s="24">
        <f>IF(W145&gt;0,ROUND(ROUND(W145*100,0)*ROUND(U$7*10000,0)/12000000,0)/100,0)</f>
        <v>0</v>
      </c>
      <c r="W146" s="24">
        <f>IF(W145&gt;0,ROUND(W145+V146-U146,2),0)</f>
        <v>0</v>
      </c>
      <c r="X146" s="24">
        <f>IF(Z145&gt;0,MIN(ROUND(X$6+IF(X$5=$C146,$E$5+$E146,0),2),ROUND(Z145+Y146,2)),0)</f>
        <v>0</v>
      </c>
      <c r="Y146" s="24">
        <f>IF(Z145&gt;0,ROUND(ROUND(Z145*100,0)*ROUND(X$7*10000,0)/12000000,0)/100,0)</f>
        <v>0</v>
      </c>
      <c r="Z146" s="24">
        <f>IF(Z145&gt;0,ROUND(Z145+Y146-X146,2),0)</f>
        <v>0</v>
      </c>
      <c r="AA146" s="24">
        <f>IF(AC145&gt;0,MIN(ROUND(AA$6+IF(AA$5=$C146,$E$5+$E146,0),2),ROUND(AC145+AB146,2)),0)</f>
        <v>0</v>
      </c>
      <c r="AB146" s="24">
        <f>IF(AC145&gt;0,ROUND(ROUND(AC145*100,0)*ROUND(AA$7*10000,0)/12000000,0)/100,0)</f>
        <v>0</v>
      </c>
      <c r="AC146" s="24">
        <f>IF(AC145&gt;0,ROUND(AC145+AB146-AA146,2),0)</f>
        <v>0</v>
      </c>
      <c r="AD146" s="24">
        <f>IF(AF145&gt;0,MIN(ROUND(AD$6+IF(AD$5=$C146,$E$5+$E146,0),2),ROUND(AF145+AE146,2)),0)</f>
        <v>0</v>
      </c>
      <c r="AE146" s="24">
        <f>IF(AF145&gt;0,ROUND(ROUND(AF145*100,0)*ROUND(AD$7*10000,0)/12000000,0)/100,0)</f>
        <v>0</v>
      </c>
      <c r="AF146" s="24">
        <f>IF(AF145&gt;0,ROUND(AF145+AE146-AD146,2),0)</f>
        <v>0</v>
      </c>
      <c r="AG146" s="24">
        <f>IF(AI145&gt;0,MIN(ROUND(AG$6+IF(AG$5=$C146,$E$5+$E146,0),2),ROUND(AI145+AH146,2)),0)</f>
        <v>0</v>
      </c>
      <c r="AH146" s="24">
        <f>IF(AI145&gt;0,ROUND(ROUND(AI145*100,0)*ROUND(AG$7*10000,0)/12000000,0)/100,0)</f>
        <v>0</v>
      </c>
      <c r="AI146" s="24">
        <f>IF(AI145&gt;0,ROUND(AI145+AH146-AG146,2),0)</f>
        <v>0</v>
      </c>
      <c r="AJ146" s="24">
        <f>IF(AL145&gt;0,MIN(ROUND(AJ$6+IF(AJ$5=$C146,$E$5+$E146,0),2),ROUND(AL145+AK146,2)),0)</f>
        <v>0</v>
      </c>
      <c r="AK146" s="24">
        <f>IF(AL145&gt;0,ROUND(ROUND(AL145*100,0)*ROUND(AJ$7*10000,0)/12000000,0)/100,0)</f>
        <v>0</v>
      </c>
      <c r="AL146" s="24">
        <f>IF(AL145&gt;0,ROUND(AL145+AK146-AJ146,2),0)</f>
        <v>0</v>
      </c>
    </row>
    <row r="147" spans="1:38" x14ac:dyDescent="0.25">
      <c r="A147" s="17" t="str">
        <f>IF(F147&gt;0,137,"")</f>
        <v/>
      </c>
      <c r="B147" s="18" t="str">
        <f>IF(F147&gt;0,EDATE($E$6,137),"")</f>
        <v/>
      </c>
      <c r="C147" s="21">
        <f>IF(H146&gt;0,MIN(IF(K146&gt;0,I$5,99),IF(N146&gt;0,L$5,99),IF(Q146&gt;0,O$5,99),IF(T146&gt;0,R$5,99),IF(W146&gt;0,U$5,99),IF(Z146&gt;0,X$5,99),IF(AC146&gt;0,AA$5,99),IF(AF146&gt;0,AD$5,99),IF(AI146&gt;0,AG$5,99),IF(AL146&gt;0,AJ$5,99)),0)</f>
        <v>0</v>
      </c>
      <c r="D147" t="str">
        <f>IF(C147&gt;0,INDEX($I$4:$AL$4,1,MATCH(C147,$I$5:$AL$5,0)),"")</f>
        <v/>
      </c>
      <c r="E147" s="24">
        <f>ROUND(IF(AND(I$8&gt;0,K146=0),I$6,0)+IF(AND(L$8&gt;0,N146=0),L$6,0)+IF(AND(O$8&gt;0,Q146=0),O$6,0)+IF(AND(R$8&gt;0,T146=0),R$6,0)+IF(AND(U$8&gt;0,W146=0),U$6,0)+IF(AND(X$8&gt;0,Z146=0),X$6,0)+IF(AND(AA$8&gt;0,AC146=0),AA$6,0)+IF(AND(AD$8&gt;0,AF146=0),AD$6,0)+IF(AND(AG$8&gt;0,AI146=0),AG$6,0)+IF(AND(AJ$8&gt;0,AL146=0),AJ$6,0),2)</f>
        <v>330</v>
      </c>
      <c r="F147" s="24">
        <f>ROUND(I147+L147+O147+R147+U147+X147+AA147+AD147+AG147+AJ147,2)</f>
        <v>0</v>
      </c>
      <c r="G147" s="24">
        <f>ROUND(J147+M147+P147+S147+V147+Y147+AB147+AE147+AH147+AK147,2)</f>
        <v>0</v>
      </c>
      <c r="H147" s="24">
        <f>ROUND(K147+N147+Q147+T147+W147+Z147+AC147+AF147+AI147+AL147,2)</f>
        <v>0</v>
      </c>
      <c r="I147" s="24">
        <f>IF(K146&gt;0,MIN(ROUND(I$6+IF(I$5=$C147,$E$5+$E147,0),2),ROUND(K146+J147,2)),0)</f>
        <v>0</v>
      </c>
      <c r="J147" s="24">
        <f>IF(K146&gt;0,ROUND(ROUND(K146*100,0)*ROUND(I$7*10000,0)/12000000,0)/100,0)</f>
        <v>0</v>
      </c>
      <c r="K147" s="24">
        <f>IF(K146&gt;0,ROUND(K146+J147-I147,2),0)</f>
        <v>0</v>
      </c>
      <c r="L147" s="24">
        <f>IF(N146&gt;0,MIN(ROUND(L$6+IF(L$5=$C147,$E$5+$E147,0),2),ROUND(N146+M147,2)),0)</f>
        <v>0</v>
      </c>
      <c r="M147" s="24">
        <f>IF(N146&gt;0,ROUND(ROUND(N146*100,0)*ROUND(L$7*10000,0)/12000000,0)/100,0)</f>
        <v>0</v>
      </c>
      <c r="N147" s="24">
        <f>IF(N146&gt;0,ROUND(N146+M147-L147,2),0)</f>
        <v>0</v>
      </c>
      <c r="O147" s="24">
        <f>IF(Q146&gt;0,MIN(ROUND(O$6+IF(O$5=$C147,$E$5+$E147,0),2),ROUND(Q146+P147,2)),0)</f>
        <v>0</v>
      </c>
      <c r="P147" s="24">
        <f>IF(Q146&gt;0,ROUND(ROUND(Q146*100,0)*ROUND(O$7*10000,0)/12000000,0)/100,0)</f>
        <v>0</v>
      </c>
      <c r="Q147" s="24">
        <f>IF(Q146&gt;0,ROUND(Q146+P147-O147,2),0)</f>
        <v>0</v>
      </c>
      <c r="R147" s="24">
        <f>IF(T146&gt;0,MIN(ROUND(R$6+IF(R$5=$C147,$E$5+$E147,0),2),ROUND(T146+S147,2)),0)</f>
        <v>0</v>
      </c>
      <c r="S147" s="24">
        <f>IF(T146&gt;0,ROUND(ROUND(T146*100,0)*ROUND(R$7*10000,0)/12000000,0)/100,0)</f>
        <v>0</v>
      </c>
      <c r="T147" s="24">
        <f>IF(T146&gt;0,ROUND(T146+S147-R147,2),0)</f>
        <v>0</v>
      </c>
      <c r="U147" s="24">
        <f>IF(W146&gt;0,MIN(ROUND(U$6+IF(U$5=$C147,$E$5+$E147,0),2),ROUND(W146+V147,2)),0)</f>
        <v>0</v>
      </c>
      <c r="V147" s="24">
        <f>IF(W146&gt;0,ROUND(ROUND(W146*100,0)*ROUND(U$7*10000,0)/12000000,0)/100,0)</f>
        <v>0</v>
      </c>
      <c r="W147" s="24">
        <f>IF(W146&gt;0,ROUND(W146+V147-U147,2),0)</f>
        <v>0</v>
      </c>
      <c r="X147" s="24">
        <f>IF(Z146&gt;0,MIN(ROUND(X$6+IF(X$5=$C147,$E$5+$E147,0),2),ROUND(Z146+Y147,2)),0)</f>
        <v>0</v>
      </c>
      <c r="Y147" s="24">
        <f>IF(Z146&gt;0,ROUND(ROUND(Z146*100,0)*ROUND(X$7*10000,0)/12000000,0)/100,0)</f>
        <v>0</v>
      </c>
      <c r="Z147" s="24">
        <f>IF(Z146&gt;0,ROUND(Z146+Y147-X147,2),0)</f>
        <v>0</v>
      </c>
      <c r="AA147" s="24">
        <f>IF(AC146&gt;0,MIN(ROUND(AA$6+IF(AA$5=$C147,$E$5+$E147,0),2),ROUND(AC146+AB147,2)),0)</f>
        <v>0</v>
      </c>
      <c r="AB147" s="24">
        <f>IF(AC146&gt;0,ROUND(ROUND(AC146*100,0)*ROUND(AA$7*10000,0)/12000000,0)/100,0)</f>
        <v>0</v>
      </c>
      <c r="AC147" s="24">
        <f>IF(AC146&gt;0,ROUND(AC146+AB147-AA147,2),0)</f>
        <v>0</v>
      </c>
      <c r="AD147" s="24">
        <f>IF(AF146&gt;0,MIN(ROUND(AD$6+IF(AD$5=$C147,$E$5+$E147,0),2),ROUND(AF146+AE147,2)),0)</f>
        <v>0</v>
      </c>
      <c r="AE147" s="24">
        <f>IF(AF146&gt;0,ROUND(ROUND(AF146*100,0)*ROUND(AD$7*10000,0)/12000000,0)/100,0)</f>
        <v>0</v>
      </c>
      <c r="AF147" s="24">
        <f>IF(AF146&gt;0,ROUND(AF146+AE147-AD147,2),0)</f>
        <v>0</v>
      </c>
      <c r="AG147" s="24">
        <f>IF(AI146&gt;0,MIN(ROUND(AG$6+IF(AG$5=$C147,$E$5+$E147,0),2),ROUND(AI146+AH147,2)),0)</f>
        <v>0</v>
      </c>
      <c r="AH147" s="24">
        <f>IF(AI146&gt;0,ROUND(ROUND(AI146*100,0)*ROUND(AG$7*10000,0)/12000000,0)/100,0)</f>
        <v>0</v>
      </c>
      <c r="AI147" s="24">
        <f>IF(AI146&gt;0,ROUND(AI146+AH147-AG147,2),0)</f>
        <v>0</v>
      </c>
      <c r="AJ147" s="24">
        <f>IF(AL146&gt;0,MIN(ROUND(AJ$6+IF(AJ$5=$C147,$E$5+$E147,0),2),ROUND(AL146+AK147,2)),0)</f>
        <v>0</v>
      </c>
      <c r="AK147" s="24">
        <f>IF(AL146&gt;0,ROUND(ROUND(AL146*100,0)*ROUND(AJ$7*10000,0)/12000000,0)/100,0)</f>
        <v>0</v>
      </c>
      <c r="AL147" s="24">
        <f>IF(AL146&gt;0,ROUND(AL146+AK147-AJ147,2),0)</f>
        <v>0</v>
      </c>
    </row>
    <row r="148" spans="1:38" x14ac:dyDescent="0.25">
      <c r="A148" s="17" t="str">
        <f>IF(F148&gt;0,138,"")</f>
        <v/>
      </c>
      <c r="B148" s="18" t="str">
        <f>IF(F148&gt;0,EDATE($E$6,138),"")</f>
        <v/>
      </c>
      <c r="C148" s="21">
        <f>IF(H147&gt;0,MIN(IF(K147&gt;0,I$5,99),IF(N147&gt;0,L$5,99),IF(Q147&gt;0,O$5,99),IF(T147&gt;0,R$5,99),IF(W147&gt;0,U$5,99),IF(Z147&gt;0,X$5,99),IF(AC147&gt;0,AA$5,99),IF(AF147&gt;0,AD$5,99),IF(AI147&gt;0,AG$5,99),IF(AL147&gt;0,AJ$5,99)),0)</f>
        <v>0</v>
      </c>
      <c r="D148" t="str">
        <f>IF(C148&gt;0,INDEX($I$4:$AL$4,1,MATCH(C148,$I$5:$AL$5,0)),"")</f>
        <v/>
      </c>
      <c r="E148" s="24">
        <f>ROUND(IF(AND(I$8&gt;0,K147=0),I$6,0)+IF(AND(L$8&gt;0,N147=0),L$6,0)+IF(AND(O$8&gt;0,Q147=0),O$6,0)+IF(AND(R$8&gt;0,T147=0),R$6,0)+IF(AND(U$8&gt;0,W147=0),U$6,0)+IF(AND(X$8&gt;0,Z147=0),X$6,0)+IF(AND(AA$8&gt;0,AC147=0),AA$6,0)+IF(AND(AD$8&gt;0,AF147=0),AD$6,0)+IF(AND(AG$8&gt;0,AI147=0),AG$6,0)+IF(AND(AJ$8&gt;0,AL147=0),AJ$6,0),2)</f>
        <v>330</v>
      </c>
      <c r="F148" s="24">
        <f>ROUND(I148+L148+O148+R148+U148+X148+AA148+AD148+AG148+AJ148,2)</f>
        <v>0</v>
      </c>
      <c r="G148" s="24">
        <f>ROUND(J148+M148+P148+S148+V148+Y148+AB148+AE148+AH148+AK148,2)</f>
        <v>0</v>
      </c>
      <c r="H148" s="24">
        <f>ROUND(K148+N148+Q148+T148+W148+Z148+AC148+AF148+AI148+AL148,2)</f>
        <v>0</v>
      </c>
      <c r="I148" s="24">
        <f>IF(K147&gt;0,MIN(ROUND(I$6+IF(I$5=$C148,$E$5+$E148,0),2),ROUND(K147+J148,2)),0)</f>
        <v>0</v>
      </c>
      <c r="J148" s="24">
        <f>IF(K147&gt;0,ROUND(ROUND(K147*100,0)*ROUND(I$7*10000,0)/12000000,0)/100,0)</f>
        <v>0</v>
      </c>
      <c r="K148" s="24">
        <f>IF(K147&gt;0,ROUND(K147+J148-I148,2),0)</f>
        <v>0</v>
      </c>
      <c r="L148" s="24">
        <f>IF(N147&gt;0,MIN(ROUND(L$6+IF(L$5=$C148,$E$5+$E148,0),2),ROUND(N147+M148,2)),0)</f>
        <v>0</v>
      </c>
      <c r="M148" s="24">
        <f>IF(N147&gt;0,ROUND(ROUND(N147*100,0)*ROUND(L$7*10000,0)/12000000,0)/100,0)</f>
        <v>0</v>
      </c>
      <c r="N148" s="24">
        <f>IF(N147&gt;0,ROUND(N147+M148-L148,2),0)</f>
        <v>0</v>
      </c>
      <c r="O148" s="24">
        <f>IF(Q147&gt;0,MIN(ROUND(O$6+IF(O$5=$C148,$E$5+$E148,0),2),ROUND(Q147+P148,2)),0)</f>
        <v>0</v>
      </c>
      <c r="P148" s="24">
        <f>IF(Q147&gt;0,ROUND(ROUND(Q147*100,0)*ROUND(O$7*10000,0)/12000000,0)/100,0)</f>
        <v>0</v>
      </c>
      <c r="Q148" s="24">
        <f>IF(Q147&gt;0,ROUND(Q147+P148-O148,2),0)</f>
        <v>0</v>
      </c>
      <c r="R148" s="24">
        <f>IF(T147&gt;0,MIN(ROUND(R$6+IF(R$5=$C148,$E$5+$E148,0),2),ROUND(T147+S148,2)),0)</f>
        <v>0</v>
      </c>
      <c r="S148" s="24">
        <f>IF(T147&gt;0,ROUND(ROUND(T147*100,0)*ROUND(R$7*10000,0)/12000000,0)/100,0)</f>
        <v>0</v>
      </c>
      <c r="T148" s="24">
        <f>IF(T147&gt;0,ROUND(T147+S148-R148,2),0)</f>
        <v>0</v>
      </c>
      <c r="U148" s="24">
        <f>IF(W147&gt;0,MIN(ROUND(U$6+IF(U$5=$C148,$E$5+$E148,0),2),ROUND(W147+V148,2)),0)</f>
        <v>0</v>
      </c>
      <c r="V148" s="24">
        <f>IF(W147&gt;0,ROUND(ROUND(W147*100,0)*ROUND(U$7*10000,0)/12000000,0)/100,0)</f>
        <v>0</v>
      </c>
      <c r="W148" s="24">
        <f>IF(W147&gt;0,ROUND(W147+V148-U148,2),0)</f>
        <v>0</v>
      </c>
      <c r="X148" s="24">
        <f>IF(Z147&gt;0,MIN(ROUND(X$6+IF(X$5=$C148,$E$5+$E148,0),2),ROUND(Z147+Y148,2)),0)</f>
        <v>0</v>
      </c>
      <c r="Y148" s="24">
        <f>IF(Z147&gt;0,ROUND(ROUND(Z147*100,0)*ROUND(X$7*10000,0)/12000000,0)/100,0)</f>
        <v>0</v>
      </c>
      <c r="Z148" s="24">
        <f>IF(Z147&gt;0,ROUND(Z147+Y148-X148,2),0)</f>
        <v>0</v>
      </c>
      <c r="AA148" s="24">
        <f>IF(AC147&gt;0,MIN(ROUND(AA$6+IF(AA$5=$C148,$E$5+$E148,0),2),ROUND(AC147+AB148,2)),0)</f>
        <v>0</v>
      </c>
      <c r="AB148" s="24">
        <f>IF(AC147&gt;0,ROUND(ROUND(AC147*100,0)*ROUND(AA$7*10000,0)/12000000,0)/100,0)</f>
        <v>0</v>
      </c>
      <c r="AC148" s="24">
        <f>IF(AC147&gt;0,ROUND(AC147+AB148-AA148,2),0)</f>
        <v>0</v>
      </c>
      <c r="AD148" s="24">
        <f>IF(AF147&gt;0,MIN(ROUND(AD$6+IF(AD$5=$C148,$E$5+$E148,0),2),ROUND(AF147+AE148,2)),0)</f>
        <v>0</v>
      </c>
      <c r="AE148" s="24">
        <f>IF(AF147&gt;0,ROUND(ROUND(AF147*100,0)*ROUND(AD$7*10000,0)/12000000,0)/100,0)</f>
        <v>0</v>
      </c>
      <c r="AF148" s="24">
        <f>IF(AF147&gt;0,ROUND(AF147+AE148-AD148,2),0)</f>
        <v>0</v>
      </c>
      <c r="AG148" s="24">
        <f>IF(AI147&gt;0,MIN(ROUND(AG$6+IF(AG$5=$C148,$E$5+$E148,0),2),ROUND(AI147+AH148,2)),0)</f>
        <v>0</v>
      </c>
      <c r="AH148" s="24">
        <f>IF(AI147&gt;0,ROUND(ROUND(AI147*100,0)*ROUND(AG$7*10000,0)/12000000,0)/100,0)</f>
        <v>0</v>
      </c>
      <c r="AI148" s="24">
        <f>IF(AI147&gt;0,ROUND(AI147+AH148-AG148,2),0)</f>
        <v>0</v>
      </c>
      <c r="AJ148" s="24">
        <f>IF(AL147&gt;0,MIN(ROUND(AJ$6+IF(AJ$5=$C148,$E$5+$E148,0),2),ROUND(AL147+AK148,2)),0)</f>
        <v>0</v>
      </c>
      <c r="AK148" s="24">
        <f>IF(AL147&gt;0,ROUND(ROUND(AL147*100,0)*ROUND(AJ$7*10000,0)/12000000,0)/100,0)</f>
        <v>0</v>
      </c>
      <c r="AL148" s="24">
        <f>IF(AL147&gt;0,ROUND(AL147+AK148-AJ148,2),0)</f>
        <v>0</v>
      </c>
    </row>
    <row r="149" spans="1:38" x14ac:dyDescent="0.25">
      <c r="A149" s="17" t="str">
        <f>IF(F149&gt;0,139,"")</f>
        <v/>
      </c>
      <c r="B149" s="18" t="str">
        <f>IF(F149&gt;0,EDATE($E$6,139),"")</f>
        <v/>
      </c>
      <c r="C149" s="21">
        <f>IF(H148&gt;0,MIN(IF(K148&gt;0,I$5,99),IF(N148&gt;0,L$5,99),IF(Q148&gt;0,O$5,99),IF(T148&gt;0,R$5,99),IF(W148&gt;0,U$5,99),IF(Z148&gt;0,X$5,99),IF(AC148&gt;0,AA$5,99),IF(AF148&gt;0,AD$5,99),IF(AI148&gt;0,AG$5,99),IF(AL148&gt;0,AJ$5,99)),0)</f>
        <v>0</v>
      </c>
      <c r="D149" t="str">
        <f>IF(C149&gt;0,INDEX($I$4:$AL$4,1,MATCH(C149,$I$5:$AL$5,0)),"")</f>
        <v/>
      </c>
      <c r="E149" s="24">
        <f>ROUND(IF(AND(I$8&gt;0,K148=0),I$6,0)+IF(AND(L$8&gt;0,N148=0),L$6,0)+IF(AND(O$8&gt;0,Q148=0),O$6,0)+IF(AND(R$8&gt;0,T148=0),R$6,0)+IF(AND(U$8&gt;0,W148=0),U$6,0)+IF(AND(X$8&gt;0,Z148=0),X$6,0)+IF(AND(AA$8&gt;0,AC148=0),AA$6,0)+IF(AND(AD$8&gt;0,AF148=0),AD$6,0)+IF(AND(AG$8&gt;0,AI148=0),AG$6,0)+IF(AND(AJ$8&gt;0,AL148=0),AJ$6,0),2)</f>
        <v>330</v>
      </c>
      <c r="F149" s="24">
        <f>ROUND(I149+L149+O149+R149+U149+X149+AA149+AD149+AG149+AJ149,2)</f>
        <v>0</v>
      </c>
      <c r="G149" s="24">
        <f>ROUND(J149+M149+P149+S149+V149+Y149+AB149+AE149+AH149+AK149,2)</f>
        <v>0</v>
      </c>
      <c r="H149" s="24">
        <f>ROUND(K149+N149+Q149+T149+W149+Z149+AC149+AF149+AI149+AL149,2)</f>
        <v>0</v>
      </c>
      <c r="I149" s="24">
        <f>IF(K148&gt;0,MIN(ROUND(I$6+IF(I$5=$C149,$E$5+$E149,0),2),ROUND(K148+J149,2)),0)</f>
        <v>0</v>
      </c>
      <c r="J149" s="24">
        <f>IF(K148&gt;0,ROUND(ROUND(K148*100,0)*ROUND(I$7*10000,0)/12000000,0)/100,0)</f>
        <v>0</v>
      </c>
      <c r="K149" s="24">
        <f>IF(K148&gt;0,ROUND(K148+J149-I149,2),0)</f>
        <v>0</v>
      </c>
      <c r="L149" s="24">
        <f>IF(N148&gt;0,MIN(ROUND(L$6+IF(L$5=$C149,$E$5+$E149,0),2),ROUND(N148+M149,2)),0)</f>
        <v>0</v>
      </c>
      <c r="M149" s="24">
        <f>IF(N148&gt;0,ROUND(ROUND(N148*100,0)*ROUND(L$7*10000,0)/12000000,0)/100,0)</f>
        <v>0</v>
      </c>
      <c r="N149" s="24">
        <f>IF(N148&gt;0,ROUND(N148+M149-L149,2),0)</f>
        <v>0</v>
      </c>
      <c r="O149" s="24">
        <f>IF(Q148&gt;0,MIN(ROUND(O$6+IF(O$5=$C149,$E$5+$E149,0),2),ROUND(Q148+P149,2)),0)</f>
        <v>0</v>
      </c>
      <c r="P149" s="24">
        <f>IF(Q148&gt;0,ROUND(ROUND(Q148*100,0)*ROUND(O$7*10000,0)/12000000,0)/100,0)</f>
        <v>0</v>
      </c>
      <c r="Q149" s="24">
        <f>IF(Q148&gt;0,ROUND(Q148+P149-O149,2),0)</f>
        <v>0</v>
      </c>
      <c r="R149" s="24">
        <f>IF(T148&gt;0,MIN(ROUND(R$6+IF(R$5=$C149,$E$5+$E149,0),2),ROUND(T148+S149,2)),0)</f>
        <v>0</v>
      </c>
      <c r="S149" s="24">
        <f>IF(T148&gt;0,ROUND(ROUND(T148*100,0)*ROUND(R$7*10000,0)/12000000,0)/100,0)</f>
        <v>0</v>
      </c>
      <c r="T149" s="24">
        <f>IF(T148&gt;0,ROUND(T148+S149-R149,2),0)</f>
        <v>0</v>
      </c>
      <c r="U149" s="24">
        <f>IF(W148&gt;0,MIN(ROUND(U$6+IF(U$5=$C149,$E$5+$E149,0),2),ROUND(W148+V149,2)),0)</f>
        <v>0</v>
      </c>
      <c r="V149" s="24">
        <f>IF(W148&gt;0,ROUND(ROUND(W148*100,0)*ROUND(U$7*10000,0)/12000000,0)/100,0)</f>
        <v>0</v>
      </c>
      <c r="W149" s="24">
        <f>IF(W148&gt;0,ROUND(W148+V149-U149,2),0)</f>
        <v>0</v>
      </c>
      <c r="X149" s="24">
        <f>IF(Z148&gt;0,MIN(ROUND(X$6+IF(X$5=$C149,$E$5+$E149,0),2),ROUND(Z148+Y149,2)),0)</f>
        <v>0</v>
      </c>
      <c r="Y149" s="24">
        <f>IF(Z148&gt;0,ROUND(ROUND(Z148*100,0)*ROUND(X$7*10000,0)/12000000,0)/100,0)</f>
        <v>0</v>
      </c>
      <c r="Z149" s="24">
        <f>IF(Z148&gt;0,ROUND(Z148+Y149-X149,2),0)</f>
        <v>0</v>
      </c>
      <c r="AA149" s="24">
        <f>IF(AC148&gt;0,MIN(ROUND(AA$6+IF(AA$5=$C149,$E$5+$E149,0),2),ROUND(AC148+AB149,2)),0)</f>
        <v>0</v>
      </c>
      <c r="AB149" s="24">
        <f>IF(AC148&gt;0,ROUND(ROUND(AC148*100,0)*ROUND(AA$7*10000,0)/12000000,0)/100,0)</f>
        <v>0</v>
      </c>
      <c r="AC149" s="24">
        <f>IF(AC148&gt;0,ROUND(AC148+AB149-AA149,2),0)</f>
        <v>0</v>
      </c>
      <c r="AD149" s="24">
        <f>IF(AF148&gt;0,MIN(ROUND(AD$6+IF(AD$5=$C149,$E$5+$E149,0),2),ROUND(AF148+AE149,2)),0)</f>
        <v>0</v>
      </c>
      <c r="AE149" s="24">
        <f>IF(AF148&gt;0,ROUND(ROUND(AF148*100,0)*ROUND(AD$7*10000,0)/12000000,0)/100,0)</f>
        <v>0</v>
      </c>
      <c r="AF149" s="24">
        <f>IF(AF148&gt;0,ROUND(AF148+AE149-AD149,2),0)</f>
        <v>0</v>
      </c>
      <c r="AG149" s="24">
        <f>IF(AI148&gt;0,MIN(ROUND(AG$6+IF(AG$5=$C149,$E$5+$E149,0),2),ROUND(AI148+AH149,2)),0)</f>
        <v>0</v>
      </c>
      <c r="AH149" s="24">
        <f>IF(AI148&gt;0,ROUND(ROUND(AI148*100,0)*ROUND(AG$7*10000,0)/12000000,0)/100,0)</f>
        <v>0</v>
      </c>
      <c r="AI149" s="24">
        <f>IF(AI148&gt;0,ROUND(AI148+AH149-AG149,2),0)</f>
        <v>0</v>
      </c>
      <c r="AJ149" s="24">
        <f>IF(AL148&gt;0,MIN(ROUND(AJ$6+IF(AJ$5=$C149,$E$5+$E149,0),2),ROUND(AL148+AK149,2)),0)</f>
        <v>0</v>
      </c>
      <c r="AK149" s="24">
        <f>IF(AL148&gt;0,ROUND(ROUND(AL148*100,0)*ROUND(AJ$7*10000,0)/12000000,0)/100,0)</f>
        <v>0</v>
      </c>
      <c r="AL149" s="24">
        <f>IF(AL148&gt;0,ROUND(AL148+AK149-AJ149,2),0)</f>
        <v>0</v>
      </c>
    </row>
    <row r="150" spans="1:38" x14ac:dyDescent="0.25">
      <c r="A150" s="17" t="str">
        <f>IF(F150&gt;0,140,"")</f>
        <v/>
      </c>
      <c r="B150" s="18" t="str">
        <f>IF(F150&gt;0,EDATE($E$6,140),"")</f>
        <v/>
      </c>
      <c r="C150" s="21">
        <f>IF(H149&gt;0,MIN(IF(K149&gt;0,I$5,99),IF(N149&gt;0,L$5,99),IF(Q149&gt;0,O$5,99),IF(T149&gt;0,R$5,99),IF(W149&gt;0,U$5,99),IF(Z149&gt;0,X$5,99),IF(AC149&gt;0,AA$5,99),IF(AF149&gt;0,AD$5,99),IF(AI149&gt;0,AG$5,99),IF(AL149&gt;0,AJ$5,99)),0)</f>
        <v>0</v>
      </c>
      <c r="D150" t="str">
        <f>IF(C150&gt;0,INDEX($I$4:$AL$4,1,MATCH(C150,$I$5:$AL$5,0)),"")</f>
        <v/>
      </c>
      <c r="E150" s="24">
        <f>ROUND(IF(AND(I$8&gt;0,K149=0),I$6,0)+IF(AND(L$8&gt;0,N149=0),L$6,0)+IF(AND(O$8&gt;0,Q149=0),O$6,0)+IF(AND(R$8&gt;0,T149=0),R$6,0)+IF(AND(U$8&gt;0,W149=0),U$6,0)+IF(AND(X$8&gt;0,Z149=0),X$6,0)+IF(AND(AA$8&gt;0,AC149=0),AA$6,0)+IF(AND(AD$8&gt;0,AF149=0),AD$6,0)+IF(AND(AG$8&gt;0,AI149=0),AG$6,0)+IF(AND(AJ$8&gt;0,AL149=0),AJ$6,0),2)</f>
        <v>330</v>
      </c>
      <c r="F150" s="24">
        <f>ROUND(I150+L150+O150+R150+U150+X150+AA150+AD150+AG150+AJ150,2)</f>
        <v>0</v>
      </c>
      <c r="G150" s="24">
        <f>ROUND(J150+M150+P150+S150+V150+Y150+AB150+AE150+AH150+AK150,2)</f>
        <v>0</v>
      </c>
      <c r="H150" s="24">
        <f>ROUND(K150+N150+Q150+T150+W150+Z150+AC150+AF150+AI150+AL150,2)</f>
        <v>0</v>
      </c>
      <c r="I150" s="24">
        <f>IF(K149&gt;0,MIN(ROUND(I$6+IF(I$5=$C150,$E$5+$E150,0),2),ROUND(K149+J150,2)),0)</f>
        <v>0</v>
      </c>
      <c r="J150" s="24">
        <f>IF(K149&gt;0,ROUND(ROUND(K149*100,0)*ROUND(I$7*10000,0)/12000000,0)/100,0)</f>
        <v>0</v>
      </c>
      <c r="K150" s="24">
        <f>IF(K149&gt;0,ROUND(K149+J150-I150,2),0)</f>
        <v>0</v>
      </c>
      <c r="L150" s="24">
        <f>IF(N149&gt;0,MIN(ROUND(L$6+IF(L$5=$C150,$E$5+$E150,0),2),ROUND(N149+M150,2)),0)</f>
        <v>0</v>
      </c>
      <c r="M150" s="24">
        <f>IF(N149&gt;0,ROUND(ROUND(N149*100,0)*ROUND(L$7*10000,0)/12000000,0)/100,0)</f>
        <v>0</v>
      </c>
      <c r="N150" s="24">
        <f>IF(N149&gt;0,ROUND(N149+M150-L150,2),0)</f>
        <v>0</v>
      </c>
      <c r="O150" s="24">
        <f>IF(Q149&gt;0,MIN(ROUND(O$6+IF(O$5=$C150,$E$5+$E150,0),2),ROUND(Q149+P150,2)),0)</f>
        <v>0</v>
      </c>
      <c r="P150" s="24">
        <f>IF(Q149&gt;0,ROUND(ROUND(Q149*100,0)*ROUND(O$7*10000,0)/12000000,0)/100,0)</f>
        <v>0</v>
      </c>
      <c r="Q150" s="24">
        <f>IF(Q149&gt;0,ROUND(Q149+P150-O150,2),0)</f>
        <v>0</v>
      </c>
      <c r="R150" s="24">
        <f>IF(T149&gt;0,MIN(ROUND(R$6+IF(R$5=$C150,$E$5+$E150,0),2),ROUND(T149+S150,2)),0)</f>
        <v>0</v>
      </c>
      <c r="S150" s="24">
        <f>IF(T149&gt;0,ROUND(ROUND(T149*100,0)*ROUND(R$7*10000,0)/12000000,0)/100,0)</f>
        <v>0</v>
      </c>
      <c r="T150" s="24">
        <f>IF(T149&gt;0,ROUND(T149+S150-R150,2),0)</f>
        <v>0</v>
      </c>
      <c r="U150" s="24">
        <f>IF(W149&gt;0,MIN(ROUND(U$6+IF(U$5=$C150,$E$5+$E150,0),2),ROUND(W149+V150,2)),0)</f>
        <v>0</v>
      </c>
      <c r="V150" s="24">
        <f>IF(W149&gt;0,ROUND(ROUND(W149*100,0)*ROUND(U$7*10000,0)/12000000,0)/100,0)</f>
        <v>0</v>
      </c>
      <c r="W150" s="24">
        <f>IF(W149&gt;0,ROUND(W149+V150-U150,2),0)</f>
        <v>0</v>
      </c>
      <c r="X150" s="24">
        <f>IF(Z149&gt;0,MIN(ROUND(X$6+IF(X$5=$C150,$E$5+$E150,0),2),ROUND(Z149+Y150,2)),0)</f>
        <v>0</v>
      </c>
      <c r="Y150" s="24">
        <f>IF(Z149&gt;0,ROUND(ROUND(Z149*100,0)*ROUND(X$7*10000,0)/12000000,0)/100,0)</f>
        <v>0</v>
      </c>
      <c r="Z150" s="24">
        <f>IF(Z149&gt;0,ROUND(Z149+Y150-X150,2),0)</f>
        <v>0</v>
      </c>
      <c r="AA150" s="24">
        <f>IF(AC149&gt;0,MIN(ROUND(AA$6+IF(AA$5=$C150,$E$5+$E150,0),2),ROUND(AC149+AB150,2)),0)</f>
        <v>0</v>
      </c>
      <c r="AB150" s="24">
        <f>IF(AC149&gt;0,ROUND(ROUND(AC149*100,0)*ROUND(AA$7*10000,0)/12000000,0)/100,0)</f>
        <v>0</v>
      </c>
      <c r="AC150" s="24">
        <f>IF(AC149&gt;0,ROUND(AC149+AB150-AA150,2),0)</f>
        <v>0</v>
      </c>
      <c r="AD150" s="24">
        <f>IF(AF149&gt;0,MIN(ROUND(AD$6+IF(AD$5=$C150,$E$5+$E150,0),2),ROUND(AF149+AE150,2)),0)</f>
        <v>0</v>
      </c>
      <c r="AE150" s="24">
        <f>IF(AF149&gt;0,ROUND(ROUND(AF149*100,0)*ROUND(AD$7*10000,0)/12000000,0)/100,0)</f>
        <v>0</v>
      </c>
      <c r="AF150" s="24">
        <f>IF(AF149&gt;0,ROUND(AF149+AE150-AD150,2),0)</f>
        <v>0</v>
      </c>
      <c r="AG150" s="24">
        <f>IF(AI149&gt;0,MIN(ROUND(AG$6+IF(AG$5=$C150,$E$5+$E150,0),2),ROUND(AI149+AH150,2)),0)</f>
        <v>0</v>
      </c>
      <c r="AH150" s="24">
        <f>IF(AI149&gt;0,ROUND(ROUND(AI149*100,0)*ROUND(AG$7*10000,0)/12000000,0)/100,0)</f>
        <v>0</v>
      </c>
      <c r="AI150" s="24">
        <f>IF(AI149&gt;0,ROUND(AI149+AH150-AG150,2),0)</f>
        <v>0</v>
      </c>
      <c r="AJ150" s="24">
        <f>IF(AL149&gt;0,MIN(ROUND(AJ$6+IF(AJ$5=$C150,$E$5+$E150,0),2),ROUND(AL149+AK150,2)),0)</f>
        <v>0</v>
      </c>
      <c r="AK150" s="24">
        <f>IF(AL149&gt;0,ROUND(ROUND(AL149*100,0)*ROUND(AJ$7*10000,0)/12000000,0)/100,0)</f>
        <v>0</v>
      </c>
      <c r="AL150" s="24">
        <f>IF(AL149&gt;0,ROUND(AL149+AK150-AJ150,2),0)</f>
        <v>0</v>
      </c>
    </row>
    <row r="151" spans="1:38" x14ac:dyDescent="0.25">
      <c r="A151" s="17" t="str">
        <f>IF(F151&gt;0,141,"")</f>
        <v/>
      </c>
      <c r="B151" s="18" t="str">
        <f>IF(F151&gt;0,EDATE($E$6,141),"")</f>
        <v/>
      </c>
      <c r="C151" s="21">
        <f>IF(H150&gt;0,MIN(IF(K150&gt;0,I$5,99),IF(N150&gt;0,L$5,99),IF(Q150&gt;0,O$5,99),IF(T150&gt;0,R$5,99),IF(W150&gt;0,U$5,99),IF(Z150&gt;0,X$5,99),IF(AC150&gt;0,AA$5,99),IF(AF150&gt;0,AD$5,99),IF(AI150&gt;0,AG$5,99),IF(AL150&gt;0,AJ$5,99)),0)</f>
        <v>0</v>
      </c>
      <c r="D151" t="str">
        <f>IF(C151&gt;0,INDEX($I$4:$AL$4,1,MATCH(C151,$I$5:$AL$5,0)),"")</f>
        <v/>
      </c>
      <c r="E151" s="24">
        <f>ROUND(IF(AND(I$8&gt;0,K150=0),I$6,0)+IF(AND(L$8&gt;0,N150=0),L$6,0)+IF(AND(O$8&gt;0,Q150=0),O$6,0)+IF(AND(R$8&gt;0,T150=0),R$6,0)+IF(AND(U$8&gt;0,W150=0),U$6,0)+IF(AND(X$8&gt;0,Z150=0),X$6,0)+IF(AND(AA$8&gt;0,AC150=0),AA$6,0)+IF(AND(AD$8&gt;0,AF150=0),AD$6,0)+IF(AND(AG$8&gt;0,AI150=0),AG$6,0)+IF(AND(AJ$8&gt;0,AL150=0),AJ$6,0),2)</f>
        <v>330</v>
      </c>
      <c r="F151" s="24">
        <f>ROUND(I151+L151+O151+R151+U151+X151+AA151+AD151+AG151+AJ151,2)</f>
        <v>0</v>
      </c>
      <c r="G151" s="24">
        <f>ROUND(J151+M151+P151+S151+V151+Y151+AB151+AE151+AH151+AK151,2)</f>
        <v>0</v>
      </c>
      <c r="H151" s="24">
        <f>ROUND(K151+N151+Q151+T151+W151+Z151+AC151+AF151+AI151+AL151,2)</f>
        <v>0</v>
      </c>
      <c r="I151" s="24">
        <f>IF(K150&gt;0,MIN(ROUND(I$6+IF(I$5=$C151,$E$5+$E151,0),2),ROUND(K150+J151,2)),0)</f>
        <v>0</v>
      </c>
      <c r="J151" s="24">
        <f>IF(K150&gt;0,ROUND(ROUND(K150*100,0)*ROUND(I$7*10000,0)/12000000,0)/100,0)</f>
        <v>0</v>
      </c>
      <c r="K151" s="24">
        <f>IF(K150&gt;0,ROUND(K150+J151-I151,2),0)</f>
        <v>0</v>
      </c>
      <c r="L151" s="24">
        <f>IF(N150&gt;0,MIN(ROUND(L$6+IF(L$5=$C151,$E$5+$E151,0),2),ROUND(N150+M151,2)),0)</f>
        <v>0</v>
      </c>
      <c r="M151" s="24">
        <f>IF(N150&gt;0,ROUND(ROUND(N150*100,0)*ROUND(L$7*10000,0)/12000000,0)/100,0)</f>
        <v>0</v>
      </c>
      <c r="N151" s="24">
        <f>IF(N150&gt;0,ROUND(N150+M151-L151,2),0)</f>
        <v>0</v>
      </c>
      <c r="O151" s="24">
        <f>IF(Q150&gt;0,MIN(ROUND(O$6+IF(O$5=$C151,$E$5+$E151,0),2),ROUND(Q150+P151,2)),0)</f>
        <v>0</v>
      </c>
      <c r="P151" s="24">
        <f>IF(Q150&gt;0,ROUND(ROUND(Q150*100,0)*ROUND(O$7*10000,0)/12000000,0)/100,0)</f>
        <v>0</v>
      </c>
      <c r="Q151" s="24">
        <f>IF(Q150&gt;0,ROUND(Q150+P151-O151,2),0)</f>
        <v>0</v>
      </c>
      <c r="R151" s="24">
        <f>IF(T150&gt;0,MIN(ROUND(R$6+IF(R$5=$C151,$E$5+$E151,0),2),ROUND(T150+S151,2)),0)</f>
        <v>0</v>
      </c>
      <c r="S151" s="24">
        <f>IF(T150&gt;0,ROUND(ROUND(T150*100,0)*ROUND(R$7*10000,0)/12000000,0)/100,0)</f>
        <v>0</v>
      </c>
      <c r="T151" s="24">
        <f>IF(T150&gt;0,ROUND(T150+S151-R151,2),0)</f>
        <v>0</v>
      </c>
      <c r="U151" s="24">
        <f>IF(W150&gt;0,MIN(ROUND(U$6+IF(U$5=$C151,$E$5+$E151,0),2),ROUND(W150+V151,2)),0)</f>
        <v>0</v>
      </c>
      <c r="V151" s="24">
        <f>IF(W150&gt;0,ROUND(ROUND(W150*100,0)*ROUND(U$7*10000,0)/12000000,0)/100,0)</f>
        <v>0</v>
      </c>
      <c r="W151" s="24">
        <f>IF(W150&gt;0,ROUND(W150+V151-U151,2),0)</f>
        <v>0</v>
      </c>
      <c r="X151" s="24">
        <f>IF(Z150&gt;0,MIN(ROUND(X$6+IF(X$5=$C151,$E$5+$E151,0),2),ROUND(Z150+Y151,2)),0)</f>
        <v>0</v>
      </c>
      <c r="Y151" s="24">
        <f>IF(Z150&gt;0,ROUND(ROUND(Z150*100,0)*ROUND(X$7*10000,0)/12000000,0)/100,0)</f>
        <v>0</v>
      </c>
      <c r="Z151" s="24">
        <f>IF(Z150&gt;0,ROUND(Z150+Y151-X151,2),0)</f>
        <v>0</v>
      </c>
      <c r="AA151" s="24">
        <f>IF(AC150&gt;0,MIN(ROUND(AA$6+IF(AA$5=$C151,$E$5+$E151,0),2),ROUND(AC150+AB151,2)),0)</f>
        <v>0</v>
      </c>
      <c r="AB151" s="24">
        <f>IF(AC150&gt;0,ROUND(ROUND(AC150*100,0)*ROUND(AA$7*10000,0)/12000000,0)/100,0)</f>
        <v>0</v>
      </c>
      <c r="AC151" s="24">
        <f>IF(AC150&gt;0,ROUND(AC150+AB151-AA151,2),0)</f>
        <v>0</v>
      </c>
      <c r="AD151" s="24">
        <f>IF(AF150&gt;0,MIN(ROUND(AD$6+IF(AD$5=$C151,$E$5+$E151,0),2),ROUND(AF150+AE151,2)),0)</f>
        <v>0</v>
      </c>
      <c r="AE151" s="24">
        <f>IF(AF150&gt;0,ROUND(ROUND(AF150*100,0)*ROUND(AD$7*10000,0)/12000000,0)/100,0)</f>
        <v>0</v>
      </c>
      <c r="AF151" s="24">
        <f>IF(AF150&gt;0,ROUND(AF150+AE151-AD151,2),0)</f>
        <v>0</v>
      </c>
      <c r="AG151" s="24">
        <f>IF(AI150&gt;0,MIN(ROUND(AG$6+IF(AG$5=$C151,$E$5+$E151,0),2),ROUND(AI150+AH151,2)),0)</f>
        <v>0</v>
      </c>
      <c r="AH151" s="24">
        <f>IF(AI150&gt;0,ROUND(ROUND(AI150*100,0)*ROUND(AG$7*10000,0)/12000000,0)/100,0)</f>
        <v>0</v>
      </c>
      <c r="AI151" s="24">
        <f>IF(AI150&gt;0,ROUND(AI150+AH151-AG151,2),0)</f>
        <v>0</v>
      </c>
      <c r="AJ151" s="24">
        <f>IF(AL150&gt;0,MIN(ROUND(AJ$6+IF(AJ$5=$C151,$E$5+$E151,0),2),ROUND(AL150+AK151,2)),0)</f>
        <v>0</v>
      </c>
      <c r="AK151" s="24">
        <f>IF(AL150&gt;0,ROUND(ROUND(AL150*100,0)*ROUND(AJ$7*10000,0)/12000000,0)/100,0)</f>
        <v>0</v>
      </c>
      <c r="AL151" s="24">
        <f>IF(AL150&gt;0,ROUND(AL150+AK151-AJ151,2),0)</f>
        <v>0</v>
      </c>
    </row>
    <row r="152" spans="1:38" x14ac:dyDescent="0.25">
      <c r="A152" s="17" t="str">
        <f>IF(F152&gt;0,142,"")</f>
        <v/>
      </c>
      <c r="B152" s="18" t="str">
        <f>IF(F152&gt;0,EDATE($E$6,142),"")</f>
        <v/>
      </c>
      <c r="C152" s="21">
        <f>IF(H151&gt;0,MIN(IF(K151&gt;0,I$5,99),IF(N151&gt;0,L$5,99),IF(Q151&gt;0,O$5,99),IF(T151&gt;0,R$5,99),IF(W151&gt;0,U$5,99),IF(Z151&gt;0,X$5,99),IF(AC151&gt;0,AA$5,99),IF(AF151&gt;0,AD$5,99),IF(AI151&gt;0,AG$5,99),IF(AL151&gt;0,AJ$5,99)),0)</f>
        <v>0</v>
      </c>
      <c r="D152" t="str">
        <f>IF(C152&gt;0,INDEX($I$4:$AL$4,1,MATCH(C152,$I$5:$AL$5,0)),"")</f>
        <v/>
      </c>
      <c r="E152" s="24">
        <f>ROUND(IF(AND(I$8&gt;0,K151=0),I$6,0)+IF(AND(L$8&gt;0,N151=0),L$6,0)+IF(AND(O$8&gt;0,Q151=0),O$6,0)+IF(AND(R$8&gt;0,T151=0),R$6,0)+IF(AND(U$8&gt;0,W151=0),U$6,0)+IF(AND(X$8&gt;0,Z151=0),X$6,0)+IF(AND(AA$8&gt;0,AC151=0),AA$6,0)+IF(AND(AD$8&gt;0,AF151=0),AD$6,0)+IF(AND(AG$8&gt;0,AI151=0),AG$6,0)+IF(AND(AJ$8&gt;0,AL151=0),AJ$6,0),2)</f>
        <v>330</v>
      </c>
      <c r="F152" s="24">
        <f>ROUND(I152+L152+O152+R152+U152+X152+AA152+AD152+AG152+AJ152,2)</f>
        <v>0</v>
      </c>
      <c r="G152" s="24">
        <f>ROUND(J152+M152+P152+S152+V152+Y152+AB152+AE152+AH152+AK152,2)</f>
        <v>0</v>
      </c>
      <c r="H152" s="24">
        <f>ROUND(K152+N152+Q152+T152+W152+Z152+AC152+AF152+AI152+AL152,2)</f>
        <v>0</v>
      </c>
      <c r="I152" s="24">
        <f>IF(K151&gt;0,MIN(ROUND(I$6+IF(I$5=$C152,$E$5+$E152,0),2),ROUND(K151+J152,2)),0)</f>
        <v>0</v>
      </c>
      <c r="J152" s="24">
        <f>IF(K151&gt;0,ROUND(ROUND(K151*100,0)*ROUND(I$7*10000,0)/12000000,0)/100,0)</f>
        <v>0</v>
      </c>
      <c r="K152" s="24">
        <f>IF(K151&gt;0,ROUND(K151+J152-I152,2),0)</f>
        <v>0</v>
      </c>
      <c r="L152" s="24">
        <f>IF(N151&gt;0,MIN(ROUND(L$6+IF(L$5=$C152,$E$5+$E152,0),2),ROUND(N151+M152,2)),0)</f>
        <v>0</v>
      </c>
      <c r="M152" s="24">
        <f>IF(N151&gt;0,ROUND(ROUND(N151*100,0)*ROUND(L$7*10000,0)/12000000,0)/100,0)</f>
        <v>0</v>
      </c>
      <c r="N152" s="24">
        <f>IF(N151&gt;0,ROUND(N151+M152-L152,2),0)</f>
        <v>0</v>
      </c>
      <c r="O152" s="24">
        <f>IF(Q151&gt;0,MIN(ROUND(O$6+IF(O$5=$C152,$E$5+$E152,0),2),ROUND(Q151+P152,2)),0)</f>
        <v>0</v>
      </c>
      <c r="P152" s="24">
        <f>IF(Q151&gt;0,ROUND(ROUND(Q151*100,0)*ROUND(O$7*10000,0)/12000000,0)/100,0)</f>
        <v>0</v>
      </c>
      <c r="Q152" s="24">
        <f>IF(Q151&gt;0,ROUND(Q151+P152-O152,2),0)</f>
        <v>0</v>
      </c>
      <c r="R152" s="24">
        <f>IF(T151&gt;0,MIN(ROUND(R$6+IF(R$5=$C152,$E$5+$E152,0),2),ROUND(T151+S152,2)),0)</f>
        <v>0</v>
      </c>
      <c r="S152" s="24">
        <f>IF(T151&gt;0,ROUND(ROUND(T151*100,0)*ROUND(R$7*10000,0)/12000000,0)/100,0)</f>
        <v>0</v>
      </c>
      <c r="T152" s="24">
        <f>IF(T151&gt;0,ROUND(T151+S152-R152,2),0)</f>
        <v>0</v>
      </c>
      <c r="U152" s="24">
        <f>IF(W151&gt;0,MIN(ROUND(U$6+IF(U$5=$C152,$E$5+$E152,0),2),ROUND(W151+V152,2)),0)</f>
        <v>0</v>
      </c>
      <c r="V152" s="24">
        <f>IF(W151&gt;0,ROUND(ROUND(W151*100,0)*ROUND(U$7*10000,0)/12000000,0)/100,0)</f>
        <v>0</v>
      </c>
      <c r="W152" s="24">
        <f>IF(W151&gt;0,ROUND(W151+V152-U152,2),0)</f>
        <v>0</v>
      </c>
      <c r="X152" s="24">
        <f>IF(Z151&gt;0,MIN(ROUND(X$6+IF(X$5=$C152,$E$5+$E152,0),2),ROUND(Z151+Y152,2)),0)</f>
        <v>0</v>
      </c>
      <c r="Y152" s="24">
        <f>IF(Z151&gt;0,ROUND(ROUND(Z151*100,0)*ROUND(X$7*10000,0)/12000000,0)/100,0)</f>
        <v>0</v>
      </c>
      <c r="Z152" s="24">
        <f>IF(Z151&gt;0,ROUND(Z151+Y152-X152,2),0)</f>
        <v>0</v>
      </c>
      <c r="AA152" s="24">
        <f>IF(AC151&gt;0,MIN(ROUND(AA$6+IF(AA$5=$C152,$E$5+$E152,0),2),ROUND(AC151+AB152,2)),0)</f>
        <v>0</v>
      </c>
      <c r="AB152" s="24">
        <f>IF(AC151&gt;0,ROUND(ROUND(AC151*100,0)*ROUND(AA$7*10000,0)/12000000,0)/100,0)</f>
        <v>0</v>
      </c>
      <c r="AC152" s="24">
        <f>IF(AC151&gt;0,ROUND(AC151+AB152-AA152,2),0)</f>
        <v>0</v>
      </c>
      <c r="AD152" s="24">
        <f>IF(AF151&gt;0,MIN(ROUND(AD$6+IF(AD$5=$C152,$E$5+$E152,0),2),ROUND(AF151+AE152,2)),0)</f>
        <v>0</v>
      </c>
      <c r="AE152" s="24">
        <f>IF(AF151&gt;0,ROUND(ROUND(AF151*100,0)*ROUND(AD$7*10000,0)/12000000,0)/100,0)</f>
        <v>0</v>
      </c>
      <c r="AF152" s="24">
        <f>IF(AF151&gt;0,ROUND(AF151+AE152-AD152,2),0)</f>
        <v>0</v>
      </c>
      <c r="AG152" s="24">
        <f>IF(AI151&gt;0,MIN(ROUND(AG$6+IF(AG$5=$C152,$E$5+$E152,0),2),ROUND(AI151+AH152,2)),0)</f>
        <v>0</v>
      </c>
      <c r="AH152" s="24">
        <f>IF(AI151&gt;0,ROUND(ROUND(AI151*100,0)*ROUND(AG$7*10000,0)/12000000,0)/100,0)</f>
        <v>0</v>
      </c>
      <c r="AI152" s="24">
        <f>IF(AI151&gt;0,ROUND(AI151+AH152-AG152,2),0)</f>
        <v>0</v>
      </c>
      <c r="AJ152" s="24">
        <f>IF(AL151&gt;0,MIN(ROUND(AJ$6+IF(AJ$5=$C152,$E$5+$E152,0),2),ROUND(AL151+AK152,2)),0)</f>
        <v>0</v>
      </c>
      <c r="AK152" s="24">
        <f>IF(AL151&gt;0,ROUND(ROUND(AL151*100,0)*ROUND(AJ$7*10000,0)/12000000,0)/100,0)</f>
        <v>0</v>
      </c>
      <c r="AL152" s="24">
        <f>IF(AL151&gt;0,ROUND(AL151+AK152-AJ152,2),0)</f>
        <v>0</v>
      </c>
    </row>
    <row r="153" spans="1:38" x14ac:dyDescent="0.25">
      <c r="A153" s="17" t="str">
        <f>IF(F153&gt;0,143,"")</f>
        <v/>
      </c>
      <c r="B153" s="18" t="str">
        <f>IF(F153&gt;0,EDATE($E$6,143),"")</f>
        <v/>
      </c>
      <c r="C153" s="21">
        <f>IF(H152&gt;0,MIN(IF(K152&gt;0,I$5,99),IF(N152&gt;0,L$5,99),IF(Q152&gt;0,O$5,99),IF(T152&gt;0,R$5,99),IF(W152&gt;0,U$5,99),IF(Z152&gt;0,X$5,99),IF(AC152&gt;0,AA$5,99),IF(AF152&gt;0,AD$5,99),IF(AI152&gt;0,AG$5,99),IF(AL152&gt;0,AJ$5,99)),0)</f>
        <v>0</v>
      </c>
      <c r="D153" t="str">
        <f>IF(C153&gt;0,INDEX($I$4:$AL$4,1,MATCH(C153,$I$5:$AL$5,0)),"")</f>
        <v/>
      </c>
      <c r="E153" s="24">
        <f>ROUND(IF(AND(I$8&gt;0,K152=0),I$6,0)+IF(AND(L$8&gt;0,N152=0),L$6,0)+IF(AND(O$8&gt;0,Q152=0),O$6,0)+IF(AND(R$8&gt;0,T152=0),R$6,0)+IF(AND(U$8&gt;0,W152=0),U$6,0)+IF(AND(X$8&gt;0,Z152=0),X$6,0)+IF(AND(AA$8&gt;0,AC152=0),AA$6,0)+IF(AND(AD$8&gt;0,AF152=0),AD$6,0)+IF(AND(AG$8&gt;0,AI152=0),AG$6,0)+IF(AND(AJ$8&gt;0,AL152=0),AJ$6,0),2)</f>
        <v>330</v>
      </c>
      <c r="F153" s="24">
        <f>ROUND(I153+L153+O153+R153+U153+X153+AA153+AD153+AG153+AJ153,2)</f>
        <v>0</v>
      </c>
      <c r="G153" s="24">
        <f>ROUND(J153+M153+P153+S153+V153+Y153+AB153+AE153+AH153+AK153,2)</f>
        <v>0</v>
      </c>
      <c r="H153" s="24">
        <f>ROUND(K153+N153+Q153+T153+W153+Z153+AC153+AF153+AI153+AL153,2)</f>
        <v>0</v>
      </c>
      <c r="I153" s="24">
        <f>IF(K152&gt;0,MIN(ROUND(I$6+IF(I$5=$C153,$E$5+$E153,0),2),ROUND(K152+J153,2)),0)</f>
        <v>0</v>
      </c>
      <c r="J153" s="24">
        <f>IF(K152&gt;0,ROUND(ROUND(K152*100,0)*ROUND(I$7*10000,0)/12000000,0)/100,0)</f>
        <v>0</v>
      </c>
      <c r="K153" s="24">
        <f>IF(K152&gt;0,ROUND(K152+J153-I153,2),0)</f>
        <v>0</v>
      </c>
      <c r="L153" s="24">
        <f>IF(N152&gt;0,MIN(ROUND(L$6+IF(L$5=$C153,$E$5+$E153,0),2),ROUND(N152+M153,2)),0)</f>
        <v>0</v>
      </c>
      <c r="M153" s="24">
        <f>IF(N152&gt;0,ROUND(ROUND(N152*100,0)*ROUND(L$7*10000,0)/12000000,0)/100,0)</f>
        <v>0</v>
      </c>
      <c r="N153" s="24">
        <f>IF(N152&gt;0,ROUND(N152+M153-L153,2),0)</f>
        <v>0</v>
      </c>
      <c r="O153" s="24">
        <f>IF(Q152&gt;0,MIN(ROUND(O$6+IF(O$5=$C153,$E$5+$E153,0),2),ROUND(Q152+P153,2)),0)</f>
        <v>0</v>
      </c>
      <c r="P153" s="24">
        <f>IF(Q152&gt;0,ROUND(ROUND(Q152*100,0)*ROUND(O$7*10000,0)/12000000,0)/100,0)</f>
        <v>0</v>
      </c>
      <c r="Q153" s="24">
        <f>IF(Q152&gt;0,ROUND(Q152+P153-O153,2),0)</f>
        <v>0</v>
      </c>
      <c r="R153" s="24">
        <f>IF(T152&gt;0,MIN(ROUND(R$6+IF(R$5=$C153,$E$5+$E153,0),2),ROUND(T152+S153,2)),0)</f>
        <v>0</v>
      </c>
      <c r="S153" s="24">
        <f>IF(T152&gt;0,ROUND(ROUND(T152*100,0)*ROUND(R$7*10000,0)/12000000,0)/100,0)</f>
        <v>0</v>
      </c>
      <c r="T153" s="24">
        <f>IF(T152&gt;0,ROUND(T152+S153-R153,2),0)</f>
        <v>0</v>
      </c>
      <c r="U153" s="24">
        <f>IF(W152&gt;0,MIN(ROUND(U$6+IF(U$5=$C153,$E$5+$E153,0),2),ROUND(W152+V153,2)),0)</f>
        <v>0</v>
      </c>
      <c r="V153" s="24">
        <f>IF(W152&gt;0,ROUND(ROUND(W152*100,0)*ROUND(U$7*10000,0)/12000000,0)/100,0)</f>
        <v>0</v>
      </c>
      <c r="W153" s="24">
        <f>IF(W152&gt;0,ROUND(W152+V153-U153,2),0)</f>
        <v>0</v>
      </c>
      <c r="X153" s="24">
        <f>IF(Z152&gt;0,MIN(ROUND(X$6+IF(X$5=$C153,$E$5+$E153,0),2),ROUND(Z152+Y153,2)),0)</f>
        <v>0</v>
      </c>
      <c r="Y153" s="24">
        <f>IF(Z152&gt;0,ROUND(ROUND(Z152*100,0)*ROUND(X$7*10000,0)/12000000,0)/100,0)</f>
        <v>0</v>
      </c>
      <c r="Z153" s="24">
        <f>IF(Z152&gt;0,ROUND(Z152+Y153-X153,2),0)</f>
        <v>0</v>
      </c>
      <c r="AA153" s="24">
        <f>IF(AC152&gt;0,MIN(ROUND(AA$6+IF(AA$5=$C153,$E$5+$E153,0),2),ROUND(AC152+AB153,2)),0)</f>
        <v>0</v>
      </c>
      <c r="AB153" s="24">
        <f>IF(AC152&gt;0,ROUND(ROUND(AC152*100,0)*ROUND(AA$7*10000,0)/12000000,0)/100,0)</f>
        <v>0</v>
      </c>
      <c r="AC153" s="24">
        <f>IF(AC152&gt;0,ROUND(AC152+AB153-AA153,2),0)</f>
        <v>0</v>
      </c>
      <c r="AD153" s="24">
        <f>IF(AF152&gt;0,MIN(ROUND(AD$6+IF(AD$5=$C153,$E$5+$E153,0),2),ROUND(AF152+AE153,2)),0)</f>
        <v>0</v>
      </c>
      <c r="AE153" s="24">
        <f>IF(AF152&gt;0,ROUND(ROUND(AF152*100,0)*ROUND(AD$7*10000,0)/12000000,0)/100,0)</f>
        <v>0</v>
      </c>
      <c r="AF153" s="24">
        <f>IF(AF152&gt;0,ROUND(AF152+AE153-AD153,2),0)</f>
        <v>0</v>
      </c>
      <c r="AG153" s="24">
        <f>IF(AI152&gt;0,MIN(ROUND(AG$6+IF(AG$5=$C153,$E$5+$E153,0),2),ROUND(AI152+AH153,2)),0)</f>
        <v>0</v>
      </c>
      <c r="AH153" s="24">
        <f>IF(AI152&gt;0,ROUND(ROUND(AI152*100,0)*ROUND(AG$7*10000,0)/12000000,0)/100,0)</f>
        <v>0</v>
      </c>
      <c r="AI153" s="24">
        <f>IF(AI152&gt;0,ROUND(AI152+AH153-AG153,2),0)</f>
        <v>0</v>
      </c>
      <c r="AJ153" s="24">
        <f>IF(AL152&gt;0,MIN(ROUND(AJ$6+IF(AJ$5=$C153,$E$5+$E153,0),2),ROUND(AL152+AK153,2)),0)</f>
        <v>0</v>
      </c>
      <c r="AK153" s="24">
        <f>IF(AL152&gt;0,ROUND(ROUND(AL152*100,0)*ROUND(AJ$7*10000,0)/12000000,0)/100,0)</f>
        <v>0</v>
      </c>
      <c r="AL153" s="24">
        <f>IF(AL152&gt;0,ROUND(AL152+AK153-AJ153,2),0)</f>
        <v>0</v>
      </c>
    </row>
    <row r="154" spans="1:38" x14ac:dyDescent="0.25">
      <c r="A154" s="17" t="str">
        <f>IF(F154&gt;0,144,"")</f>
        <v/>
      </c>
      <c r="B154" s="18" t="str">
        <f>IF(F154&gt;0,EDATE($E$6,144),"")</f>
        <v/>
      </c>
      <c r="C154" s="21">
        <f>IF(H153&gt;0,MIN(IF(K153&gt;0,I$5,99),IF(N153&gt;0,L$5,99),IF(Q153&gt;0,O$5,99),IF(T153&gt;0,R$5,99),IF(W153&gt;0,U$5,99),IF(Z153&gt;0,X$5,99),IF(AC153&gt;0,AA$5,99),IF(AF153&gt;0,AD$5,99),IF(AI153&gt;0,AG$5,99),IF(AL153&gt;0,AJ$5,99)),0)</f>
        <v>0</v>
      </c>
      <c r="D154" t="str">
        <f>IF(C154&gt;0,INDEX($I$4:$AL$4,1,MATCH(C154,$I$5:$AL$5,0)),"")</f>
        <v/>
      </c>
      <c r="E154" s="24">
        <f>ROUND(IF(AND(I$8&gt;0,K153=0),I$6,0)+IF(AND(L$8&gt;0,N153=0),L$6,0)+IF(AND(O$8&gt;0,Q153=0),O$6,0)+IF(AND(R$8&gt;0,T153=0),R$6,0)+IF(AND(U$8&gt;0,W153=0),U$6,0)+IF(AND(X$8&gt;0,Z153=0),X$6,0)+IF(AND(AA$8&gt;0,AC153=0),AA$6,0)+IF(AND(AD$8&gt;0,AF153=0),AD$6,0)+IF(AND(AG$8&gt;0,AI153=0),AG$6,0)+IF(AND(AJ$8&gt;0,AL153=0),AJ$6,0),2)</f>
        <v>330</v>
      </c>
      <c r="F154" s="24">
        <f>ROUND(I154+L154+O154+R154+U154+X154+AA154+AD154+AG154+AJ154,2)</f>
        <v>0</v>
      </c>
      <c r="G154" s="24">
        <f>ROUND(J154+M154+P154+S154+V154+Y154+AB154+AE154+AH154+AK154,2)</f>
        <v>0</v>
      </c>
      <c r="H154" s="24">
        <f>ROUND(K154+N154+Q154+T154+W154+Z154+AC154+AF154+AI154+AL154,2)</f>
        <v>0</v>
      </c>
      <c r="I154" s="24">
        <f>IF(K153&gt;0,MIN(ROUND(I$6+IF(I$5=$C154,$E$5+$E154,0),2),ROUND(K153+J154,2)),0)</f>
        <v>0</v>
      </c>
      <c r="J154" s="24">
        <f>IF(K153&gt;0,ROUND(ROUND(K153*100,0)*ROUND(I$7*10000,0)/12000000,0)/100,0)</f>
        <v>0</v>
      </c>
      <c r="K154" s="24">
        <f>IF(K153&gt;0,ROUND(K153+J154-I154,2),0)</f>
        <v>0</v>
      </c>
      <c r="L154" s="24">
        <f>IF(N153&gt;0,MIN(ROUND(L$6+IF(L$5=$C154,$E$5+$E154,0),2),ROUND(N153+M154,2)),0)</f>
        <v>0</v>
      </c>
      <c r="M154" s="24">
        <f>IF(N153&gt;0,ROUND(ROUND(N153*100,0)*ROUND(L$7*10000,0)/12000000,0)/100,0)</f>
        <v>0</v>
      </c>
      <c r="N154" s="24">
        <f>IF(N153&gt;0,ROUND(N153+M154-L154,2),0)</f>
        <v>0</v>
      </c>
      <c r="O154" s="24">
        <f>IF(Q153&gt;0,MIN(ROUND(O$6+IF(O$5=$C154,$E$5+$E154,0),2),ROUND(Q153+P154,2)),0)</f>
        <v>0</v>
      </c>
      <c r="P154" s="24">
        <f>IF(Q153&gt;0,ROUND(ROUND(Q153*100,0)*ROUND(O$7*10000,0)/12000000,0)/100,0)</f>
        <v>0</v>
      </c>
      <c r="Q154" s="24">
        <f>IF(Q153&gt;0,ROUND(Q153+P154-O154,2),0)</f>
        <v>0</v>
      </c>
      <c r="R154" s="24">
        <f>IF(T153&gt;0,MIN(ROUND(R$6+IF(R$5=$C154,$E$5+$E154,0),2),ROUND(T153+S154,2)),0)</f>
        <v>0</v>
      </c>
      <c r="S154" s="24">
        <f>IF(T153&gt;0,ROUND(ROUND(T153*100,0)*ROUND(R$7*10000,0)/12000000,0)/100,0)</f>
        <v>0</v>
      </c>
      <c r="T154" s="24">
        <f>IF(T153&gt;0,ROUND(T153+S154-R154,2),0)</f>
        <v>0</v>
      </c>
      <c r="U154" s="24">
        <f>IF(W153&gt;0,MIN(ROUND(U$6+IF(U$5=$C154,$E$5+$E154,0),2),ROUND(W153+V154,2)),0)</f>
        <v>0</v>
      </c>
      <c r="V154" s="24">
        <f>IF(W153&gt;0,ROUND(ROUND(W153*100,0)*ROUND(U$7*10000,0)/12000000,0)/100,0)</f>
        <v>0</v>
      </c>
      <c r="W154" s="24">
        <f>IF(W153&gt;0,ROUND(W153+V154-U154,2),0)</f>
        <v>0</v>
      </c>
      <c r="X154" s="24">
        <f>IF(Z153&gt;0,MIN(ROUND(X$6+IF(X$5=$C154,$E$5+$E154,0),2),ROUND(Z153+Y154,2)),0)</f>
        <v>0</v>
      </c>
      <c r="Y154" s="24">
        <f>IF(Z153&gt;0,ROUND(ROUND(Z153*100,0)*ROUND(X$7*10000,0)/12000000,0)/100,0)</f>
        <v>0</v>
      </c>
      <c r="Z154" s="24">
        <f>IF(Z153&gt;0,ROUND(Z153+Y154-X154,2),0)</f>
        <v>0</v>
      </c>
      <c r="AA154" s="24">
        <f>IF(AC153&gt;0,MIN(ROUND(AA$6+IF(AA$5=$C154,$E$5+$E154,0),2),ROUND(AC153+AB154,2)),0)</f>
        <v>0</v>
      </c>
      <c r="AB154" s="24">
        <f>IF(AC153&gt;0,ROUND(ROUND(AC153*100,0)*ROUND(AA$7*10000,0)/12000000,0)/100,0)</f>
        <v>0</v>
      </c>
      <c r="AC154" s="24">
        <f>IF(AC153&gt;0,ROUND(AC153+AB154-AA154,2),0)</f>
        <v>0</v>
      </c>
      <c r="AD154" s="24">
        <f>IF(AF153&gt;0,MIN(ROUND(AD$6+IF(AD$5=$C154,$E$5+$E154,0),2),ROUND(AF153+AE154,2)),0)</f>
        <v>0</v>
      </c>
      <c r="AE154" s="24">
        <f>IF(AF153&gt;0,ROUND(ROUND(AF153*100,0)*ROUND(AD$7*10000,0)/12000000,0)/100,0)</f>
        <v>0</v>
      </c>
      <c r="AF154" s="24">
        <f>IF(AF153&gt;0,ROUND(AF153+AE154-AD154,2),0)</f>
        <v>0</v>
      </c>
      <c r="AG154" s="24">
        <f>IF(AI153&gt;0,MIN(ROUND(AG$6+IF(AG$5=$C154,$E$5+$E154,0),2),ROUND(AI153+AH154,2)),0)</f>
        <v>0</v>
      </c>
      <c r="AH154" s="24">
        <f>IF(AI153&gt;0,ROUND(ROUND(AI153*100,0)*ROUND(AG$7*10000,0)/12000000,0)/100,0)</f>
        <v>0</v>
      </c>
      <c r="AI154" s="24">
        <f>IF(AI153&gt;0,ROUND(AI153+AH154-AG154,2),0)</f>
        <v>0</v>
      </c>
      <c r="AJ154" s="24">
        <f>IF(AL153&gt;0,MIN(ROUND(AJ$6+IF(AJ$5=$C154,$E$5+$E154,0),2),ROUND(AL153+AK154,2)),0)</f>
        <v>0</v>
      </c>
      <c r="AK154" s="24">
        <f>IF(AL153&gt;0,ROUND(ROUND(AL153*100,0)*ROUND(AJ$7*10000,0)/12000000,0)/100,0)</f>
        <v>0</v>
      </c>
      <c r="AL154" s="24">
        <f>IF(AL153&gt;0,ROUND(AL153+AK154-AJ154,2),0)</f>
        <v>0</v>
      </c>
    </row>
    <row r="155" spans="1:38" x14ac:dyDescent="0.25">
      <c r="A155" s="17" t="str">
        <f>IF(F155&gt;0,145,"")</f>
        <v/>
      </c>
      <c r="B155" s="18" t="str">
        <f>IF(F155&gt;0,EDATE($E$6,145),"")</f>
        <v/>
      </c>
      <c r="C155" s="21">
        <f>IF(H154&gt;0,MIN(IF(K154&gt;0,I$5,99),IF(N154&gt;0,L$5,99),IF(Q154&gt;0,O$5,99),IF(T154&gt;0,R$5,99),IF(W154&gt;0,U$5,99),IF(Z154&gt;0,X$5,99),IF(AC154&gt;0,AA$5,99),IF(AF154&gt;0,AD$5,99),IF(AI154&gt;0,AG$5,99),IF(AL154&gt;0,AJ$5,99)),0)</f>
        <v>0</v>
      </c>
      <c r="D155" t="str">
        <f>IF(C155&gt;0,INDEX($I$4:$AL$4,1,MATCH(C155,$I$5:$AL$5,0)),"")</f>
        <v/>
      </c>
      <c r="E155" s="24">
        <f>ROUND(IF(AND(I$8&gt;0,K154=0),I$6,0)+IF(AND(L$8&gt;0,N154=0),L$6,0)+IF(AND(O$8&gt;0,Q154=0),O$6,0)+IF(AND(R$8&gt;0,T154=0),R$6,0)+IF(AND(U$8&gt;0,W154=0),U$6,0)+IF(AND(X$8&gt;0,Z154=0),X$6,0)+IF(AND(AA$8&gt;0,AC154=0),AA$6,0)+IF(AND(AD$8&gt;0,AF154=0),AD$6,0)+IF(AND(AG$8&gt;0,AI154=0),AG$6,0)+IF(AND(AJ$8&gt;0,AL154=0),AJ$6,0),2)</f>
        <v>330</v>
      </c>
      <c r="F155" s="24">
        <f>ROUND(I155+L155+O155+R155+U155+X155+AA155+AD155+AG155+AJ155,2)</f>
        <v>0</v>
      </c>
      <c r="G155" s="24">
        <f>ROUND(J155+M155+P155+S155+V155+Y155+AB155+AE155+AH155+AK155,2)</f>
        <v>0</v>
      </c>
      <c r="H155" s="24">
        <f>ROUND(K155+N155+Q155+T155+W155+Z155+AC155+AF155+AI155+AL155,2)</f>
        <v>0</v>
      </c>
      <c r="I155" s="24">
        <f>IF(K154&gt;0,MIN(ROUND(I$6+IF(I$5=$C155,$E$5+$E155,0),2),ROUND(K154+J155,2)),0)</f>
        <v>0</v>
      </c>
      <c r="J155" s="24">
        <f>IF(K154&gt;0,ROUND(ROUND(K154*100,0)*ROUND(I$7*10000,0)/12000000,0)/100,0)</f>
        <v>0</v>
      </c>
      <c r="K155" s="24">
        <f>IF(K154&gt;0,ROUND(K154+J155-I155,2),0)</f>
        <v>0</v>
      </c>
      <c r="L155" s="24">
        <f>IF(N154&gt;0,MIN(ROUND(L$6+IF(L$5=$C155,$E$5+$E155,0),2),ROUND(N154+M155,2)),0)</f>
        <v>0</v>
      </c>
      <c r="M155" s="24">
        <f>IF(N154&gt;0,ROUND(ROUND(N154*100,0)*ROUND(L$7*10000,0)/12000000,0)/100,0)</f>
        <v>0</v>
      </c>
      <c r="N155" s="24">
        <f>IF(N154&gt;0,ROUND(N154+M155-L155,2),0)</f>
        <v>0</v>
      </c>
      <c r="O155" s="24">
        <f>IF(Q154&gt;0,MIN(ROUND(O$6+IF(O$5=$C155,$E$5+$E155,0),2),ROUND(Q154+P155,2)),0)</f>
        <v>0</v>
      </c>
      <c r="P155" s="24">
        <f>IF(Q154&gt;0,ROUND(ROUND(Q154*100,0)*ROUND(O$7*10000,0)/12000000,0)/100,0)</f>
        <v>0</v>
      </c>
      <c r="Q155" s="24">
        <f>IF(Q154&gt;0,ROUND(Q154+P155-O155,2),0)</f>
        <v>0</v>
      </c>
      <c r="R155" s="24">
        <f>IF(T154&gt;0,MIN(ROUND(R$6+IF(R$5=$C155,$E$5+$E155,0),2),ROUND(T154+S155,2)),0)</f>
        <v>0</v>
      </c>
      <c r="S155" s="24">
        <f>IF(T154&gt;0,ROUND(ROUND(T154*100,0)*ROUND(R$7*10000,0)/12000000,0)/100,0)</f>
        <v>0</v>
      </c>
      <c r="T155" s="24">
        <f>IF(T154&gt;0,ROUND(T154+S155-R155,2),0)</f>
        <v>0</v>
      </c>
      <c r="U155" s="24">
        <f>IF(W154&gt;0,MIN(ROUND(U$6+IF(U$5=$C155,$E$5+$E155,0),2),ROUND(W154+V155,2)),0)</f>
        <v>0</v>
      </c>
      <c r="V155" s="24">
        <f>IF(W154&gt;0,ROUND(ROUND(W154*100,0)*ROUND(U$7*10000,0)/12000000,0)/100,0)</f>
        <v>0</v>
      </c>
      <c r="W155" s="24">
        <f>IF(W154&gt;0,ROUND(W154+V155-U155,2),0)</f>
        <v>0</v>
      </c>
      <c r="X155" s="24">
        <f>IF(Z154&gt;0,MIN(ROUND(X$6+IF(X$5=$C155,$E$5+$E155,0),2),ROUND(Z154+Y155,2)),0)</f>
        <v>0</v>
      </c>
      <c r="Y155" s="24">
        <f>IF(Z154&gt;0,ROUND(ROUND(Z154*100,0)*ROUND(X$7*10000,0)/12000000,0)/100,0)</f>
        <v>0</v>
      </c>
      <c r="Z155" s="24">
        <f>IF(Z154&gt;0,ROUND(Z154+Y155-X155,2),0)</f>
        <v>0</v>
      </c>
      <c r="AA155" s="24">
        <f>IF(AC154&gt;0,MIN(ROUND(AA$6+IF(AA$5=$C155,$E$5+$E155,0),2),ROUND(AC154+AB155,2)),0)</f>
        <v>0</v>
      </c>
      <c r="AB155" s="24">
        <f>IF(AC154&gt;0,ROUND(ROUND(AC154*100,0)*ROUND(AA$7*10000,0)/12000000,0)/100,0)</f>
        <v>0</v>
      </c>
      <c r="AC155" s="24">
        <f>IF(AC154&gt;0,ROUND(AC154+AB155-AA155,2),0)</f>
        <v>0</v>
      </c>
      <c r="AD155" s="24">
        <f>IF(AF154&gt;0,MIN(ROUND(AD$6+IF(AD$5=$C155,$E$5+$E155,0),2),ROUND(AF154+AE155,2)),0)</f>
        <v>0</v>
      </c>
      <c r="AE155" s="24">
        <f>IF(AF154&gt;0,ROUND(ROUND(AF154*100,0)*ROUND(AD$7*10000,0)/12000000,0)/100,0)</f>
        <v>0</v>
      </c>
      <c r="AF155" s="24">
        <f>IF(AF154&gt;0,ROUND(AF154+AE155-AD155,2),0)</f>
        <v>0</v>
      </c>
      <c r="AG155" s="24">
        <f>IF(AI154&gt;0,MIN(ROUND(AG$6+IF(AG$5=$C155,$E$5+$E155,0),2),ROUND(AI154+AH155,2)),0)</f>
        <v>0</v>
      </c>
      <c r="AH155" s="24">
        <f>IF(AI154&gt;0,ROUND(ROUND(AI154*100,0)*ROUND(AG$7*10000,0)/12000000,0)/100,0)</f>
        <v>0</v>
      </c>
      <c r="AI155" s="24">
        <f>IF(AI154&gt;0,ROUND(AI154+AH155-AG155,2),0)</f>
        <v>0</v>
      </c>
      <c r="AJ155" s="24">
        <f>IF(AL154&gt;0,MIN(ROUND(AJ$6+IF(AJ$5=$C155,$E$5+$E155,0),2),ROUND(AL154+AK155,2)),0)</f>
        <v>0</v>
      </c>
      <c r="AK155" s="24">
        <f>IF(AL154&gt;0,ROUND(ROUND(AL154*100,0)*ROUND(AJ$7*10000,0)/12000000,0)/100,0)</f>
        <v>0</v>
      </c>
      <c r="AL155" s="24">
        <f>IF(AL154&gt;0,ROUND(AL154+AK155-AJ155,2),0)</f>
        <v>0</v>
      </c>
    </row>
    <row r="156" spans="1:38" x14ac:dyDescent="0.25">
      <c r="A156" s="17" t="str">
        <f>IF(F156&gt;0,146,"")</f>
        <v/>
      </c>
      <c r="B156" s="18" t="str">
        <f>IF(F156&gt;0,EDATE($E$6,146),"")</f>
        <v/>
      </c>
      <c r="C156" s="21">
        <f>IF(H155&gt;0,MIN(IF(K155&gt;0,I$5,99),IF(N155&gt;0,L$5,99),IF(Q155&gt;0,O$5,99),IF(T155&gt;0,R$5,99),IF(W155&gt;0,U$5,99),IF(Z155&gt;0,X$5,99),IF(AC155&gt;0,AA$5,99),IF(AF155&gt;0,AD$5,99),IF(AI155&gt;0,AG$5,99),IF(AL155&gt;0,AJ$5,99)),0)</f>
        <v>0</v>
      </c>
      <c r="D156" t="str">
        <f>IF(C156&gt;0,INDEX($I$4:$AL$4,1,MATCH(C156,$I$5:$AL$5,0)),"")</f>
        <v/>
      </c>
      <c r="E156" s="24">
        <f>ROUND(IF(AND(I$8&gt;0,K155=0),I$6,0)+IF(AND(L$8&gt;0,N155=0),L$6,0)+IF(AND(O$8&gt;0,Q155=0),O$6,0)+IF(AND(R$8&gt;0,T155=0),R$6,0)+IF(AND(U$8&gt;0,W155=0),U$6,0)+IF(AND(X$8&gt;0,Z155=0),X$6,0)+IF(AND(AA$8&gt;0,AC155=0),AA$6,0)+IF(AND(AD$8&gt;0,AF155=0),AD$6,0)+IF(AND(AG$8&gt;0,AI155=0),AG$6,0)+IF(AND(AJ$8&gt;0,AL155=0),AJ$6,0),2)</f>
        <v>330</v>
      </c>
      <c r="F156" s="24">
        <f>ROUND(I156+L156+O156+R156+U156+X156+AA156+AD156+AG156+AJ156,2)</f>
        <v>0</v>
      </c>
      <c r="G156" s="24">
        <f>ROUND(J156+M156+P156+S156+V156+Y156+AB156+AE156+AH156+AK156,2)</f>
        <v>0</v>
      </c>
      <c r="H156" s="24">
        <f>ROUND(K156+N156+Q156+T156+W156+Z156+AC156+AF156+AI156+AL156,2)</f>
        <v>0</v>
      </c>
      <c r="I156" s="24">
        <f>IF(K155&gt;0,MIN(ROUND(I$6+IF(I$5=$C156,$E$5+$E156,0),2),ROUND(K155+J156,2)),0)</f>
        <v>0</v>
      </c>
      <c r="J156" s="24">
        <f>IF(K155&gt;0,ROUND(ROUND(K155*100,0)*ROUND(I$7*10000,0)/12000000,0)/100,0)</f>
        <v>0</v>
      </c>
      <c r="K156" s="24">
        <f>IF(K155&gt;0,ROUND(K155+J156-I156,2),0)</f>
        <v>0</v>
      </c>
      <c r="L156" s="24">
        <f>IF(N155&gt;0,MIN(ROUND(L$6+IF(L$5=$C156,$E$5+$E156,0),2),ROUND(N155+M156,2)),0)</f>
        <v>0</v>
      </c>
      <c r="M156" s="24">
        <f>IF(N155&gt;0,ROUND(ROUND(N155*100,0)*ROUND(L$7*10000,0)/12000000,0)/100,0)</f>
        <v>0</v>
      </c>
      <c r="N156" s="24">
        <f>IF(N155&gt;0,ROUND(N155+M156-L156,2),0)</f>
        <v>0</v>
      </c>
      <c r="O156" s="24">
        <f>IF(Q155&gt;0,MIN(ROUND(O$6+IF(O$5=$C156,$E$5+$E156,0),2),ROUND(Q155+P156,2)),0)</f>
        <v>0</v>
      </c>
      <c r="P156" s="24">
        <f>IF(Q155&gt;0,ROUND(ROUND(Q155*100,0)*ROUND(O$7*10000,0)/12000000,0)/100,0)</f>
        <v>0</v>
      </c>
      <c r="Q156" s="24">
        <f>IF(Q155&gt;0,ROUND(Q155+P156-O156,2),0)</f>
        <v>0</v>
      </c>
      <c r="R156" s="24">
        <f>IF(T155&gt;0,MIN(ROUND(R$6+IF(R$5=$C156,$E$5+$E156,0),2),ROUND(T155+S156,2)),0)</f>
        <v>0</v>
      </c>
      <c r="S156" s="24">
        <f>IF(T155&gt;0,ROUND(ROUND(T155*100,0)*ROUND(R$7*10000,0)/12000000,0)/100,0)</f>
        <v>0</v>
      </c>
      <c r="T156" s="24">
        <f>IF(T155&gt;0,ROUND(T155+S156-R156,2),0)</f>
        <v>0</v>
      </c>
      <c r="U156" s="24">
        <f>IF(W155&gt;0,MIN(ROUND(U$6+IF(U$5=$C156,$E$5+$E156,0),2),ROUND(W155+V156,2)),0)</f>
        <v>0</v>
      </c>
      <c r="V156" s="24">
        <f>IF(W155&gt;0,ROUND(ROUND(W155*100,0)*ROUND(U$7*10000,0)/12000000,0)/100,0)</f>
        <v>0</v>
      </c>
      <c r="W156" s="24">
        <f>IF(W155&gt;0,ROUND(W155+V156-U156,2),0)</f>
        <v>0</v>
      </c>
      <c r="X156" s="24">
        <f>IF(Z155&gt;0,MIN(ROUND(X$6+IF(X$5=$C156,$E$5+$E156,0),2),ROUND(Z155+Y156,2)),0)</f>
        <v>0</v>
      </c>
      <c r="Y156" s="24">
        <f>IF(Z155&gt;0,ROUND(ROUND(Z155*100,0)*ROUND(X$7*10000,0)/12000000,0)/100,0)</f>
        <v>0</v>
      </c>
      <c r="Z156" s="24">
        <f>IF(Z155&gt;0,ROUND(Z155+Y156-X156,2),0)</f>
        <v>0</v>
      </c>
      <c r="AA156" s="24">
        <f>IF(AC155&gt;0,MIN(ROUND(AA$6+IF(AA$5=$C156,$E$5+$E156,0),2),ROUND(AC155+AB156,2)),0)</f>
        <v>0</v>
      </c>
      <c r="AB156" s="24">
        <f>IF(AC155&gt;0,ROUND(ROUND(AC155*100,0)*ROUND(AA$7*10000,0)/12000000,0)/100,0)</f>
        <v>0</v>
      </c>
      <c r="AC156" s="24">
        <f>IF(AC155&gt;0,ROUND(AC155+AB156-AA156,2),0)</f>
        <v>0</v>
      </c>
      <c r="AD156" s="24">
        <f>IF(AF155&gt;0,MIN(ROUND(AD$6+IF(AD$5=$C156,$E$5+$E156,0),2),ROUND(AF155+AE156,2)),0)</f>
        <v>0</v>
      </c>
      <c r="AE156" s="24">
        <f>IF(AF155&gt;0,ROUND(ROUND(AF155*100,0)*ROUND(AD$7*10000,0)/12000000,0)/100,0)</f>
        <v>0</v>
      </c>
      <c r="AF156" s="24">
        <f>IF(AF155&gt;0,ROUND(AF155+AE156-AD156,2),0)</f>
        <v>0</v>
      </c>
      <c r="AG156" s="24">
        <f>IF(AI155&gt;0,MIN(ROUND(AG$6+IF(AG$5=$C156,$E$5+$E156,0),2),ROUND(AI155+AH156,2)),0)</f>
        <v>0</v>
      </c>
      <c r="AH156" s="24">
        <f>IF(AI155&gt;0,ROUND(ROUND(AI155*100,0)*ROUND(AG$7*10000,0)/12000000,0)/100,0)</f>
        <v>0</v>
      </c>
      <c r="AI156" s="24">
        <f>IF(AI155&gt;0,ROUND(AI155+AH156-AG156,2),0)</f>
        <v>0</v>
      </c>
      <c r="AJ156" s="24">
        <f>IF(AL155&gt;0,MIN(ROUND(AJ$6+IF(AJ$5=$C156,$E$5+$E156,0),2),ROUND(AL155+AK156,2)),0)</f>
        <v>0</v>
      </c>
      <c r="AK156" s="24">
        <f>IF(AL155&gt;0,ROUND(ROUND(AL155*100,0)*ROUND(AJ$7*10000,0)/12000000,0)/100,0)</f>
        <v>0</v>
      </c>
      <c r="AL156" s="24">
        <f>IF(AL155&gt;0,ROUND(AL155+AK156-AJ156,2),0)</f>
        <v>0</v>
      </c>
    </row>
    <row r="157" spans="1:38" x14ac:dyDescent="0.25">
      <c r="A157" s="17" t="str">
        <f>IF(F157&gt;0,147,"")</f>
        <v/>
      </c>
      <c r="B157" s="18" t="str">
        <f>IF(F157&gt;0,EDATE($E$6,147),"")</f>
        <v/>
      </c>
      <c r="C157" s="21">
        <f>IF(H156&gt;0,MIN(IF(K156&gt;0,I$5,99),IF(N156&gt;0,L$5,99),IF(Q156&gt;0,O$5,99),IF(T156&gt;0,R$5,99),IF(W156&gt;0,U$5,99),IF(Z156&gt;0,X$5,99),IF(AC156&gt;0,AA$5,99),IF(AF156&gt;0,AD$5,99),IF(AI156&gt;0,AG$5,99),IF(AL156&gt;0,AJ$5,99)),0)</f>
        <v>0</v>
      </c>
      <c r="D157" t="str">
        <f>IF(C157&gt;0,INDEX($I$4:$AL$4,1,MATCH(C157,$I$5:$AL$5,0)),"")</f>
        <v/>
      </c>
      <c r="E157" s="24">
        <f>ROUND(IF(AND(I$8&gt;0,K156=0),I$6,0)+IF(AND(L$8&gt;0,N156=0),L$6,0)+IF(AND(O$8&gt;0,Q156=0),O$6,0)+IF(AND(R$8&gt;0,T156=0),R$6,0)+IF(AND(U$8&gt;0,W156=0),U$6,0)+IF(AND(X$8&gt;0,Z156=0),X$6,0)+IF(AND(AA$8&gt;0,AC156=0),AA$6,0)+IF(AND(AD$8&gt;0,AF156=0),AD$6,0)+IF(AND(AG$8&gt;0,AI156=0),AG$6,0)+IF(AND(AJ$8&gt;0,AL156=0),AJ$6,0),2)</f>
        <v>330</v>
      </c>
      <c r="F157" s="24">
        <f>ROUND(I157+L157+O157+R157+U157+X157+AA157+AD157+AG157+AJ157,2)</f>
        <v>0</v>
      </c>
      <c r="G157" s="24">
        <f>ROUND(J157+M157+P157+S157+V157+Y157+AB157+AE157+AH157+AK157,2)</f>
        <v>0</v>
      </c>
      <c r="H157" s="24">
        <f>ROUND(K157+N157+Q157+T157+W157+Z157+AC157+AF157+AI157+AL157,2)</f>
        <v>0</v>
      </c>
      <c r="I157" s="24">
        <f>IF(K156&gt;0,MIN(ROUND(I$6+IF(I$5=$C157,$E$5+$E157,0),2),ROUND(K156+J157,2)),0)</f>
        <v>0</v>
      </c>
      <c r="J157" s="24">
        <f>IF(K156&gt;0,ROUND(ROUND(K156*100,0)*ROUND(I$7*10000,0)/12000000,0)/100,0)</f>
        <v>0</v>
      </c>
      <c r="K157" s="24">
        <f>IF(K156&gt;0,ROUND(K156+J157-I157,2),0)</f>
        <v>0</v>
      </c>
      <c r="L157" s="24">
        <f>IF(N156&gt;0,MIN(ROUND(L$6+IF(L$5=$C157,$E$5+$E157,0),2),ROUND(N156+M157,2)),0)</f>
        <v>0</v>
      </c>
      <c r="M157" s="24">
        <f>IF(N156&gt;0,ROUND(ROUND(N156*100,0)*ROUND(L$7*10000,0)/12000000,0)/100,0)</f>
        <v>0</v>
      </c>
      <c r="N157" s="24">
        <f>IF(N156&gt;0,ROUND(N156+M157-L157,2),0)</f>
        <v>0</v>
      </c>
      <c r="O157" s="24">
        <f>IF(Q156&gt;0,MIN(ROUND(O$6+IF(O$5=$C157,$E$5+$E157,0),2),ROUND(Q156+P157,2)),0)</f>
        <v>0</v>
      </c>
      <c r="P157" s="24">
        <f>IF(Q156&gt;0,ROUND(ROUND(Q156*100,0)*ROUND(O$7*10000,0)/12000000,0)/100,0)</f>
        <v>0</v>
      </c>
      <c r="Q157" s="24">
        <f>IF(Q156&gt;0,ROUND(Q156+P157-O157,2),0)</f>
        <v>0</v>
      </c>
      <c r="R157" s="24">
        <f>IF(T156&gt;0,MIN(ROUND(R$6+IF(R$5=$C157,$E$5+$E157,0),2),ROUND(T156+S157,2)),0)</f>
        <v>0</v>
      </c>
      <c r="S157" s="24">
        <f>IF(T156&gt;0,ROUND(ROUND(T156*100,0)*ROUND(R$7*10000,0)/12000000,0)/100,0)</f>
        <v>0</v>
      </c>
      <c r="T157" s="24">
        <f>IF(T156&gt;0,ROUND(T156+S157-R157,2),0)</f>
        <v>0</v>
      </c>
      <c r="U157" s="24">
        <f>IF(W156&gt;0,MIN(ROUND(U$6+IF(U$5=$C157,$E$5+$E157,0),2),ROUND(W156+V157,2)),0)</f>
        <v>0</v>
      </c>
      <c r="V157" s="24">
        <f>IF(W156&gt;0,ROUND(ROUND(W156*100,0)*ROUND(U$7*10000,0)/12000000,0)/100,0)</f>
        <v>0</v>
      </c>
      <c r="W157" s="24">
        <f>IF(W156&gt;0,ROUND(W156+V157-U157,2),0)</f>
        <v>0</v>
      </c>
      <c r="X157" s="24">
        <f>IF(Z156&gt;0,MIN(ROUND(X$6+IF(X$5=$C157,$E$5+$E157,0),2),ROUND(Z156+Y157,2)),0)</f>
        <v>0</v>
      </c>
      <c r="Y157" s="24">
        <f>IF(Z156&gt;0,ROUND(ROUND(Z156*100,0)*ROUND(X$7*10000,0)/12000000,0)/100,0)</f>
        <v>0</v>
      </c>
      <c r="Z157" s="24">
        <f>IF(Z156&gt;0,ROUND(Z156+Y157-X157,2),0)</f>
        <v>0</v>
      </c>
      <c r="AA157" s="24">
        <f>IF(AC156&gt;0,MIN(ROUND(AA$6+IF(AA$5=$C157,$E$5+$E157,0),2),ROUND(AC156+AB157,2)),0)</f>
        <v>0</v>
      </c>
      <c r="AB157" s="24">
        <f>IF(AC156&gt;0,ROUND(ROUND(AC156*100,0)*ROUND(AA$7*10000,0)/12000000,0)/100,0)</f>
        <v>0</v>
      </c>
      <c r="AC157" s="24">
        <f>IF(AC156&gt;0,ROUND(AC156+AB157-AA157,2),0)</f>
        <v>0</v>
      </c>
      <c r="AD157" s="24">
        <f>IF(AF156&gt;0,MIN(ROUND(AD$6+IF(AD$5=$C157,$E$5+$E157,0),2),ROUND(AF156+AE157,2)),0)</f>
        <v>0</v>
      </c>
      <c r="AE157" s="24">
        <f>IF(AF156&gt;0,ROUND(ROUND(AF156*100,0)*ROUND(AD$7*10000,0)/12000000,0)/100,0)</f>
        <v>0</v>
      </c>
      <c r="AF157" s="24">
        <f>IF(AF156&gt;0,ROUND(AF156+AE157-AD157,2),0)</f>
        <v>0</v>
      </c>
      <c r="AG157" s="24">
        <f>IF(AI156&gt;0,MIN(ROUND(AG$6+IF(AG$5=$C157,$E$5+$E157,0),2),ROUND(AI156+AH157,2)),0)</f>
        <v>0</v>
      </c>
      <c r="AH157" s="24">
        <f>IF(AI156&gt;0,ROUND(ROUND(AI156*100,0)*ROUND(AG$7*10000,0)/12000000,0)/100,0)</f>
        <v>0</v>
      </c>
      <c r="AI157" s="24">
        <f>IF(AI156&gt;0,ROUND(AI156+AH157-AG157,2),0)</f>
        <v>0</v>
      </c>
      <c r="AJ157" s="24">
        <f>IF(AL156&gt;0,MIN(ROUND(AJ$6+IF(AJ$5=$C157,$E$5+$E157,0),2),ROUND(AL156+AK157,2)),0)</f>
        <v>0</v>
      </c>
      <c r="AK157" s="24">
        <f>IF(AL156&gt;0,ROUND(ROUND(AL156*100,0)*ROUND(AJ$7*10000,0)/12000000,0)/100,0)</f>
        <v>0</v>
      </c>
      <c r="AL157" s="24">
        <f>IF(AL156&gt;0,ROUND(AL156+AK157-AJ157,2),0)</f>
        <v>0</v>
      </c>
    </row>
    <row r="158" spans="1:38" x14ac:dyDescent="0.25">
      <c r="A158" s="17" t="str">
        <f>IF(F158&gt;0,148,"")</f>
        <v/>
      </c>
      <c r="B158" s="18" t="str">
        <f>IF(F158&gt;0,EDATE($E$6,148),"")</f>
        <v/>
      </c>
      <c r="C158" s="21">
        <f>IF(H157&gt;0,MIN(IF(K157&gt;0,I$5,99),IF(N157&gt;0,L$5,99),IF(Q157&gt;0,O$5,99),IF(T157&gt;0,R$5,99),IF(W157&gt;0,U$5,99),IF(Z157&gt;0,X$5,99),IF(AC157&gt;0,AA$5,99),IF(AF157&gt;0,AD$5,99),IF(AI157&gt;0,AG$5,99),IF(AL157&gt;0,AJ$5,99)),0)</f>
        <v>0</v>
      </c>
      <c r="D158" t="str">
        <f>IF(C158&gt;0,INDEX($I$4:$AL$4,1,MATCH(C158,$I$5:$AL$5,0)),"")</f>
        <v/>
      </c>
      <c r="E158" s="24">
        <f>ROUND(IF(AND(I$8&gt;0,K157=0),I$6,0)+IF(AND(L$8&gt;0,N157=0),L$6,0)+IF(AND(O$8&gt;0,Q157=0),O$6,0)+IF(AND(R$8&gt;0,T157=0),R$6,0)+IF(AND(U$8&gt;0,W157=0),U$6,0)+IF(AND(X$8&gt;0,Z157=0),X$6,0)+IF(AND(AA$8&gt;0,AC157=0),AA$6,0)+IF(AND(AD$8&gt;0,AF157=0),AD$6,0)+IF(AND(AG$8&gt;0,AI157=0),AG$6,0)+IF(AND(AJ$8&gt;0,AL157=0),AJ$6,0),2)</f>
        <v>330</v>
      </c>
      <c r="F158" s="24">
        <f>ROUND(I158+L158+O158+R158+U158+X158+AA158+AD158+AG158+AJ158,2)</f>
        <v>0</v>
      </c>
      <c r="G158" s="24">
        <f>ROUND(J158+M158+P158+S158+V158+Y158+AB158+AE158+AH158+AK158,2)</f>
        <v>0</v>
      </c>
      <c r="H158" s="24">
        <f>ROUND(K158+N158+Q158+T158+W158+Z158+AC158+AF158+AI158+AL158,2)</f>
        <v>0</v>
      </c>
      <c r="I158" s="24">
        <f>IF(K157&gt;0,MIN(ROUND(I$6+IF(I$5=$C158,$E$5+$E158,0),2),ROUND(K157+J158,2)),0)</f>
        <v>0</v>
      </c>
      <c r="J158" s="24">
        <f>IF(K157&gt;0,ROUND(ROUND(K157*100,0)*ROUND(I$7*10000,0)/12000000,0)/100,0)</f>
        <v>0</v>
      </c>
      <c r="K158" s="24">
        <f>IF(K157&gt;0,ROUND(K157+J158-I158,2),0)</f>
        <v>0</v>
      </c>
      <c r="L158" s="24">
        <f>IF(N157&gt;0,MIN(ROUND(L$6+IF(L$5=$C158,$E$5+$E158,0),2),ROUND(N157+M158,2)),0)</f>
        <v>0</v>
      </c>
      <c r="M158" s="24">
        <f>IF(N157&gt;0,ROUND(ROUND(N157*100,0)*ROUND(L$7*10000,0)/12000000,0)/100,0)</f>
        <v>0</v>
      </c>
      <c r="N158" s="24">
        <f>IF(N157&gt;0,ROUND(N157+M158-L158,2),0)</f>
        <v>0</v>
      </c>
      <c r="O158" s="24">
        <f>IF(Q157&gt;0,MIN(ROUND(O$6+IF(O$5=$C158,$E$5+$E158,0),2),ROUND(Q157+P158,2)),0)</f>
        <v>0</v>
      </c>
      <c r="P158" s="24">
        <f>IF(Q157&gt;0,ROUND(ROUND(Q157*100,0)*ROUND(O$7*10000,0)/12000000,0)/100,0)</f>
        <v>0</v>
      </c>
      <c r="Q158" s="24">
        <f>IF(Q157&gt;0,ROUND(Q157+P158-O158,2),0)</f>
        <v>0</v>
      </c>
      <c r="R158" s="24">
        <f>IF(T157&gt;0,MIN(ROUND(R$6+IF(R$5=$C158,$E$5+$E158,0),2),ROUND(T157+S158,2)),0)</f>
        <v>0</v>
      </c>
      <c r="S158" s="24">
        <f>IF(T157&gt;0,ROUND(ROUND(T157*100,0)*ROUND(R$7*10000,0)/12000000,0)/100,0)</f>
        <v>0</v>
      </c>
      <c r="T158" s="24">
        <f>IF(T157&gt;0,ROUND(T157+S158-R158,2),0)</f>
        <v>0</v>
      </c>
      <c r="U158" s="24">
        <f>IF(W157&gt;0,MIN(ROUND(U$6+IF(U$5=$C158,$E$5+$E158,0),2),ROUND(W157+V158,2)),0)</f>
        <v>0</v>
      </c>
      <c r="V158" s="24">
        <f>IF(W157&gt;0,ROUND(ROUND(W157*100,0)*ROUND(U$7*10000,0)/12000000,0)/100,0)</f>
        <v>0</v>
      </c>
      <c r="W158" s="24">
        <f>IF(W157&gt;0,ROUND(W157+V158-U158,2),0)</f>
        <v>0</v>
      </c>
      <c r="X158" s="24">
        <f>IF(Z157&gt;0,MIN(ROUND(X$6+IF(X$5=$C158,$E$5+$E158,0),2),ROUND(Z157+Y158,2)),0)</f>
        <v>0</v>
      </c>
      <c r="Y158" s="24">
        <f>IF(Z157&gt;0,ROUND(ROUND(Z157*100,0)*ROUND(X$7*10000,0)/12000000,0)/100,0)</f>
        <v>0</v>
      </c>
      <c r="Z158" s="24">
        <f>IF(Z157&gt;0,ROUND(Z157+Y158-X158,2),0)</f>
        <v>0</v>
      </c>
      <c r="AA158" s="24">
        <f>IF(AC157&gt;0,MIN(ROUND(AA$6+IF(AA$5=$C158,$E$5+$E158,0),2),ROUND(AC157+AB158,2)),0)</f>
        <v>0</v>
      </c>
      <c r="AB158" s="24">
        <f>IF(AC157&gt;0,ROUND(ROUND(AC157*100,0)*ROUND(AA$7*10000,0)/12000000,0)/100,0)</f>
        <v>0</v>
      </c>
      <c r="AC158" s="24">
        <f>IF(AC157&gt;0,ROUND(AC157+AB158-AA158,2),0)</f>
        <v>0</v>
      </c>
      <c r="AD158" s="24">
        <f>IF(AF157&gt;0,MIN(ROUND(AD$6+IF(AD$5=$C158,$E$5+$E158,0),2),ROUND(AF157+AE158,2)),0)</f>
        <v>0</v>
      </c>
      <c r="AE158" s="24">
        <f>IF(AF157&gt;0,ROUND(ROUND(AF157*100,0)*ROUND(AD$7*10000,0)/12000000,0)/100,0)</f>
        <v>0</v>
      </c>
      <c r="AF158" s="24">
        <f>IF(AF157&gt;0,ROUND(AF157+AE158-AD158,2),0)</f>
        <v>0</v>
      </c>
      <c r="AG158" s="24">
        <f>IF(AI157&gt;0,MIN(ROUND(AG$6+IF(AG$5=$C158,$E$5+$E158,0),2),ROUND(AI157+AH158,2)),0)</f>
        <v>0</v>
      </c>
      <c r="AH158" s="24">
        <f>IF(AI157&gt;0,ROUND(ROUND(AI157*100,0)*ROUND(AG$7*10000,0)/12000000,0)/100,0)</f>
        <v>0</v>
      </c>
      <c r="AI158" s="24">
        <f>IF(AI157&gt;0,ROUND(AI157+AH158-AG158,2),0)</f>
        <v>0</v>
      </c>
      <c r="AJ158" s="24">
        <f>IF(AL157&gt;0,MIN(ROUND(AJ$6+IF(AJ$5=$C158,$E$5+$E158,0),2),ROUND(AL157+AK158,2)),0)</f>
        <v>0</v>
      </c>
      <c r="AK158" s="24">
        <f>IF(AL157&gt;0,ROUND(ROUND(AL157*100,0)*ROUND(AJ$7*10000,0)/12000000,0)/100,0)</f>
        <v>0</v>
      </c>
      <c r="AL158" s="24">
        <f>IF(AL157&gt;0,ROUND(AL157+AK158-AJ158,2),0)</f>
        <v>0</v>
      </c>
    </row>
    <row r="159" spans="1:38" x14ac:dyDescent="0.25">
      <c r="A159" s="17" t="str">
        <f>IF(F159&gt;0,149,"")</f>
        <v/>
      </c>
      <c r="B159" s="18" t="str">
        <f>IF(F159&gt;0,EDATE($E$6,149),"")</f>
        <v/>
      </c>
      <c r="C159" s="21">
        <f>IF(H158&gt;0,MIN(IF(K158&gt;0,I$5,99),IF(N158&gt;0,L$5,99),IF(Q158&gt;0,O$5,99),IF(T158&gt;0,R$5,99),IF(W158&gt;0,U$5,99),IF(Z158&gt;0,X$5,99),IF(AC158&gt;0,AA$5,99),IF(AF158&gt;0,AD$5,99),IF(AI158&gt;0,AG$5,99),IF(AL158&gt;0,AJ$5,99)),0)</f>
        <v>0</v>
      </c>
      <c r="D159" t="str">
        <f>IF(C159&gt;0,INDEX($I$4:$AL$4,1,MATCH(C159,$I$5:$AL$5,0)),"")</f>
        <v/>
      </c>
      <c r="E159" s="24">
        <f>ROUND(IF(AND(I$8&gt;0,K158=0),I$6,0)+IF(AND(L$8&gt;0,N158=0),L$6,0)+IF(AND(O$8&gt;0,Q158=0),O$6,0)+IF(AND(R$8&gt;0,T158=0),R$6,0)+IF(AND(U$8&gt;0,W158=0),U$6,0)+IF(AND(X$8&gt;0,Z158=0),X$6,0)+IF(AND(AA$8&gt;0,AC158=0),AA$6,0)+IF(AND(AD$8&gt;0,AF158=0),AD$6,0)+IF(AND(AG$8&gt;0,AI158=0),AG$6,0)+IF(AND(AJ$8&gt;0,AL158=0),AJ$6,0),2)</f>
        <v>330</v>
      </c>
      <c r="F159" s="24">
        <f>ROUND(I159+L159+O159+R159+U159+X159+AA159+AD159+AG159+AJ159,2)</f>
        <v>0</v>
      </c>
      <c r="G159" s="24">
        <f>ROUND(J159+M159+P159+S159+V159+Y159+AB159+AE159+AH159+AK159,2)</f>
        <v>0</v>
      </c>
      <c r="H159" s="24">
        <f>ROUND(K159+N159+Q159+T159+W159+Z159+AC159+AF159+AI159+AL159,2)</f>
        <v>0</v>
      </c>
      <c r="I159" s="24">
        <f>IF(K158&gt;0,MIN(ROUND(I$6+IF(I$5=$C159,$E$5+$E159,0),2),ROUND(K158+J159,2)),0)</f>
        <v>0</v>
      </c>
      <c r="J159" s="24">
        <f>IF(K158&gt;0,ROUND(ROUND(K158*100,0)*ROUND(I$7*10000,0)/12000000,0)/100,0)</f>
        <v>0</v>
      </c>
      <c r="K159" s="24">
        <f>IF(K158&gt;0,ROUND(K158+J159-I159,2),0)</f>
        <v>0</v>
      </c>
      <c r="L159" s="24">
        <f>IF(N158&gt;0,MIN(ROUND(L$6+IF(L$5=$C159,$E$5+$E159,0),2),ROUND(N158+M159,2)),0)</f>
        <v>0</v>
      </c>
      <c r="M159" s="24">
        <f>IF(N158&gt;0,ROUND(ROUND(N158*100,0)*ROUND(L$7*10000,0)/12000000,0)/100,0)</f>
        <v>0</v>
      </c>
      <c r="N159" s="24">
        <f>IF(N158&gt;0,ROUND(N158+M159-L159,2),0)</f>
        <v>0</v>
      </c>
      <c r="O159" s="24">
        <f>IF(Q158&gt;0,MIN(ROUND(O$6+IF(O$5=$C159,$E$5+$E159,0),2),ROUND(Q158+P159,2)),0)</f>
        <v>0</v>
      </c>
      <c r="P159" s="24">
        <f>IF(Q158&gt;0,ROUND(ROUND(Q158*100,0)*ROUND(O$7*10000,0)/12000000,0)/100,0)</f>
        <v>0</v>
      </c>
      <c r="Q159" s="24">
        <f>IF(Q158&gt;0,ROUND(Q158+P159-O159,2),0)</f>
        <v>0</v>
      </c>
      <c r="R159" s="24">
        <f>IF(T158&gt;0,MIN(ROUND(R$6+IF(R$5=$C159,$E$5+$E159,0),2),ROUND(T158+S159,2)),0)</f>
        <v>0</v>
      </c>
      <c r="S159" s="24">
        <f>IF(T158&gt;0,ROUND(ROUND(T158*100,0)*ROUND(R$7*10000,0)/12000000,0)/100,0)</f>
        <v>0</v>
      </c>
      <c r="T159" s="24">
        <f>IF(T158&gt;0,ROUND(T158+S159-R159,2),0)</f>
        <v>0</v>
      </c>
      <c r="U159" s="24">
        <f>IF(W158&gt;0,MIN(ROUND(U$6+IF(U$5=$C159,$E$5+$E159,0),2),ROUND(W158+V159,2)),0)</f>
        <v>0</v>
      </c>
      <c r="V159" s="24">
        <f>IF(W158&gt;0,ROUND(ROUND(W158*100,0)*ROUND(U$7*10000,0)/12000000,0)/100,0)</f>
        <v>0</v>
      </c>
      <c r="W159" s="24">
        <f>IF(W158&gt;0,ROUND(W158+V159-U159,2),0)</f>
        <v>0</v>
      </c>
      <c r="X159" s="24">
        <f>IF(Z158&gt;0,MIN(ROUND(X$6+IF(X$5=$C159,$E$5+$E159,0),2),ROUND(Z158+Y159,2)),0)</f>
        <v>0</v>
      </c>
      <c r="Y159" s="24">
        <f>IF(Z158&gt;0,ROUND(ROUND(Z158*100,0)*ROUND(X$7*10000,0)/12000000,0)/100,0)</f>
        <v>0</v>
      </c>
      <c r="Z159" s="24">
        <f>IF(Z158&gt;0,ROUND(Z158+Y159-X159,2),0)</f>
        <v>0</v>
      </c>
      <c r="AA159" s="24">
        <f>IF(AC158&gt;0,MIN(ROUND(AA$6+IF(AA$5=$C159,$E$5+$E159,0),2),ROUND(AC158+AB159,2)),0)</f>
        <v>0</v>
      </c>
      <c r="AB159" s="24">
        <f>IF(AC158&gt;0,ROUND(ROUND(AC158*100,0)*ROUND(AA$7*10000,0)/12000000,0)/100,0)</f>
        <v>0</v>
      </c>
      <c r="AC159" s="24">
        <f>IF(AC158&gt;0,ROUND(AC158+AB159-AA159,2),0)</f>
        <v>0</v>
      </c>
      <c r="AD159" s="24">
        <f>IF(AF158&gt;0,MIN(ROUND(AD$6+IF(AD$5=$C159,$E$5+$E159,0),2),ROUND(AF158+AE159,2)),0)</f>
        <v>0</v>
      </c>
      <c r="AE159" s="24">
        <f>IF(AF158&gt;0,ROUND(ROUND(AF158*100,0)*ROUND(AD$7*10000,0)/12000000,0)/100,0)</f>
        <v>0</v>
      </c>
      <c r="AF159" s="24">
        <f>IF(AF158&gt;0,ROUND(AF158+AE159-AD159,2),0)</f>
        <v>0</v>
      </c>
      <c r="AG159" s="24">
        <f>IF(AI158&gt;0,MIN(ROUND(AG$6+IF(AG$5=$C159,$E$5+$E159,0),2),ROUND(AI158+AH159,2)),0)</f>
        <v>0</v>
      </c>
      <c r="AH159" s="24">
        <f>IF(AI158&gt;0,ROUND(ROUND(AI158*100,0)*ROUND(AG$7*10000,0)/12000000,0)/100,0)</f>
        <v>0</v>
      </c>
      <c r="AI159" s="24">
        <f>IF(AI158&gt;0,ROUND(AI158+AH159-AG159,2),0)</f>
        <v>0</v>
      </c>
      <c r="AJ159" s="24">
        <f>IF(AL158&gt;0,MIN(ROUND(AJ$6+IF(AJ$5=$C159,$E$5+$E159,0),2),ROUND(AL158+AK159,2)),0)</f>
        <v>0</v>
      </c>
      <c r="AK159" s="24">
        <f>IF(AL158&gt;0,ROUND(ROUND(AL158*100,0)*ROUND(AJ$7*10000,0)/12000000,0)/100,0)</f>
        <v>0</v>
      </c>
      <c r="AL159" s="24">
        <f>IF(AL158&gt;0,ROUND(AL158+AK159-AJ159,2),0)</f>
        <v>0</v>
      </c>
    </row>
    <row r="160" spans="1:38" x14ac:dyDescent="0.25">
      <c r="A160" s="17" t="str">
        <f>IF(F160&gt;0,150,"")</f>
        <v/>
      </c>
      <c r="B160" s="18" t="str">
        <f>IF(F160&gt;0,EDATE($E$6,150),"")</f>
        <v/>
      </c>
      <c r="C160" s="21">
        <f>IF(H159&gt;0,MIN(IF(K159&gt;0,I$5,99),IF(N159&gt;0,L$5,99),IF(Q159&gt;0,O$5,99),IF(T159&gt;0,R$5,99),IF(W159&gt;0,U$5,99),IF(Z159&gt;0,X$5,99),IF(AC159&gt;0,AA$5,99),IF(AF159&gt;0,AD$5,99),IF(AI159&gt;0,AG$5,99),IF(AL159&gt;0,AJ$5,99)),0)</f>
        <v>0</v>
      </c>
      <c r="D160" t="str">
        <f>IF(C160&gt;0,INDEX($I$4:$AL$4,1,MATCH(C160,$I$5:$AL$5,0)),"")</f>
        <v/>
      </c>
      <c r="E160" s="24">
        <f>ROUND(IF(AND(I$8&gt;0,K159=0),I$6,0)+IF(AND(L$8&gt;0,N159=0),L$6,0)+IF(AND(O$8&gt;0,Q159=0),O$6,0)+IF(AND(R$8&gt;0,T159=0),R$6,0)+IF(AND(U$8&gt;0,W159=0),U$6,0)+IF(AND(X$8&gt;0,Z159=0),X$6,0)+IF(AND(AA$8&gt;0,AC159=0),AA$6,0)+IF(AND(AD$8&gt;0,AF159=0),AD$6,0)+IF(AND(AG$8&gt;0,AI159=0),AG$6,0)+IF(AND(AJ$8&gt;0,AL159=0),AJ$6,0),2)</f>
        <v>330</v>
      </c>
      <c r="F160" s="24">
        <f>ROUND(I160+L160+O160+R160+U160+X160+AA160+AD160+AG160+AJ160,2)</f>
        <v>0</v>
      </c>
      <c r="G160" s="24">
        <f>ROUND(J160+M160+P160+S160+V160+Y160+AB160+AE160+AH160+AK160,2)</f>
        <v>0</v>
      </c>
      <c r="H160" s="24">
        <f>ROUND(K160+N160+Q160+T160+W160+Z160+AC160+AF160+AI160+AL160,2)</f>
        <v>0</v>
      </c>
      <c r="I160" s="24">
        <f>IF(K159&gt;0,MIN(ROUND(I$6+IF(I$5=$C160,$E$5+$E160,0),2),ROUND(K159+J160,2)),0)</f>
        <v>0</v>
      </c>
      <c r="J160" s="24">
        <f>IF(K159&gt;0,ROUND(ROUND(K159*100,0)*ROUND(I$7*10000,0)/12000000,0)/100,0)</f>
        <v>0</v>
      </c>
      <c r="K160" s="24">
        <f>IF(K159&gt;0,ROUND(K159+J160-I160,2),0)</f>
        <v>0</v>
      </c>
      <c r="L160" s="24">
        <f>IF(N159&gt;0,MIN(ROUND(L$6+IF(L$5=$C160,$E$5+$E160,0),2),ROUND(N159+M160,2)),0)</f>
        <v>0</v>
      </c>
      <c r="M160" s="24">
        <f>IF(N159&gt;0,ROUND(ROUND(N159*100,0)*ROUND(L$7*10000,0)/12000000,0)/100,0)</f>
        <v>0</v>
      </c>
      <c r="N160" s="24">
        <f>IF(N159&gt;0,ROUND(N159+M160-L160,2),0)</f>
        <v>0</v>
      </c>
      <c r="O160" s="24">
        <f>IF(Q159&gt;0,MIN(ROUND(O$6+IF(O$5=$C160,$E$5+$E160,0),2),ROUND(Q159+P160,2)),0)</f>
        <v>0</v>
      </c>
      <c r="P160" s="24">
        <f>IF(Q159&gt;0,ROUND(ROUND(Q159*100,0)*ROUND(O$7*10000,0)/12000000,0)/100,0)</f>
        <v>0</v>
      </c>
      <c r="Q160" s="24">
        <f>IF(Q159&gt;0,ROUND(Q159+P160-O160,2),0)</f>
        <v>0</v>
      </c>
      <c r="R160" s="24">
        <f>IF(T159&gt;0,MIN(ROUND(R$6+IF(R$5=$C160,$E$5+$E160,0),2),ROUND(T159+S160,2)),0)</f>
        <v>0</v>
      </c>
      <c r="S160" s="24">
        <f>IF(T159&gt;0,ROUND(ROUND(T159*100,0)*ROUND(R$7*10000,0)/12000000,0)/100,0)</f>
        <v>0</v>
      </c>
      <c r="T160" s="24">
        <f>IF(T159&gt;0,ROUND(T159+S160-R160,2),0)</f>
        <v>0</v>
      </c>
      <c r="U160" s="24">
        <f>IF(W159&gt;0,MIN(ROUND(U$6+IF(U$5=$C160,$E$5+$E160,0),2),ROUND(W159+V160,2)),0)</f>
        <v>0</v>
      </c>
      <c r="V160" s="24">
        <f>IF(W159&gt;0,ROUND(ROUND(W159*100,0)*ROUND(U$7*10000,0)/12000000,0)/100,0)</f>
        <v>0</v>
      </c>
      <c r="W160" s="24">
        <f>IF(W159&gt;0,ROUND(W159+V160-U160,2),0)</f>
        <v>0</v>
      </c>
      <c r="X160" s="24">
        <f>IF(Z159&gt;0,MIN(ROUND(X$6+IF(X$5=$C160,$E$5+$E160,0),2),ROUND(Z159+Y160,2)),0)</f>
        <v>0</v>
      </c>
      <c r="Y160" s="24">
        <f>IF(Z159&gt;0,ROUND(ROUND(Z159*100,0)*ROUND(X$7*10000,0)/12000000,0)/100,0)</f>
        <v>0</v>
      </c>
      <c r="Z160" s="24">
        <f>IF(Z159&gt;0,ROUND(Z159+Y160-X160,2),0)</f>
        <v>0</v>
      </c>
      <c r="AA160" s="24">
        <f>IF(AC159&gt;0,MIN(ROUND(AA$6+IF(AA$5=$C160,$E$5+$E160,0),2),ROUND(AC159+AB160,2)),0)</f>
        <v>0</v>
      </c>
      <c r="AB160" s="24">
        <f>IF(AC159&gt;0,ROUND(ROUND(AC159*100,0)*ROUND(AA$7*10000,0)/12000000,0)/100,0)</f>
        <v>0</v>
      </c>
      <c r="AC160" s="24">
        <f>IF(AC159&gt;0,ROUND(AC159+AB160-AA160,2),0)</f>
        <v>0</v>
      </c>
      <c r="AD160" s="24">
        <f>IF(AF159&gt;0,MIN(ROUND(AD$6+IF(AD$5=$C160,$E$5+$E160,0),2),ROUND(AF159+AE160,2)),0)</f>
        <v>0</v>
      </c>
      <c r="AE160" s="24">
        <f>IF(AF159&gt;0,ROUND(ROUND(AF159*100,0)*ROUND(AD$7*10000,0)/12000000,0)/100,0)</f>
        <v>0</v>
      </c>
      <c r="AF160" s="24">
        <f>IF(AF159&gt;0,ROUND(AF159+AE160-AD160,2),0)</f>
        <v>0</v>
      </c>
      <c r="AG160" s="24">
        <f>IF(AI159&gt;0,MIN(ROUND(AG$6+IF(AG$5=$C160,$E$5+$E160,0),2),ROUND(AI159+AH160,2)),0)</f>
        <v>0</v>
      </c>
      <c r="AH160" s="24">
        <f>IF(AI159&gt;0,ROUND(ROUND(AI159*100,0)*ROUND(AG$7*10000,0)/12000000,0)/100,0)</f>
        <v>0</v>
      </c>
      <c r="AI160" s="24">
        <f>IF(AI159&gt;0,ROUND(AI159+AH160-AG160,2),0)</f>
        <v>0</v>
      </c>
      <c r="AJ160" s="24">
        <f>IF(AL159&gt;0,MIN(ROUND(AJ$6+IF(AJ$5=$C160,$E$5+$E160,0),2),ROUND(AL159+AK160,2)),0)</f>
        <v>0</v>
      </c>
      <c r="AK160" s="24">
        <f>IF(AL159&gt;0,ROUND(ROUND(AL159*100,0)*ROUND(AJ$7*10000,0)/12000000,0)/100,0)</f>
        <v>0</v>
      </c>
      <c r="AL160" s="24">
        <f>IF(AL159&gt;0,ROUND(AL159+AK160-AJ160,2),0)</f>
        <v>0</v>
      </c>
    </row>
    <row r="161" spans="1:38" x14ac:dyDescent="0.25">
      <c r="A161" s="17" t="str">
        <f>IF(F161&gt;0,151,"")</f>
        <v/>
      </c>
      <c r="B161" s="18" t="str">
        <f>IF(F161&gt;0,EDATE($E$6,151),"")</f>
        <v/>
      </c>
      <c r="C161" s="21">
        <f>IF(H160&gt;0,MIN(IF(K160&gt;0,I$5,99),IF(N160&gt;0,L$5,99),IF(Q160&gt;0,O$5,99),IF(T160&gt;0,R$5,99),IF(W160&gt;0,U$5,99),IF(Z160&gt;0,X$5,99),IF(AC160&gt;0,AA$5,99),IF(AF160&gt;0,AD$5,99),IF(AI160&gt;0,AG$5,99),IF(AL160&gt;0,AJ$5,99)),0)</f>
        <v>0</v>
      </c>
      <c r="D161" t="str">
        <f>IF(C161&gt;0,INDEX($I$4:$AL$4,1,MATCH(C161,$I$5:$AL$5,0)),"")</f>
        <v/>
      </c>
      <c r="E161" s="24">
        <f>ROUND(IF(AND(I$8&gt;0,K160=0),I$6,0)+IF(AND(L$8&gt;0,N160=0),L$6,0)+IF(AND(O$8&gt;0,Q160=0),O$6,0)+IF(AND(R$8&gt;0,T160=0),R$6,0)+IF(AND(U$8&gt;0,W160=0),U$6,0)+IF(AND(X$8&gt;0,Z160=0),X$6,0)+IF(AND(AA$8&gt;0,AC160=0),AA$6,0)+IF(AND(AD$8&gt;0,AF160=0),AD$6,0)+IF(AND(AG$8&gt;0,AI160=0),AG$6,0)+IF(AND(AJ$8&gt;0,AL160=0),AJ$6,0),2)</f>
        <v>330</v>
      </c>
      <c r="F161" s="24">
        <f>ROUND(I161+L161+O161+R161+U161+X161+AA161+AD161+AG161+AJ161,2)</f>
        <v>0</v>
      </c>
      <c r="G161" s="24">
        <f>ROUND(J161+M161+P161+S161+V161+Y161+AB161+AE161+AH161+AK161,2)</f>
        <v>0</v>
      </c>
      <c r="H161" s="24">
        <f>ROUND(K161+N161+Q161+T161+W161+Z161+AC161+AF161+AI161+AL161,2)</f>
        <v>0</v>
      </c>
      <c r="I161" s="24">
        <f>IF(K160&gt;0,MIN(ROUND(I$6+IF(I$5=$C161,$E$5+$E161,0),2),ROUND(K160+J161,2)),0)</f>
        <v>0</v>
      </c>
      <c r="J161" s="24">
        <f>IF(K160&gt;0,ROUND(ROUND(K160*100,0)*ROUND(I$7*10000,0)/12000000,0)/100,0)</f>
        <v>0</v>
      </c>
      <c r="K161" s="24">
        <f>IF(K160&gt;0,ROUND(K160+J161-I161,2),0)</f>
        <v>0</v>
      </c>
      <c r="L161" s="24">
        <f>IF(N160&gt;0,MIN(ROUND(L$6+IF(L$5=$C161,$E$5+$E161,0),2),ROUND(N160+M161,2)),0)</f>
        <v>0</v>
      </c>
      <c r="M161" s="24">
        <f>IF(N160&gt;0,ROUND(ROUND(N160*100,0)*ROUND(L$7*10000,0)/12000000,0)/100,0)</f>
        <v>0</v>
      </c>
      <c r="N161" s="24">
        <f>IF(N160&gt;0,ROUND(N160+M161-L161,2),0)</f>
        <v>0</v>
      </c>
      <c r="O161" s="24">
        <f>IF(Q160&gt;0,MIN(ROUND(O$6+IF(O$5=$C161,$E$5+$E161,0),2),ROUND(Q160+P161,2)),0)</f>
        <v>0</v>
      </c>
      <c r="P161" s="24">
        <f>IF(Q160&gt;0,ROUND(ROUND(Q160*100,0)*ROUND(O$7*10000,0)/12000000,0)/100,0)</f>
        <v>0</v>
      </c>
      <c r="Q161" s="24">
        <f>IF(Q160&gt;0,ROUND(Q160+P161-O161,2),0)</f>
        <v>0</v>
      </c>
      <c r="R161" s="24">
        <f>IF(T160&gt;0,MIN(ROUND(R$6+IF(R$5=$C161,$E$5+$E161,0),2),ROUND(T160+S161,2)),0)</f>
        <v>0</v>
      </c>
      <c r="S161" s="24">
        <f>IF(T160&gt;0,ROUND(ROUND(T160*100,0)*ROUND(R$7*10000,0)/12000000,0)/100,0)</f>
        <v>0</v>
      </c>
      <c r="T161" s="24">
        <f>IF(T160&gt;0,ROUND(T160+S161-R161,2),0)</f>
        <v>0</v>
      </c>
      <c r="U161" s="24">
        <f>IF(W160&gt;0,MIN(ROUND(U$6+IF(U$5=$C161,$E$5+$E161,0),2),ROUND(W160+V161,2)),0)</f>
        <v>0</v>
      </c>
      <c r="V161" s="24">
        <f>IF(W160&gt;0,ROUND(ROUND(W160*100,0)*ROUND(U$7*10000,0)/12000000,0)/100,0)</f>
        <v>0</v>
      </c>
      <c r="W161" s="24">
        <f>IF(W160&gt;0,ROUND(W160+V161-U161,2),0)</f>
        <v>0</v>
      </c>
      <c r="X161" s="24">
        <f>IF(Z160&gt;0,MIN(ROUND(X$6+IF(X$5=$C161,$E$5+$E161,0),2),ROUND(Z160+Y161,2)),0)</f>
        <v>0</v>
      </c>
      <c r="Y161" s="24">
        <f>IF(Z160&gt;0,ROUND(ROUND(Z160*100,0)*ROUND(X$7*10000,0)/12000000,0)/100,0)</f>
        <v>0</v>
      </c>
      <c r="Z161" s="24">
        <f>IF(Z160&gt;0,ROUND(Z160+Y161-X161,2),0)</f>
        <v>0</v>
      </c>
      <c r="AA161" s="24">
        <f>IF(AC160&gt;0,MIN(ROUND(AA$6+IF(AA$5=$C161,$E$5+$E161,0),2),ROUND(AC160+AB161,2)),0)</f>
        <v>0</v>
      </c>
      <c r="AB161" s="24">
        <f>IF(AC160&gt;0,ROUND(ROUND(AC160*100,0)*ROUND(AA$7*10000,0)/12000000,0)/100,0)</f>
        <v>0</v>
      </c>
      <c r="AC161" s="24">
        <f>IF(AC160&gt;0,ROUND(AC160+AB161-AA161,2),0)</f>
        <v>0</v>
      </c>
      <c r="AD161" s="24">
        <f>IF(AF160&gt;0,MIN(ROUND(AD$6+IF(AD$5=$C161,$E$5+$E161,0),2),ROUND(AF160+AE161,2)),0)</f>
        <v>0</v>
      </c>
      <c r="AE161" s="24">
        <f>IF(AF160&gt;0,ROUND(ROUND(AF160*100,0)*ROUND(AD$7*10000,0)/12000000,0)/100,0)</f>
        <v>0</v>
      </c>
      <c r="AF161" s="24">
        <f>IF(AF160&gt;0,ROUND(AF160+AE161-AD161,2),0)</f>
        <v>0</v>
      </c>
      <c r="AG161" s="24">
        <f>IF(AI160&gt;0,MIN(ROUND(AG$6+IF(AG$5=$C161,$E$5+$E161,0),2),ROUND(AI160+AH161,2)),0)</f>
        <v>0</v>
      </c>
      <c r="AH161" s="24">
        <f>IF(AI160&gt;0,ROUND(ROUND(AI160*100,0)*ROUND(AG$7*10000,0)/12000000,0)/100,0)</f>
        <v>0</v>
      </c>
      <c r="AI161" s="24">
        <f>IF(AI160&gt;0,ROUND(AI160+AH161-AG161,2),0)</f>
        <v>0</v>
      </c>
      <c r="AJ161" s="24">
        <f>IF(AL160&gt;0,MIN(ROUND(AJ$6+IF(AJ$5=$C161,$E$5+$E161,0),2),ROUND(AL160+AK161,2)),0)</f>
        <v>0</v>
      </c>
      <c r="AK161" s="24">
        <f>IF(AL160&gt;0,ROUND(ROUND(AL160*100,0)*ROUND(AJ$7*10000,0)/12000000,0)/100,0)</f>
        <v>0</v>
      </c>
      <c r="AL161" s="24">
        <f>IF(AL160&gt;0,ROUND(AL160+AK161-AJ161,2),0)</f>
        <v>0</v>
      </c>
    </row>
    <row r="162" spans="1:38" x14ac:dyDescent="0.25">
      <c r="A162" s="17" t="str">
        <f>IF(F162&gt;0,152,"")</f>
        <v/>
      </c>
      <c r="B162" s="18" t="str">
        <f>IF(F162&gt;0,EDATE($E$6,152),"")</f>
        <v/>
      </c>
      <c r="C162" s="21">
        <f>IF(H161&gt;0,MIN(IF(K161&gt;0,I$5,99),IF(N161&gt;0,L$5,99),IF(Q161&gt;0,O$5,99),IF(T161&gt;0,R$5,99),IF(W161&gt;0,U$5,99),IF(Z161&gt;0,X$5,99),IF(AC161&gt;0,AA$5,99),IF(AF161&gt;0,AD$5,99),IF(AI161&gt;0,AG$5,99),IF(AL161&gt;0,AJ$5,99)),0)</f>
        <v>0</v>
      </c>
      <c r="D162" t="str">
        <f>IF(C162&gt;0,INDEX($I$4:$AL$4,1,MATCH(C162,$I$5:$AL$5,0)),"")</f>
        <v/>
      </c>
      <c r="E162" s="24">
        <f>ROUND(IF(AND(I$8&gt;0,K161=0),I$6,0)+IF(AND(L$8&gt;0,N161=0),L$6,0)+IF(AND(O$8&gt;0,Q161=0),O$6,0)+IF(AND(R$8&gt;0,T161=0),R$6,0)+IF(AND(U$8&gt;0,W161=0),U$6,0)+IF(AND(X$8&gt;0,Z161=0),X$6,0)+IF(AND(AA$8&gt;0,AC161=0),AA$6,0)+IF(AND(AD$8&gt;0,AF161=0),AD$6,0)+IF(AND(AG$8&gt;0,AI161=0),AG$6,0)+IF(AND(AJ$8&gt;0,AL161=0),AJ$6,0),2)</f>
        <v>330</v>
      </c>
      <c r="F162" s="24">
        <f>ROUND(I162+L162+O162+R162+U162+X162+AA162+AD162+AG162+AJ162,2)</f>
        <v>0</v>
      </c>
      <c r="G162" s="24">
        <f>ROUND(J162+M162+P162+S162+V162+Y162+AB162+AE162+AH162+AK162,2)</f>
        <v>0</v>
      </c>
      <c r="H162" s="24">
        <f>ROUND(K162+N162+Q162+T162+W162+Z162+AC162+AF162+AI162+AL162,2)</f>
        <v>0</v>
      </c>
      <c r="I162" s="24">
        <f>IF(K161&gt;0,MIN(ROUND(I$6+IF(I$5=$C162,$E$5+$E162,0),2),ROUND(K161+J162,2)),0)</f>
        <v>0</v>
      </c>
      <c r="J162" s="24">
        <f>IF(K161&gt;0,ROUND(ROUND(K161*100,0)*ROUND(I$7*10000,0)/12000000,0)/100,0)</f>
        <v>0</v>
      </c>
      <c r="K162" s="24">
        <f>IF(K161&gt;0,ROUND(K161+J162-I162,2),0)</f>
        <v>0</v>
      </c>
      <c r="L162" s="24">
        <f>IF(N161&gt;0,MIN(ROUND(L$6+IF(L$5=$C162,$E$5+$E162,0),2),ROUND(N161+M162,2)),0)</f>
        <v>0</v>
      </c>
      <c r="M162" s="24">
        <f>IF(N161&gt;0,ROUND(ROUND(N161*100,0)*ROUND(L$7*10000,0)/12000000,0)/100,0)</f>
        <v>0</v>
      </c>
      <c r="N162" s="24">
        <f>IF(N161&gt;0,ROUND(N161+M162-L162,2),0)</f>
        <v>0</v>
      </c>
      <c r="O162" s="24">
        <f>IF(Q161&gt;0,MIN(ROUND(O$6+IF(O$5=$C162,$E$5+$E162,0),2),ROUND(Q161+P162,2)),0)</f>
        <v>0</v>
      </c>
      <c r="P162" s="24">
        <f>IF(Q161&gt;0,ROUND(ROUND(Q161*100,0)*ROUND(O$7*10000,0)/12000000,0)/100,0)</f>
        <v>0</v>
      </c>
      <c r="Q162" s="24">
        <f>IF(Q161&gt;0,ROUND(Q161+P162-O162,2),0)</f>
        <v>0</v>
      </c>
      <c r="R162" s="24">
        <f>IF(T161&gt;0,MIN(ROUND(R$6+IF(R$5=$C162,$E$5+$E162,0),2),ROUND(T161+S162,2)),0)</f>
        <v>0</v>
      </c>
      <c r="S162" s="24">
        <f>IF(T161&gt;0,ROUND(ROUND(T161*100,0)*ROUND(R$7*10000,0)/12000000,0)/100,0)</f>
        <v>0</v>
      </c>
      <c r="T162" s="24">
        <f>IF(T161&gt;0,ROUND(T161+S162-R162,2),0)</f>
        <v>0</v>
      </c>
      <c r="U162" s="24">
        <f>IF(W161&gt;0,MIN(ROUND(U$6+IF(U$5=$C162,$E$5+$E162,0),2),ROUND(W161+V162,2)),0)</f>
        <v>0</v>
      </c>
      <c r="V162" s="24">
        <f>IF(W161&gt;0,ROUND(ROUND(W161*100,0)*ROUND(U$7*10000,0)/12000000,0)/100,0)</f>
        <v>0</v>
      </c>
      <c r="W162" s="24">
        <f>IF(W161&gt;0,ROUND(W161+V162-U162,2),0)</f>
        <v>0</v>
      </c>
      <c r="X162" s="24">
        <f>IF(Z161&gt;0,MIN(ROUND(X$6+IF(X$5=$C162,$E$5+$E162,0),2),ROUND(Z161+Y162,2)),0)</f>
        <v>0</v>
      </c>
      <c r="Y162" s="24">
        <f>IF(Z161&gt;0,ROUND(ROUND(Z161*100,0)*ROUND(X$7*10000,0)/12000000,0)/100,0)</f>
        <v>0</v>
      </c>
      <c r="Z162" s="24">
        <f>IF(Z161&gt;0,ROUND(Z161+Y162-X162,2),0)</f>
        <v>0</v>
      </c>
      <c r="AA162" s="24">
        <f>IF(AC161&gt;0,MIN(ROUND(AA$6+IF(AA$5=$C162,$E$5+$E162,0),2),ROUND(AC161+AB162,2)),0)</f>
        <v>0</v>
      </c>
      <c r="AB162" s="24">
        <f>IF(AC161&gt;0,ROUND(ROUND(AC161*100,0)*ROUND(AA$7*10000,0)/12000000,0)/100,0)</f>
        <v>0</v>
      </c>
      <c r="AC162" s="24">
        <f>IF(AC161&gt;0,ROUND(AC161+AB162-AA162,2),0)</f>
        <v>0</v>
      </c>
      <c r="AD162" s="24">
        <f>IF(AF161&gt;0,MIN(ROUND(AD$6+IF(AD$5=$C162,$E$5+$E162,0),2),ROUND(AF161+AE162,2)),0)</f>
        <v>0</v>
      </c>
      <c r="AE162" s="24">
        <f>IF(AF161&gt;0,ROUND(ROUND(AF161*100,0)*ROUND(AD$7*10000,0)/12000000,0)/100,0)</f>
        <v>0</v>
      </c>
      <c r="AF162" s="24">
        <f>IF(AF161&gt;0,ROUND(AF161+AE162-AD162,2),0)</f>
        <v>0</v>
      </c>
      <c r="AG162" s="24">
        <f>IF(AI161&gt;0,MIN(ROUND(AG$6+IF(AG$5=$C162,$E$5+$E162,0),2),ROUND(AI161+AH162,2)),0)</f>
        <v>0</v>
      </c>
      <c r="AH162" s="24">
        <f>IF(AI161&gt;0,ROUND(ROUND(AI161*100,0)*ROUND(AG$7*10000,0)/12000000,0)/100,0)</f>
        <v>0</v>
      </c>
      <c r="AI162" s="24">
        <f>IF(AI161&gt;0,ROUND(AI161+AH162-AG162,2),0)</f>
        <v>0</v>
      </c>
      <c r="AJ162" s="24">
        <f>IF(AL161&gt;0,MIN(ROUND(AJ$6+IF(AJ$5=$C162,$E$5+$E162,0),2),ROUND(AL161+AK162,2)),0)</f>
        <v>0</v>
      </c>
      <c r="AK162" s="24">
        <f>IF(AL161&gt;0,ROUND(ROUND(AL161*100,0)*ROUND(AJ$7*10000,0)/12000000,0)/100,0)</f>
        <v>0</v>
      </c>
      <c r="AL162" s="24">
        <f>IF(AL161&gt;0,ROUND(AL161+AK162-AJ162,2),0)</f>
        <v>0</v>
      </c>
    </row>
    <row r="163" spans="1:38" x14ac:dyDescent="0.25">
      <c r="A163" s="17" t="str">
        <f>IF(F163&gt;0,153,"")</f>
        <v/>
      </c>
      <c r="B163" s="18" t="str">
        <f>IF(F163&gt;0,EDATE($E$6,153),"")</f>
        <v/>
      </c>
      <c r="C163" s="21">
        <f>IF(H162&gt;0,MIN(IF(K162&gt;0,I$5,99),IF(N162&gt;0,L$5,99),IF(Q162&gt;0,O$5,99),IF(T162&gt;0,R$5,99),IF(W162&gt;0,U$5,99),IF(Z162&gt;0,X$5,99),IF(AC162&gt;0,AA$5,99),IF(AF162&gt;0,AD$5,99),IF(AI162&gt;0,AG$5,99),IF(AL162&gt;0,AJ$5,99)),0)</f>
        <v>0</v>
      </c>
      <c r="D163" t="str">
        <f>IF(C163&gt;0,INDEX($I$4:$AL$4,1,MATCH(C163,$I$5:$AL$5,0)),"")</f>
        <v/>
      </c>
      <c r="E163" s="24">
        <f>ROUND(IF(AND(I$8&gt;0,K162=0),I$6,0)+IF(AND(L$8&gt;0,N162=0),L$6,0)+IF(AND(O$8&gt;0,Q162=0),O$6,0)+IF(AND(R$8&gt;0,T162=0),R$6,0)+IF(AND(U$8&gt;0,W162=0),U$6,0)+IF(AND(X$8&gt;0,Z162=0),X$6,0)+IF(AND(AA$8&gt;0,AC162=0),AA$6,0)+IF(AND(AD$8&gt;0,AF162=0),AD$6,0)+IF(AND(AG$8&gt;0,AI162=0),AG$6,0)+IF(AND(AJ$8&gt;0,AL162=0),AJ$6,0),2)</f>
        <v>330</v>
      </c>
      <c r="F163" s="24">
        <f>ROUND(I163+L163+O163+R163+U163+X163+AA163+AD163+AG163+AJ163,2)</f>
        <v>0</v>
      </c>
      <c r="G163" s="24">
        <f>ROUND(J163+M163+P163+S163+V163+Y163+AB163+AE163+AH163+AK163,2)</f>
        <v>0</v>
      </c>
      <c r="H163" s="24">
        <f>ROUND(K163+N163+Q163+T163+W163+Z163+AC163+AF163+AI163+AL163,2)</f>
        <v>0</v>
      </c>
      <c r="I163" s="24">
        <f>IF(K162&gt;0,MIN(ROUND(I$6+IF(I$5=$C163,$E$5+$E163,0),2),ROUND(K162+J163,2)),0)</f>
        <v>0</v>
      </c>
      <c r="J163" s="24">
        <f>IF(K162&gt;0,ROUND(ROUND(K162*100,0)*ROUND(I$7*10000,0)/12000000,0)/100,0)</f>
        <v>0</v>
      </c>
      <c r="K163" s="24">
        <f>IF(K162&gt;0,ROUND(K162+J163-I163,2),0)</f>
        <v>0</v>
      </c>
      <c r="L163" s="24">
        <f>IF(N162&gt;0,MIN(ROUND(L$6+IF(L$5=$C163,$E$5+$E163,0),2),ROUND(N162+M163,2)),0)</f>
        <v>0</v>
      </c>
      <c r="M163" s="24">
        <f>IF(N162&gt;0,ROUND(ROUND(N162*100,0)*ROUND(L$7*10000,0)/12000000,0)/100,0)</f>
        <v>0</v>
      </c>
      <c r="N163" s="24">
        <f>IF(N162&gt;0,ROUND(N162+M163-L163,2),0)</f>
        <v>0</v>
      </c>
      <c r="O163" s="24">
        <f>IF(Q162&gt;0,MIN(ROUND(O$6+IF(O$5=$C163,$E$5+$E163,0),2),ROUND(Q162+P163,2)),0)</f>
        <v>0</v>
      </c>
      <c r="P163" s="24">
        <f>IF(Q162&gt;0,ROUND(ROUND(Q162*100,0)*ROUND(O$7*10000,0)/12000000,0)/100,0)</f>
        <v>0</v>
      </c>
      <c r="Q163" s="24">
        <f>IF(Q162&gt;0,ROUND(Q162+P163-O163,2),0)</f>
        <v>0</v>
      </c>
      <c r="R163" s="24">
        <f>IF(T162&gt;0,MIN(ROUND(R$6+IF(R$5=$C163,$E$5+$E163,0),2),ROUND(T162+S163,2)),0)</f>
        <v>0</v>
      </c>
      <c r="S163" s="24">
        <f>IF(T162&gt;0,ROUND(ROUND(T162*100,0)*ROUND(R$7*10000,0)/12000000,0)/100,0)</f>
        <v>0</v>
      </c>
      <c r="T163" s="24">
        <f>IF(T162&gt;0,ROUND(T162+S163-R163,2),0)</f>
        <v>0</v>
      </c>
      <c r="U163" s="24">
        <f>IF(W162&gt;0,MIN(ROUND(U$6+IF(U$5=$C163,$E$5+$E163,0),2),ROUND(W162+V163,2)),0)</f>
        <v>0</v>
      </c>
      <c r="V163" s="24">
        <f>IF(W162&gt;0,ROUND(ROUND(W162*100,0)*ROUND(U$7*10000,0)/12000000,0)/100,0)</f>
        <v>0</v>
      </c>
      <c r="W163" s="24">
        <f>IF(W162&gt;0,ROUND(W162+V163-U163,2),0)</f>
        <v>0</v>
      </c>
      <c r="X163" s="24">
        <f>IF(Z162&gt;0,MIN(ROUND(X$6+IF(X$5=$C163,$E$5+$E163,0),2),ROUND(Z162+Y163,2)),0)</f>
        <v>0</v>
      </c>
      <c r="Y163" s="24">
        <f>IF(Z162&gt;0,ROUND(ROUND(Z162*100,0)*ROUND(X$7*10000,0)/12000000,0)/100,0)</f>
        <v>0</v>
      </c>
      <c r="Z163" s="24">
        <f>IF(Z162&gt;0,ROUND(Z162+Y163-X163,2),0)</f>
        <v>0</v>
      </c>
      <c r="AA163" s="24">
        <f>IF(AC162&gt;0,MIN(ROUND(AA$6+IF(AA$5=$C163,$E$5+$E163,0),2),ROUND(AC162+AB163,2)),0)</f>
        <v>0</v>
      </c>
      <c r="AB163" s="24">
        <f>IF(AC162&gt;0,ROUND(ROUND(AC162*100,0)*ROUND(AA$7*10000,0)/12000000,0)/100,0)</f>
        <v>0</v>
      </c>
      <c r="AC163" s="24">
        <f>IF(AC162&gt;0,ROUND(AC162+AB163-AA163,2),0)</f>
        <v>0</v>
      </c>
      <c r="AD163" s="24">
        <f>IF(AF162&gt;0,MIN(ROUND(AD$6+IF(AD$5=$C163,$E$5+$E163,0),2),ROUND(AF162+AE163,2)),0)</f>
        <v>0</v>
      </c>
      <c r="AE163" s="24">
        <f>IF(AF162&gt;0,ROUND(ROUND(AF162*100,0)*ROUND(AD$7*10000,0)/12000000,0)/100,0)</f>
        <v>0</v>
      </c>
      <c r="AF163" s="24">
        <f>IF(AF162&gt;0,ROUND(AF162+AE163-AD163,2),0)</f>
        <v>0</v>
      </c>
      <c r="AG163" s="24">
        <f>IF(AI162&gt;0,MIN(ROUND(AG$6+IF(AG$5=$C163,$E$5+$E163,0),2),ROUND(AI162+AH163,2)),0)</f>
        <v>0</v>
      </c>
      <c r="AH163" s="24">
        <f>IF(AI162&gt;0,ROUND(ROUND(AI162*100,0)*ROUND(AG$7*10000,0)/12000000,0)/100,0)</f>
        <v>0</v>
      </c>
      <c r="AI163" s="24">
        <f>IF(AI162&gt;0,ROUND(AI162+AH163-AG163,2),0)</f>
        <v>0</v>
      </c>
      <c r="AJ163" s="24">
        <f>IF(AL162&gt;0,MIN(ROUND(AJ$6+IF(AJ$5=$C163,$E$5+$E163,0),2),ROUND(AL162+AK163,2)),0)</f>
        <v>0</v>
      </c>
      <c r="AK163" s="24">
        <f>IF(AL162&gt;0,ROUND(ROUND(AL162*100,0)*ROUND(AJ$7*10000,0)/12000000,0)/100,0)</f>
        <v>0</v>
      </c>
      <c r="AL163" s="24">
        <f>IF(AL162&gt;0,ROUND(AL162+AK163-AJ163,2),0)</f>
        <v>0</v>
      </c>
    </row>
    <row r="164" spans="1:38" x14ac:dyDescent="0.25">
      <c r="A164" s="17" t="str">
        <f>IF(F164&gt;0,154,"")</f>
        <v/>
      </c>
      <c r="B164" s="18" t="str">
        <f>IF(F164&gt;0,EDATE($E$6,154),"")</f>
        <v/>
      </c>
      <c r="C164" s="21">
        <f>IF(H163&gt;0,MIN(IF(K163&gt;0,I$5,99),IF(N163&gt;0,L$5,99),IF(Q163&gt;0,O$5,99),IF(T163&gt;0,R$5,99),IF(W163&gt;0,U$5,99),IF(Z163&gt;0,X$5,99),IF(AC163&gt;0,AA$5,99),IF(AF163&gt;0,AD$5,99),IF(AI163&gt;0,AG$5,99),IF(AL163&gt;0,AJ$5,99)),0)</f>
        <v>0</v>
      </c>
      <c r="D164" t="str">
        <f>IF(C164&gt;0,INDEX($I$4:$AL$4,1,MATCH(C164,$I$5:$AL$5,0)),"")</f>
        <v/>
      </c>
      <c r="E164" s="24">
        <f>ROUND(IF(AND(I$8&gt;0,K163=0),I$6,0)+IF(AND(L$8&gt;0,N163=0),L$6,0)+IF(AND(O$8&gt;0,Q163=0),O$6,0)+IF(AND(R$8&gt;0,T163=0),R$6,0)+IF(AND(U$8&gt;0,W163=0),U$6,0)+IF(AND(X$8&gt;0,Z163=0),X$6,0)+IF(AND(AA$8&gt;0,AC163=0),AA$6,0)+IF(AND(AD$8&gt;0,AF163=0),AD$6,0)+IF(AND(AG$8&gt;0,AI163=0),AG$6,0)+IF(AND(AJ$8&gt;0,AL163=0),AJ$6,0),2)</f>
        <v>330</v>
      </c>
      <c r="F164" s="24">
        <f>ROUND(I164+L164+O164+R164+U164+X164+AA164+AD164+AG164+AJ164,2)</f>
        <v>0</v>
      </c>
      <c r="G164" s="24">
        <f>ROUND(J164+M164+P164+S164+V164+Y164+AB164+AE164+AH164+AK164,2)</f>
        <v>0</v>
      </c>
      <c r="H164" s="24">
        <f>ROUND(K164+N164+Q164+T164+W164+Z164+AC164+AF164+AI164+AL164,2)</f>
        <v>0</v>
      </c>
      <c r="I164" s="24">
        <f>IF(K163&gt;0,MIN(ROUND(I$6+IF(I$5=$C164,$E$5+$E164,0),2),ROUND(K163+J164,2)),0)</f>
        <v>0</v>
      </c>
      <c r="J164" s="24">
        <f>IF(K163&gt;0,ROUND(ROUND(K163*100,0)*ROUND(I$7*10000,0)/12000000,0)/100,0)</f>
        <v>0</v>
      </c>
      <c r="K164" s="24">
        <f>IF(K163&gt;0,ROUND(K163+J164-I164,2),0)</f>
        <v>0</v>
      </c>
      <c r="L164" s="24">
        <f>IF(N163&gt;0,MIN(ROUND(L$6+IF(L$5=$C164,$E$5+$E164,0),2),ROUND(N163+M164,2)),0)</f>
        <v>0</v>
      </c>
      <c r="M164" s="24">
        <f>IF(N163&gt;0,ROUND(ROUND(N163*100,0)*ROUND(L$7*10000,0)/12000000,0)/100,0)</f>
        <v>0</v>
      </c>
      <c r="N164" s="24">
        <f>IF(N163&gt;0,ROUND(N163+M164-L164,2),0)</f>
        <v>0</v>
      </c>
      <c r="O164" s="24">
        <f>IF(Q163&gt;0,MIN(ROUND(O$6+IF(O$5=$C164,$E$5+$E164,0),2),ROUND(Q163+P164,2)),0)</f>
        <v>0</v>
      </c>
      <c r="P164" s="24">
        <f>IF(Q163&gt;0,ROUND(ROUND(Q163*100,0)*ROUND(O$7*10000,0)/12000000,0)/100,0)</f>
        <v>0</v>
      </c>
      <c r="Q164" s="24">
        <f>IF(Q163&gt;0,ROUND(Q163+P164-O164,2),0)</f>
        <v>0</v>
      </c>
      <c r="R164" s="24">
        <f>IF(T163&gt;0,MIN(ROUND(R$6+IF(R$5=$C164,$E$5+$E164,0),2),ROUND(T163+S164,2)),0)</f>
        <v>0</v>
      </c>
      <c r="S164" s="24">
        <f>IF(T163&gt;0,ROUND(ROUND(T163*100,0)*ROUND(R$7*10000,0)/12000000,0)/100,0)</f>
        <v>0</v>
      </c>
      <c r="T164" s="24">
        <f>IF(T163&gt;0,ROUND(T163+S164-R164,2),0)</f>
        <v>0</v>
      </c>
      <c r="U164" s="24">
        <f>IF(W163&gt;0,MIN(ROUND(U$6+IF(U$5=$C164,$E$5+$E164,0),2),ROUND(W163+V164,2)),0)</f>
        <v>0</v>
      </c>
      <c r="V164" s="24">
        <f>IF(W163&gt;0,ROUND(ROUND(W163*100,0)*ROUND(U$7*10000,0)/12000000,0)/100,0)</f>
        <v>0</v>
      </c>
      <c r="W164" s="24">
        <f>IF(W163&gt;0,ROUND(W163+V164-U164,2),0)</f>
        <v>0</v>
      </c>
      <c r="X164" s="24">
        <f>IF(Z163&gt;0,MIN(ROUND(X$6+IF(X$5=$C164,$E$5+$E164,0),2),ROUND(Z163+Y164,2)),0)</f>
        <v>0</v>
      </c>
      <c r="Y164" s="24">
        <f>IF(Z163&gt;0,ROUND(ROUND(Z163*100,0)*ROUND(X$7*10000,0)/12000000,0)/100,0)</f>
        <v>0</v>
      </c>
      <c r="Z164" s="24">
        <f>IF(Z163&gt;0,ROUND(Z163+Y164-X164,2),0)</f>
        <v>0</v>
      </c>
      <c r="AA164" s="24">
        <f>IF(AC163&gt;0,MIN(ROUND(AA$6+IF(AA$5=$C164,$E$5+$E164,0),2),ROUND(AC163+AB164,2)),0)</f>
        <v>0</v>
      </c>
      <c r="AB164" s="24">
        <f>IF(AC163&gt;0,ROUND(ROUND(AC163*100,0)*ROUND(AA$7*10000,0)/12000000,0)/100,0)</f>
        <v>0</v>
      </c>
      <c r="AC164" s="24">
        <f>IF(AC163&gt;0,ROUND(AC163+AB164-AA164,2),0)</f>
        <v>0</v>
      </c>
      <c r="AD164" s="24">
        <f>IF(AF163&gt;0,MIN(ROUND(AD$6+IF(AD$5=$C164,$E$5+$E164,0),2),ROUND(AF163+AE164,2)),0)</f>
        <v>0</v>
      </c>
      <c r="AE164" s="24">
        <f>IF(AF163&gt;0,ROUND(ROUND(AF163*100,0)*ROUND(AD$7*10000,0)/12000000,0)/100,0)</f>
        <v>0</v>
      </c>
      <c r="AF164" s="24">
        <f>IF(AF163&gt;0,ROUND(AF163+AE164-AD164,2),0)</f>
        <v>0</v>
      </c>
      <c r="AG164" s="24">
        <f>IF(AI163&gt;0,MIN(ROUND(AG$6+IF(AG$5=$C164,$E$5+$E164,0),2),ROUND(AI163+AH164,2)),0)</f>
        <v>0</v>
      </c>
      <c r="AH164" s="24">
        <f>IF(AI163&gt;0,ROUND(ROUND(AI163*100,0)*ROUND(AG$7*10000,0)/12000000,0)/100,0)</f>
        <v>0</v>
      </c>
      <c r="AI164" s="24">
        <f>IF(AI163&gt;0,ROUND(AI163+AH164-AG164,2),0)</f>
        <v>0</v>
      </c>
      <c r="AJ164" s="24">
        <f>IF(AL163&gt;0,MIN(ROUND(AJ$6+IF(AJ$5=$C164,$E$5+$E164,0),2),ROUND(AL163+AK164,2)),0)</f>
        <v>0</v>
      </c>
      <c r="AK164" s="24">
        <f>IF(AL163&gt;0,ROUND(ROUND(AL163*100,0)*ROUND(AJ$7*10000,0)/12000000,0)/100,0)</f>
        <v>0</v>
      </c>
      <c r="AL164" s="24">
        <f>IF(AL163&gt;0,ROUND(AL163+AK164-AJ164,2),0)</f>
        <v>0</v>
      </c>
    </row>
    <row r="165" spans="1:38" x14ac:dyDescent="0.25">
      <c r="A165" s="17" t="str">
        <f>IF(F165&gt;0,155,"")</f>
        <v/>
      </c>
      <c r="B165" s="18" t="str">
        <f>IF(F165&gt;0,EDATE($E$6,155),"")</f>
        <v/>
      </c>
      <c r="C165" s="21">
        <f>IF(H164&gt;0,MIN(IF(K164&gt;0,I$5,99),IF(N164&gt;0,L$5,99),IF(Q164&gt;0,O$5,99),IF(T164&gt;0,R$5,99),IF(W164&gt;0,U$5,99),IF(Z164&gt;0,X$5,99),IF(AC164&gt;0,AA$5,99),IF(AF164&gt;0,AD$5,99),IF(AI164&gt;0,AG$5,99),IF(AL164&gt;0,AJ$5,99)),0)</f>
        <v>0</v>
      </c>
      <c r="D165" t="str">
        <f>IF(C165&gt;0,INDEX($I$4:$AL$4,1,MATCH(C165,$I$5:$AL$5,0)),"")</f>
        <v/>
      </c>
      <c r="E165" s="24">
        <f>ROUND(IF(AND(I$8&gt;0,K164=0),I$6,0)+IF(AND(L$8&gt;0,N164=0),L$6,0)+IF(AND(O$8&gt;0,Q164=0),O$6,0)+IF(AND(R$8&gt;0,T164=0),R$6,0)+IF(AND(U$8&gt;0,W164=0),U$6,0)+IF(AND(X$8&gt;0,Z164=0),X$6,0)+IF(AND(AA$8&gt;0,AC164=0),AA$6,0)+IF(AND(AD$8&gt;0,AF164=0),AD$6,0)+IF(AND(AG$8&gt;0,AI164=0),AG$6,0)+IF(AND(AJ$8&gt;0,AL164=0),AJ$6,0),2)</f>
        <v>330</v>
      </c>
      <c r="F165" s="24">
        <f>ROUND(I165+L165+O165+R165+U165+X165+AA165+AD165+AG165+AJ165,2)</f>
        <v>0</v>
      </c>
      <c r="G165" s="24">
        <f>ROUND(J165+M165+P165+S165+V165+Y165+AB165+AE165+AH165+AK165,2)</f>
        <v>0</v>
      </c>
      <c r="H165" s="24">
        <f>ROUND(K165+N165+Q165+T165+W165+Z165+AC165+AF165+AI165+AL165,2)</f>
        <v>0</v>
      </c>
      <c r="I165" s="24">
        <f>IF(K164&gt;0,MIN(ROUND(I$6+IF(I$5=$C165,$E$5+$E165,0),2),ROUND(K164+J165,2)),0)</f>
        <v>0</v>
      </c>
      <c r="J165" s="24">
        <f>IF(K164&gt;0,ROUND(ROUND(K164*100,0)*ROUND(I$7*10000,0)/12000000,0)/100,0)</f>
        <v>0</v>
      </c>
      <c r="K165" s="24">
        <f>IF(K164&gt;0,ROUND(K164+J165-I165,2),0)</f>
        <v>0</v>
      </c>
      <c r="L165" s="24">
        <f>IF(N164&gt;0,MIN(ROUND(L$6+IF(L$5=$C165,$E$5+$E165,0),2),ROUND(N164+M165,2)),0)</f>
        <v>0</v>
      </c>
      <c r="M165" s="24">
        <f>IF(N164&gt;0,ROUND(ROUND(N164*100,0)*ROUND(L$7*10000,0)/12000000,0)/100,0)</f>
        <v>0</v>
      </c>
      <c r="N165" s="24">
        <f>IF(N164&gt;0,ROUND(N164+M165-L165,2),0)</f>
        <v>0</v>
      </c>
      <c r="O165" s="24">
        <f>IF(Q164&gt;0,MIN(ROUND(O$6+IF(O$5=$C165,$E$5+$E165,0),2),ROUND(Q164+P165,2)),0)</f>
        <v>0</v>
      </c>
      <c r="P165" s="24">
        <f>IF(Q164&gt;0,ROUND(ROUND(Q164*100,0)*ROUND(O$7*10000,0)/12000000,0)/100,0)</f>
        <v>0</v>
      </c>
      <c r="Q165" s="24">
        <f>IF(Q164&gt;0,ROUND(Q164+P165-O165,2),0)</f>
        <v>0</v>
      </c>
      <c r="R165" s="24">
        <f>IF(T164&gt;0,MIN(ROUND(R$6+IF(R$5=$C165,$E$5+$E165,0),2),ROUND(T164+S165,2)),0)</f>
        <v>0</v>
      </c>
      <c r="S165" s="24">
        <f>IF(T164&gt;0,ROUND(ROUND(T164*100,0)*ROUND(R$7*10000,0)/12000000,0)/100,0)</f>
        <v>0</v>
      </c>
      <c r="T165" s="24">
        <f>IF(T164&gt;0,ROUND(T164+S165-R165,2),0)</f>
        <v>0</v>
      </c>
      <c r="U165" s="24">
        <f>IF(W164&gt;0,MIN(ROUND(U$6+IF(U$5=$C165,$E$5+$E165,0),2),ROUND(W164+V165,2)),0)</f>
        <v>0</v>
      </c>
      <c r="V165" s="24">
        <f>IF(W164&gt;0,ROUND(ROUND(W164*100,0)*ROUND(U$7*10000,0)/12000000,0)/100,0)</f>
        <v>0</v>
      </c>
      <c r="W165" s="24">
        <f>IF(W164&gt;0,ROUND(W164+V165-U165,2),0)</f>
        <v>0</v>
      </c>
      <c r="X165" s="24">
        <f>IF(Z164&gt;0,MIN(ROUND(X$6+IF(X$5=$C165,$E$5+$E165,0),2),ROUND(Z164+Y165,2)),0)</f>
        <v>0</v>
      </c>
      <c r="Y165" s="24">
        <f>IF(Z164&gt;0,ROUND(ROUND(Z164*100,0)*ROUND(X$7*10000,0)/12000000,0)/100,0)</f>
        <v>0</v>
      </c>
      <c r="Z165" s="24">
        <f>IF(Z164&gt;0,ROUND(Z164+Y165-X165,2),0)</f>
        <v>0</v>
      </c>
      <c r="AA165" s="24">
        <f>IF(AC164&gt;0,MIN(ROUND(AA$6+IF(AA$5=$C165,$E$5+$E165,0),2),ROUND(AC164+AB165,2)),0)</f>
        <v>0</v>
      </c>
      <c r="AB165" s="24">
        <f>IF(AC164&gt;0,ROUND(ROUND(AC164*100,0)*ROUND(AA$7*10000,0)/12000000,0)/100,0)</f>
        <v>0</v>
      </c>
      <c r="AC165" s="24">
        <f>IF(AC164&gt;0,ROUND(AC164+AB165-AA165,2),0)</f>
        <v>0</v>
      </c>
      <c r="AD165" s="24">
        <f>IF(AF164&gt;0,MIN(ROUND(AD$6+IF(AD$5=$C165,$E$5+$E165,0),2),ROUND(AF164+AE165,2)),0)</f>
        <v>0</v>
      </c>
      <c r="AE165" s="24">
        <f>IF(AF164&gt;0,ROUND(ROUND(AF164*100,0)*ROUND(AD$7*10000,0)/12000000,0)/100,0)</f>
        <v>0</v>
      </c>
      <c r="AF165" s="24">
        <f>IF(AF164&gt;0,ROUND(AF164+AE165-AD165,2),0)</f>
        <v>0</v>
      </c>
      <c r="AG165" s="24">
        <f>IF(AI164&gt;0,MIN(ROUND(AG$6+IF(AG$5=$C165,$E$5+$E165,0),2),ROUND(AI164+AH165,2)),0)</f>
        <v>0</v>
      </c>
      <c r="AH165" s="24">
        <f>IF(AI164&gt;0,ROUND(ROUND(AI164*100,0)*ROUND(AG$7*10000,0)/12000000,0)/100,0)</f>
        <v>0</v>
      </c>
      <c r="AI165" s="24">
        <f>IF(AI164&gt;0,ROUND(AI164+AH165-AG165,2),0)</f>
        <v>0</v>
      </c>
      <c r="AJ165" s="24">
        <f>IF(AL164&gt;0,MIN(ROUND(AJ$6+IF(AJ$5=$C165,$E$5+$E165,0),2),ROUND(AL164+AK165,2)),0)</f>
        <v>0</v>
      </c>
      <c r="AK165" s="24">
        <f>IF(AL164&gt;0,ROUND(ROUND(AL164*100,0)*ROUND(AJ$7*10000,0)/12000000,0)/100,0)</f>
        <v>0</v>
      </c>
      <c r="AL165" s="24">
        <f>IF(AL164&gt;0,ROUND(AL164+AK165-AJ165,2),0)</f>
        <v>0</v>
      </c>
    </row>
    <row r="166" spans="1:38" x14ac:dyDescent="0.25">
      <c r="A166" s="17" t="str">
        <f>IF(F166&gt;0,156,"")</f>
        <v/>
      </c>
      <c r="B166" s="18" t="str">
        <f>IF(F166&gt;0,EDATE($E$6,156),"")</f>
        <v/>
      </c>
      <c r="C166" s="21">
        <f>IF(H165&gt;0,MIN(IF(K165&gt;0,I$5,99),IF(N165&gt;0,L$5,99),IF(Q165&gt;0,O$5,99),IF(T165&gt;0,R$5,99),IF(W165&gt;0,U$5,99),IF(Z165&gt;0,X$5,99),IF(AC165&gt;0,AA$5,99),IF(AF165&gt;0,AD$5,99),IF(AI165&gt;0,AG$5,99),IF(AL165&gt;0,AJ$5,99)),0)</f>
        <v>0</v>
      </c>
      <c r="D166" t="str">
        <f>IF(C166&gt;0,INDEX($I$4:$AL$4,1,MATCH(C166,$I$5:$AL$5,0)),"")</f>
        <v/>
      </c>
      <c r="E166" s="24">
        <f>ROUND(IF(AND(I$8&gt;0,K165=0),I$6,0)+IF(AND(L$8&gt;0,N165=0),L$6,0)+IF(AND(O$8&gt;0,Q165=0),O$6,0)+IF(AND(R$8&gt;0,T165=0),R$6,0)+IF(AND(U$8&gt;0,W165=0),U$6,0)+IF(AND(X$8&gt;0,Z165=0),X$6,0)+IF(AND(AA$8&gt;0,AC165=0),AA$6,0)+IF(AND(AD$8&gt;0,AF165=0),AD$6,0)+IF(AND(AG$8&gt;0,AI165=0),AG$6,0)+IF(AND(AJ$8&gt;0,AL165=0),AJ$6,0),2)</f>
        <v>330</v>
      </c>
      <c r="F166" s="24">
        <f>ROUND(I166+L166+O166+R166+U166+X166+AA166+AD166+AG166+AJ166,2)</f>
        <v>0</v>
      </c>
      <c r="G166" s="24">
        <f>ROUND(J166+M166+P166+S166+V166+Y166+AB166+AE166+AH166+AK166,2)</f>
        <v>0</v>
      </c>
      <c r="H166" s="24">
        <f>ROUND(K166+N166+Q166+T166+W166+Z166+AC166+AF166+AI166+AL166,2)</f>
        <v>0</v>
      </c>
      <c r="I166" s="24">
        <f>IF(K165&gt;0,MIN(ROUND(I$6+IF(I$5=$C166,$E$5+$E166,0),2),ROUND(K165+J166,2)),0)</f>
        <v>0</v>
      </c>
      <c r="J166" s="24">
        <f>IF(K165&gt;0,ROUND(ROUND(K165*100,0)*ROUND(I$7*10000,0)/12000000,0)/100,0)</f>
        <v>0</v>
      </c>
      <c r="K166" s="24">
        <f>IF(K165&gt;0,ROUND(K165+J166-I166,2),0)</f>
        <v>0</v>
      </c>
      <c r="L166" s="24">
        <f>IF(N165&gt;0,MIN(ROUND(L$6+IF(L$5=$C166,$E$5+$E166,0),2),ROUND(N165+M166,2)),0)</f>
        <v>0</v>
      </c>
      <c r="M166" s="24">
        <f>IF(N165&gt;0,ROUND(ROUND(N165*100,0)*ROUND(L$7*10000,0)/12000000,0)/100,0)</f>
        <v>0</v>
      </c>
      <c r="N166" s="24">
        <f>IF(N165&gt;0,ROUND(N165+M166-L166,2),0)</f>
        <v>0</v>
      </c>
      <c r="O166" s="24">
        <f>IF(Q165&gt;0,MIN(ROUND(O$6+IF(O$5=$C166,$E$5+$E166,0),2),ROUND(Q165+P166,2)),0)</f>
        <v>0</v>
      </c>
      <c r="P166" s="24">
        <f>IF(Q165&gt;0,ROUND(ROUND(Q165*100,0)*ROUND(O$7*10000,0)/12000000,0)/100,0)</f>
        <v>0</v>
      </c>
      <c r="Q166" s="24">
        <f>IF(Q165&gt;0,ROUND(Q165+P166-O166,2),0)</f>
        <v>0</v>
      </c>
      <c r="R166" s="24">
        <f>IF(T165&gt;0,MIN(ROUND(R$6+IF(R$5=$C166,$E$5+$E166,0),2),ROUND(T165+S166,2)),0)</f>
        <v>0</v>
      </c>
      <c r="S166" s="24">
        <f>IF(T165&gt;0,ROUND(ROUND(T165*100,0)*ROUND(R$7*10000,0)/12000000,0)/100,0)</f>
        <v>0</v>
      </c>
      <c r="T166" s="24">
        <f>IF(T165&gt;0,ROUND(T165+S166-R166,2),0)</f>
        <v>0</v>
      </c>
      <c r="U166" s="24">
        <f>IF(W165&gt;0,MIN(ROUND(U$6+IF(U$5=$C166,$E$5+$E166,0),2),ROUND(W165+V166,2)),0)</f>
        <v>0</v>
      </c>
      <c r="V166" s="24">
        <f>IF(W165&gt;0,ROUND(ROUND(W165*100,0)*ROUND(U$7*10000,0)/12000000,0)/100,0)</f>
        <v>0</v>
      </c>
      <c r="W166" s="24">
        <f>IF(W165&gt;0,ROUND(W165+V166-U166,2),0)</f>
        <v>0</v>
      </c>
      <c r="X166" s="24">
        <f>IF(Z165&gt;0,MIN(ROUND(X$6+IF(X$5=$C166,$E$5+$E166,0),2),ROUND(Z165+Y166,2)),0)</f>
        <v>0</v>
      </c>
      <c r="Y166" s="24">
        <f>IF(Z165&gt;0,ROUND(ROUND(Z165*100,0)*ROUND(X$7*10000,0)/12000000,0)/100,0)</f>
        <v>0</v>
      </c>
      <c r="Z166" s="24">
        <f>IF(Z165&gt;0,ROUND(Z165+Y166-X166,2),0)</f>
        <v>0</v>
      </c>
      <c r="AA166" s="24">
        <f>IF(AC165&gt;0,MIN(ROUND(AA$6+IF(AA$5=$C166,$E$5+$E166,0),2),ROUND(AC165+AB166,2)),0)</f>
        <v>0</v>
      </c>
      <c r="AB166" s="24">
        <f>IF(AC165&gt;0,ROUND(ROUND(AC165*100,0)*ROUND(AA$7*10000,0)/12000000,0)/100,0)</f>
        <v>0</v>
      </c>
      <c r="AC166" s="24">
        <f>IF(AC165&gt;0,ROUND(AC165+AB166-AA166,2),0)</f>
        <v>0</v>
      </c>
      <c r="AD166" s="24">
        <f>IF(AF165&gt;0,MIN(ROUND(AD$6+IF(AD$5=$C166,$E$5+$E166,0),2),ROUND(AF165+AE166,2)),0)</f>
        <v>0</v>
      </c>
      <c r="AE166" s="24">
        <f>IF(AF165&gt;0,ROUND(ROUND(AF165*100,0)*ROUND(AD$7*10000,0)/12000000,0)/100,0)</f>
        <v>0</v>
      </c>
      <c r="AF166" s="24">
        <f>IF(AF165&gt;0,ROUND(AF165+AE166-AD166,2),0)</f>
        <v>0</v>
      </c>
      <c r="AG166" s="24">
        <f>IF(AI165&gt;0,MIN(ROUND(AG$6+IF(AG$5=$C166,$E$5+$E166,0),2),ROUND(AI165+AH166,2)),0)</f>
        <v>0</v>
      </c>
      <c r="AH166" s="24">
        <f>IF(AI165&gt;0,ROUND(ROUND(AI165*100,0)*ROUND(AG$7*10000,0)/12000000,0)/100,0)</f>
        <v>0</v>
      </c>
      <c r="AI166" s="24">
        <f>IF(AI165&gt;0,ROUND(AI165+AH166-AG166,2),0)</f>
        <v>0</v>
      </c>
      <c r="AJ166" s="24">
        <f>IF(AL165&gt;0,MIN(ROUND(AJ$6+IF(AJ$5=$C166,$E$5+$E166,0),2),ROUND(AL165+AK166,2)),0)</f>
        <v>0</v>
      </c>
      <c r="AK166" s="24">
        <f>IF(AL165&gt;0,ROUND(ROUND(AL165*100,0)*ROUND(AJ$7*10000,0)/12000000,0)/100,0)</f>
        <v>0</v>
      </c>
      <c r="AL166" s="24">
        <f>IF(AL165&gt;0,ROUND(AL165+AK166-AJ166,2),0)</f>
        <v>0</v>
      </c>
    </row>
    <row r="167" spans="1:38" x14ac:dyDescent="0.25">
      <c r="A167" s="17" t="str">
        <f>IF(F167&gt;0,157,"")</f>
        <v/>
      </c>
      <c r="B167" s="18" t="str">
        <f>IF(F167&gt;0,EDATE($E$6,157),"")</f>
        <v/>
      </c>
      <c r="C167" s="21">
        <f>IF(H166&gt;0,MIN(IF(K166&gt;0,I$5,99),IF(N166&gt;0,L$5,99),IF(Q166&gt;0,O$5,99),IF(T166&gt;0,R$5,99),IF(W166&gt;0,U$5,99),IF(Z166&gt;0,X$5,99),IF(AC166&gt;0,AA$5,99),IF(AF166&gt;0,AD$5,99),IF(AI166&gt;0,AG$5,99),IF(AL166&gt;0,AJ$5,99)),0)</f>
        <v>0</v>
      </c>
      <c r="D167" t="str">
        <f>IF(C167&gt;0,INDEX($I$4:$AL$4,1,MATCH(C167,$I$5:$AL$5,0)),"")</f>
        <v/>
      </c>
      <c r="E167" s="24">
        <f>ROUND(IF(AND(I$8&gt;0,K166=0),I$6,0)+IF(AND(L$8&gt;0,N166=0),L$6,0)+IF(AND(O$8&gt;0,Q166=0),O$6,0)+IF(AND(R$8&gt;0,T166=0),R$6,0)+IF(AND(U$8&gt;0,W166=0),U$6,0)+IF(AND(X$8&gt;0,Z166=0),X$6,0)+IF(AND(AA$8&gt;0,AC166=0),AA$6,0)+IF(AND(AD$8&gt;0,AF166=0),AD$6,0)+IF(AND(AG$8&gt;0,AI166=0),AG$6,0)+IF(AND(AJ$8&gt;0,AL166=0),AJ$6,0),2)</f>
        <v>330</v>
      </c>
      <c r="F167" s="24">
        <f>ROUND(I167+L167+O167+R167+U167+X167+AA167+AD167+AG167+AJ167,2)</f>
        <v>0</v>
      </c>
      <c r="G167" s="24">
        <f>ROUND(J167+M167+P167+S167+V167+Y167+AB167+AE167+AH167+AK167,2)</f>
        <v>0</v>
      </c>
      <c r="H167" s="24">
        <f>ROUND(K167+N167+Q167+T167+W167+Z167+AC167+AF167+AI167+AL167,2)</f>
        <v>0</v>
      </c>
      <c r="I167" s="24">
        <f>IF(K166&gt;0,MIN(ROUND(I$6+IF(I$5=$C167,$E$5+$E167,0),2),ROUND(K166+J167,2)),0)</f>
        <v>0</v>
      </c>
      <c r="J167" s="24">
        <f>IF(K166&gt;0,ROUND(ROUND(K166*100,0)*ROUND(I$7*10000,0)/12000000,0)/100,0)</f>
        <v>0</v>
      </c>
      <c r="K167" s="24">
        <f>IF(K166&gt;0,ROUND(K166+J167-I167,2),0)</f>
        <v>0</v>
      </c>
      <c r="L167" s="24">
        <f>IF(N166&gt;0,MIN(ROUND(L$6+IF(L$5=$C167,$E$5+$E167,0),2),ROUND(N166+M167,2)),0)</f>
        <v>0</v>
      </c>
      <c r="M167" s="24">
        <f>IF(N166&gt;0,ROUND(ROUND(N166*100,0)*ROUND(L$7*10000,0)/12000000,0)/100,0)</f>
        <v>0</v>
      </c>
      <c r="N167" s="24">
        <f>IF(N166&gt;0,ROUND(N166+M167-L167,2),0)</f>
        <v>0</v>
      </c>
      <c r="O167" s="24">
        <f>IF(Q166&gt;0,MIN(ROUND(O$6+IF(O$5=$C167,$E$5+$E167,0),2),ROUND(Q166+P167,2)),0)</f>
        <v>0</v>
      </c>
      <c r="P167" s="24">
        <f>IF(Q166&gt;0,ROUND(ROUND(Q166*100,0)*ROUND(O$7*10000,0)/12000000,0)/100,0)</f>
        <v>0</v>
      </c>
      <c r="Q167" s="24">
        <f>IF(Q166&gt;0,ROUND(Q166+P167-O167,2),0)</f>
        <v>0</v>
      </c>
      <c r="R167" s="24">
        <f>IF(T166&gt;0,MIN(ROUND(R$6+IF(R$5=$C167,$E$5+$E167,0),2),ROUND(T166+S167,2)),0)</f>
        <v>0</v>
      </c>
      <c r="S167" s="24">
        <f>IF(T166&gt;0,ROUND(ROUND(T166*100,0)*ROUND(R$7*10000,0)/12000000,0)/100,0)</f>
        <v>0</v>
      </c>
      <c r="T167" s="24">
        <f>IF(T166&gt;0,ROUND(T166+S167-R167,2),0)</f>
        <v>0</v>
      </c>
      <c r="U167" s="24">
        <f>IF(W166&gt;0,MIN(ROUND(U$6+IF(U$5=$C167,$E$5+$E167,0),2),ROUND(W166+V167,2)),0)</f>
        <v>0</v>
      </c>
      <c r="V167" s="24">
        <f>IF(W166&gt;0,ROUND(ROUND(W166*100,0)*ROUND(U$7*10000,0)/12000000,0)/100,0)</f>
        <v>0</v>
      </c>
      <c r="W167" s="24">
        <f>IF(W166&gt;0,ROUND(W166+V167-U167,2),0)</f>
        <v>0</v>
      </c>
      <c r="X167" s="24">
        <f>IF(Z166&gt;0,MIN(ROUND(X$6+IF(X$5=$C167,$E$5+$E167,0),2),ROUND(Z166+Y167,2)),0)</f>
        <v>0</v>
      </c>
      <c r="Y167" s="24">
        <f>IF(Z166&gt;0,ROUND(ROUND(Z166*100,0)*ROUND(X$7*10000,0)/12000000,0)/100,0)</f>
        <v>0</v>
      </c>
      <c r="Z167" s="24">
        <f>IF(Z166&gt;0,ROUND(Z166+Y167-X167,2),0)</f>
        <v>0</v>
      </c>
      <c r="AA167" s="24">
        <f>IF(AC166&gt;0,MIN(ROUND(AA$6+IF(AA$5=$C167,$E$5+$E167,0),2),ROUND(AC166+AB167,2)),0)</f>
        <v>0</v>
      </c>
      <c r="AB167" s="24">
        <f>IF(AC166&gt;0,ROUND(ROUND(AC166*100,0)*ROUND(AA$7*10000,0)/12000000,0)/100,0)</f>
        <v>0</v>
      </c>
      <c r="AC167" s="24">
        <f>IF(AC166&gt;0,ROUND(AC166+AB167-AA167,2),0)</f>
        <v>0</v>
      </c>
      <c r="AD167" s="24">
        <f>IF(AF166&gt;0,MIN(ROUND(AD$6+IF(AD$5=$C167,$E$5+$E167,0),2),ROUND(AF166+AE167,2)),0)</f>
        <v>0</v>
      </c>
      <c r="AE167" s="24">
        <f>IF(AF166&gt;0,ROUND(ROUND(AF166*100,0)*ROUND(AD$7*10000,0)/12000000,0)/100,0)</f>
        <v>0</v>
      </c>
      <c r="AF167" s="24">
        <f>IF(AF166&gt;0,ROUND(AF166+AE167-AD167,2),0)</f>
        <v>0</v>
      </c>
      <c r="AG167" s="24">
        <f>IF(AI166&gt;0,MIN(ROUND(AG$6+IF(AG$5=$C167,$E$5+$E167,0),2),ROUND(AI166+AH167,2)),0)</f>
        <v>0</v>
      </c>
      <c r="AH167" s="24">
        <f>IF(AI166&gt;0,ROUND(ROUND(AI166*100,0)*ROUND(AG$7*10000,0)/12000000,0)/100,0)</f>
        <v>0</v>
      </c>
      <c r="AI167" s="24">
        <f>IF(AI166&gt;0,ROUND(AI166+AH167-AG167,2),0)</f>
        <v>0</v>
      </c>
      <c r="AJ167" s="24">
        <f>IF(AL166&gt;0,MIN(ROUND(AJ$6+IF(AJ$5=$C167,$E$5+$E167,0),2),ROUND(AL166+AK167,2)),0)</f>
        <v>0</v>
      </c>
      <c r="AK167" s="24">
        <f>IF(AL166&gt;0,ROUND(ROUND(AL166*100,0)*ROUND(AJ$7*10000,0)/12000000,0)/100,0)</f>
        <v>0</v>
      </c>
      <c r="AL167" s="24">
        <f>IF(AL166&gt;0,ROUND(AL166+AK167-AJ167,2),0)</f>
        <v>0</v>
      </c>
    </row>
    <row r="168" spans="1:38" x14ac:dyDescent="0.25">
      <c r="A168" s="17" t="str">
        <f>IF(F168&gt;0,158,"")</f>
        <v/>
      </c>
      <c r="B168" s="18" t="str">
        <f>IF(F168&gt;0,EDATE($E$6,158),"")</f>
        <v/>
      </c>
      <c r="C168" s="21">
        <f>IF(H167&gt;0,MIN(IF(K167&gt;0,I$5,99),IF(N167&gt;0,L$5,99),IF(Q167&gt;0,O$5,99),IF(T167&gt;0,R$5,99),IF(W167&gt;0,U$5,99),IF(Z167&gt;0,X$5,99),IF(AC167&gt;0,AA$5,99),IF(AF167&gt;0,AD$5,99),IF(AI167&gt;0,AG$5,99),IF(AL167&gt;0,AJ$5,99)),0)</f>
        <v>0</v>
      </c>
      <c r="D168" t="str">
        <f>IF(C168&gt;0,INDEX($I$4:$AL$4,1,MATCH(C168,$I$5:$AL$5,0)),"")</f>
        <v/>
      </c>
      <c r="E168" s="24">
        <f>ROUND(IF(AND(I$8&gt;0,K167=0),I$6,0)+IF(AND(L$8&gt;0,N167=0),L$6,0)+IF(AND(O$8&gt;0,Q167=0),O$6,0)+IF(AND(R$8&gt;0,T167=0),R$6,0)+IF(AND(U$8&gt;0,W167=0),U$6,0)+IF(AND(X$8&gt;0,Z167=0),X$6,0)+IF(AND(AA$8&gt;0,AC167=0),AA$6,0)+IF(AND(AD$8&gt;0,AF167=0),AD$6,0)+IF(AND(AG$8&gt;0,AI167=0),AG$6,0)+IF(AND(AJ$8&gt;0,AL167=0),AJ$6,0),2)</f>
        <v>330</v>
      </c>
      <c r="F168" s="24">
        <f>ROUND(I168+L168+O168+R168+U168+X168+AA168+AD168+AG168+AJ168,2)</f>
        <v>0</v>
      </c>
      <c r="G168" s="24">
        <f>ROUND(J168+M168+P168+S168+V168+Y168+AB168+AE168+AH168+AK168,2)</f>
        <v>0</v>
      </c>
      <c r="H168" s="24">
        <f>ROUND(K168+N168+Q168+T168+W168+Z168+AC168+AF168+AI168+AL168,2)</f>
        <v>0</v>
      </c>
      <c r="I168" s="24">
        <f>IF(K167&gt;0,MIN(ROUND(I$6+IF(I$5=$C168,$E$5+$E168,0),2),ROUND(K167+J168,2)),0)</f>
        <v>0</v>
      </c>
      <c r="J168" s="24">
        <f>IF(K167&gt;0,ROUND(ROUND(K167*100,0)*ROUND(I$7*10000,0)/12000000,0)/100,0)</f>
        <v>0</v>
      </c>
      <c r="K168" s="24">
        <f>IF(K167&gt;0,ROUND(K167+J168-I168,2),0)</f>
        <v>0</v>
      </c>
      <c r="L168" s="24">
        <f>IF(N167&gt;0,MIN(ROUND(L$6+IF(L$5=$C168,$E$5+$E168,0),2),ROUND(N167+M168,2)),0)</f>
        <v>0</v>
      </c>
      <c r="M168" s="24">
        <f>IF(N167&gt;0,ROUND(ROUND(N167*100,0)*ROUND(L$7*10000,0)/12000000,0)/100,0)</f>
        <v>0</v>
      </c>
      <c r="N168" s="24">
        <f>IF(N167&gt;0,ROUND(N167+M168-L168,2),0)</f>
        <v>0</v>
      </c>
      <c r="O168" s="24">
        <f>IF(Q167&gt;0,MIN(ROUND(O$6+IF(O$5=$C168,$E$5+$E168,0),2),ROUND(Q167+P168,2)),0)</f>
        <v>0</v>
      </c>
      <c r="P168" s="24">
        <f>IF(Q167&gt;0,ROUND(ROUND(Q167*100,0)*ROUND(O$7*10000,0)/12000000,0)/100,0)</f>
        <v>0</v>
      </c>
      <c r="Q168" s="24">
        <f>IF(Q167&gt;0,ROUND(Q167+P168-O168,2),0)</f>
        <v>0</v>
      </c>
      <c r="R168" s="24">
        <f>IF(T167&gt;0,MIN(ROUND(R$6+IF(R$5=$C168,$E$5+$E168,0),2),ROUND(T167+S168,2)),0)</f>
        <v>0</v>
      </c>
      <c r="S168" s="24">
        <f>IF(T167&gt;0,ROUND(ROUND(T167*100,0)*ROUND(R$7*10000,0)/12000000,0)/100,0)</f>
        <v>0</v>
      </c>
      <c r="T168" s="24">
        <f>IF(T167&gt;0,ROUND(T167+S168-R168,2),0)</f>
        <v>0</v>
      </c>
      <c r="U168" s="24">
        <f>IF(W167&gt;0,MIN(ROUND(U$6+IF(U$5=$C168,$E$5+$E168,0),2),ROUND(W167+V168,2)),0)</f>
        <v>0</v>
      </c>
      <c r="V168" s="24">
        <f>IF(W167&gt;0,ROUND(ROUND(W167*100,0)*ROUND(U$7*10000,0)/12000000,0)/100,0)</f>
        <v>0</v>
      </c>
      <c r="W168" s="24">
        <f>IF(W167&gt;0,ROUND(W167+V168-U168,2),0)</f>
        <v>0</v>
      </c>
      <c r="X168" s="24">
        <f>IF(Z167&gt;0,MIN(ROUND(X$6+IF(X$5=$C168,$E$5+$E168,0),2),ROUND(Z167+Y168,2)),0)</f>
        <v>0</v>
      </c>
      <c r="Y168" s="24">
        <f>IF(Z167&gt;0,ROUND(ROUND(Z167*100,0)*ROUND(X$7*10000,0)/12000000,0)/100,0)</f>
        <v>0</v>
      </c>
      <c r="Z168" s="24">
        <f>IF(Z167&gt;0,ROUND(Z167+Y168-X168,2),0)</f>
        <v>0</v>
      </c>
      <c r="AA168" s="24">
        <f>IF(AC167&gt;0,MIN(ROUND(AA$6+IF(AA$5=$C168,$E$5+$E168,0),2),ROUND(AC167+AB168,2)),0)</f>
        <v>0</v>
      </c>
      <c r="AB168" s="24">
        <f>IF(AC167&gt;0,ROUND(ROUND(AC167*100,0)*ROUND(AA$7*10000,0)/12000000,0)/100,0)</f>
        <v>0</v>
      </c>
      <c r="AC168" s="24">
        <f>IF(AC167&gt;0,ROUND(AC167+AB168-AA168,2),0)</f>
        <v>0</v>
      </c>
      <c r="AD168" s="24">
        <f>IF(AF167&gt;0,MIN(ROUND(AD$6+IF(AD$5=$C168,$E$5+$E168,0),2),ROUND(AF167+AE168,2)),0)</f>
        <v>0</v>
      </c>
      <c r="AE168" s="24">
        <f>IF(AF167&gt;0,ROUND(ROUND(AF167*100,0)*ROUND(AD$7*10000,0)/12000000,0)/100,0)</f>
        <v>0</v>
      </c>
      <c r="AF168" s="24">
        <f>IF(AF167&gt;0,ROUND(AF167+AE168-AD168,2),0)</f>
        <v>0</v>
      </c>
      <c r="AG168" s="24">
        <f>IF(AI167&gt;0,MIN(ROUND(AG$6+IF(AG$5=$C168,$E$5+$E168,0),2),ROUND(AI167+AH168,2)),0)</f>
        <v>0</v>
      </c>
      <c r="AH168" s="24">
        <f>IF(AI167&gt;0,ROUND(ROUND(AI167*100,0)*ROUND(AG$7*10000,0)/12000000,0)/100,0)</f>
        <v>0</v>
      </c>
      <c r="AI168" s="24">
        <f>IF(AI167&gt;0,ROUND(AI167+AH168-AG168,2),0)</f>
        <v>0</v>
      </c>
      <c r="AJ168" s="24">
        <f>IF(AL167&gt;0,MIN(ROUND(AJ$6+IF(AJ$5=$C168,$E$5+$E168,0),2),ROUND(AL167+AK168,2)),0)</f>
        <v>0</v>
      </c>
      <c r="AK168" s="24">
        <f>IF(AL167&gt;0,ROUND(ROUND(AL167*100,0)*ROUND(AJ$7*10000,0)/12000000,0)/100,0)</f>
        <v>0</v>
      </c>
      <c r="AL168" s="24">
        <f>IF(AL167&gt;0,ROUND(AL167+AK168-AJ168,2),0)</f>
        <v>0</v>
      </c>
    </row>
    <row r="169" spans="1:38" x14ac:dyDescent="0.25">
      <c r="A169" s="17" t="str">
        <f>IF(F169&gt;0,159,"")</f>
        <v/>
      </c>
      <c r="B169" s="18" t="str">
        <f>IF(F169&gt;0,EDATE($E$6,159),"")</f>
        <v/>
      </c>
      <c r="C169" s="21">
        <f>IF(H168&gt;0,MIN(IF(K168&gt;0,I$5,99),IF(N168&gt;0,L$5,99),IF(Q168&gt;0,O$5,99),IF(T168&gt;0,R$5,99),IF(W168&gt;0,U$5,99),IF(Z168&gt;0,X$5,99),IF(AC168&gt;0,AA$5,99),IF(AF168&gt;0,AD$5,99),IF(AI168&gt;0,AG$5,99),IF(AL168&gt;0,AJ$5,99)),0)</f>
        <v>0</v>
      </c>
      <c r="D169" t="str">
        <f>IF(C169&gt;0,INDEX($I$4:$AL$4,1,MATCH(C169,$I$5:$AL$5,0)),"")</f>
        <v/>
      </c>
      <c r="E169" s="24">
        <f>ROUND(IF(AND(I$8&gt;0,K168=0),I$6,0)+IF(AND(L$8&gt;0,N168=0),L$6,0)+IF(AND(O$8&gt;0,Q168=0),O$6,0)+IF(AND(R$8&gt;0,T168=0),R$6,0)+IF(AND(U$8&gt;0,W168=0),U$6,0)+IF(AND(X$8&gt;0,Z168=0),X$6,0)+IF(AND(AA$8&gt;0,AC168=0),AA$6,0)+IF(AND(AD$8&gt;0,AF168=0),AD$6,0)+IF(AND(AG$8&gt;0,AI168=0),AG$6,0)+IF(AND(AJ$8&gt;0,AL168=0),AJ$6,0),2)</f>
        <v>330</v>
      </c>
      <c r="F169" s="24">
        <f>ROUND(I169+L169+O169+R169+U169+X169+AA169+AD169+AG169+AJ169,2)</f>
        <v>0</v>
      </c>
      <c r="G169" s="24">
        <f>ROUND(J169+M169+P169+S169+V169+Y169+AB169+AE169+AH169+AK169,2)</f>
        <v>0</v>
      </c>
      <c r="H169" s="24">
        <f>ROUND(K169+N169+Q169+T169+W169+Z169+AC169+AF169+AI169+AL169,2)</f>
        <v>0</v>
      </c>
      <c r="I169" s="24">
        <f>IF(K168&gt;0,MIN(ROUND(I$6+IF(I$5=$C169,$E$5+$E169,0),2),ROUND(K168+J169,2)),0)</f>
        <v>0</v>
      </c>
      <c r="J169" s="24">
        <f>IF(K168&gt;0,ROUND(ROUND(K168*100,0)*ROUND(I$7*10000,0)/12000000,0)/100,0)</f>
        <v>0</v>
      </c>
      <c r="K169" s="24">
        <f>IF(K168&gt;0,ROUND(K168+J169-I169,2),0)</f>
        <v>0</v>
      </c>
      <c r="L169" s="24">
        <f>IF(N168&gt;0,MIN(ROUND(L$6+IF(L$5=$C169,$E$5+$E169,0),2),ROUND(N168+M169,2)),0)</f>
        <v>0</v>
      </c>
      <c r="M169" s="24">
        <f>IF(N168&gt;0,ROUND(ROUND(N168*100,0)*ROUND(L$7*10000,0)/12000000,0)/100,0)</f>
        <v>0</v>
      </c>
      <c r="N169" s="24">
        <f>IF(N168&gt;0,ROUND(N168+M169-L169,2),0)</f>
        <v>0</v>
      </c>
      <c r="O169" s="24">
        <f>IF(Q168&gt;0,MIN(ROUND(O$6+IF(O$5=$C169,$E$5+$E169,0),2),ROUND(Q168+P169,2)),0)</f>
        <v>0</v>
      </c>
      <c r="P169" s="24">
        <f>IF(Q168&gt;0,ROUND(ROUND(Q168*100,0)*ROUND(O$7*10000,0)/12000000,0)/100,0)</f>
        <v>0</v>
      </c>
      <c r="Q169" s="24">
        <f>IF(Q168&gt;0,ROUND(Q168+P169-O169,2),0)</f>
        <v>0</v>
      </c>
      <c r="R169" s="24">
        <f>IF(T168&gt;0,MIN(ROUND(R$6+IF(R$5=$C169,$E$5+$E169,0),2),ROUND(T168+S169,2)),0)</f>
        <v>0</v>
      </c>
      <c r="S169" s="24">
        <f>IF(T168&gt;0,ROUND(ROUND(T168*100,0)*ROUND(R$7*10000,0)/12000000,0)/100,0)</f>
        <v>0</v>
      </c>
      <c r="T169" s="24">
        <f>IF(T168&gt;0,ROUND(T168+S169-R169,2),0)</f>
        <v>0</v>
      </c>
      <c r="U169" s="24">
        <f>IF(W168&gt;0,MIN(ROUND(U$6+IF(U$5=$C169,$E$5+$E169,0),2),ROUND(W168+V169,2)),0)</f>
        <v>0</v>
      </c>
      <c r="V169" s="24">
        <f>IF(W168&gt;0,ROUND(ROUND(W168*100,0)*ROUND(U$7*10000,0)/12000000,0)/100,0)</f>
        <v>0</v>
      </c>
      <c r="W169" s="24">
        <f>IF(W168&gt;0,ROUND(W168+V169-U169,2),0)</f>
        <v>0</v>
      </c>
      <c r="X169" s="24">
        <f>IF(Z168&gt;0,MIN(ROUND(X$6+IF(X$5=$C169,$E$5+$E169,0),2),ROUND(Z168+Y169,2)),0)</f>
        <v>0</v>
      </c>
      <c r="Y169" s="24">
        <f>IF(Z168&gt;0,ROUND(ROUND(Z168*100,0)*ROUND(X$7*10000,0)/12000000,0)/100,0)</f>
        <v>0</v>
      </c>
      <c r="Z169" s="24">
        <f>IF(Z168&gt;0,ROUND(Z168+Y169-X169,2),0)</f>
        <v>0</v>
      </c>
      <c r="AA169" s="24">
        <f>IF(AC168&gt;0,MIN(ROUND(AA$6+IF(AA$5=$C169,$E$5+$E169,0),2),ROUND(AC168+AB169,2)),0)</f>
        <v>0</v>
      </c>
      <c r="AB169" s="24">
        <f>IF(AC168&gt;0,ROUND(ROUND(AC168*100,0)*ROUND(AA$7*10000,0)/12000000,0)/100,0)</f>
        <v>0</v>
      </c>
      <c r="AC169" s="24">
        <f>IF(AC168&gt;0,ROUND(AC168+AB169-AA169,2),0)</f>
        <v>0</v>
      </c>
      <c r="AD169" s="24">
        <f>IF(AF168&gt;0,MIN(ROUND(AD$6+IF(AD$5=$C169,$E$5+$E169,0),2),ROUND(AF168+AE169,2)),0)</f>
        <v>0</v>
      </c>
      <c r="AE169" s="24">
        <f>IF(AF168&gt;0,ROUND(ROUND(AF168*100,0)*ROUND(AD$7*10000,0)/12000000,0)/100,0)</f>
        <v>0</v>
      </c>
      <c r="AF169" s="24">
        <f>IF(AF168&gt;0,ROUND(AF168+AE169-AD169,2),0)</f>
        <v>0</v>
      </c>
      <c r="AG169" s="24">
        <f>IF(AI168&gt;0,MIN(ROUND(AG$6+IF(AG$5=$C169,$E$5+$E169,0),2),ROUND(AI168+AH169,2)),0)</f>
        <v>0</v>
      </c>
      <c r="AH169" s="24">
        <f>IF(AI168&gt;0,ROUND(ROUND(AI168*100,0)*ROUND(AG$7*10000,0)/12000000,0)/100,0)</f>
        <v>0</v>
      </c>
      <c r="AI169" s="24">
        <f>IF(AI168&gt;0,ROUND(AI168+AH169-AG169,2),0)</f>
        <v>0</v>
      </c>
      <c r="AJ169" s="24">
        <f>IF(AL168&gt;0,MIN(ROUND(AJ$6+IF(AJ$5=$C169,$E$5+$E169,0),2),ROUND(AL168+AK169,2)),0)</f>
        <v>0</v>
      </c>
      <c r="AK169" s="24">
        <f>IF(AL168&gt;0,ROUND(ROUND(AL168*100,0)*ROUND(AJ$7*10000,0)/12000000,0)/100,0)</f>
        <v>0</v>
      </c>
      <c r="AL169" s="24">
        <f>IF(AL168&gt;0,ROUND(AL168+AK169-AJ169,2),0)</f>
        <v>0</v>
      </c>
    </row>
    <row r="170" spans="1:38" x14ac:dyDescent="0.25">
      <c r="A170" s="17" t="str">
        <f>IF(F170&gt;0,160,"")</f>
        <v/>
      </c>
      <c r="B170" s="18" t="str">
        <f>IF(F170&gt;0,EDATE($E$6,160),"")</f>
        <v/>
      </c>
      <c r="C170" s="21">
        <f>IF(H169&gt;0,MIN(IF(K169&gt;0,I$5,99),IF(N169&gt;0,L$5,99),IF(Q169&gt;0,O$5,99),IF(T169&gt;0,R$5,99),IF(W169&gt;0,U$5,99),IF(Z169&gt;0,X$5,99),IF(AC169&gt;0,AA$5,99),IF(AF169&gt;0,AD$5,99),IF(AI169&gt;0,AG$5,99),IF(AL169&gt;0,AJ$5,99)),0)</f>
        <v>0</v>
      </c>
      <c r="D170" t="str">
        <f>IF(C170&gt;0,INDEX($I$4:$AL$4,1,MATCH(C170,$I$5:$AL$5,0)),"")</f>
        <v/>
      </c>
      <c r="E170" s="24">
        <f>ROUND(IF(AND(I$8&gt;0,K169=0),I$6,0)+IF(AND(L$8&gt;0,N169=0),L$6,0)+IF(AND(O$8&gt;0,Q169=0),O$6,0)+IF(AND(R$8&gt;0,T169=0),R$6,0)+IF(AND(U$8&gt;0,W169=0),U$6,0)+IF(AND(X$8&gt;0,Z169=0),X$6,0)+IF(AND(AA$8&gt;0,AC169=0),AA$6,0)+IF(AND(AD$8&gt;0,AF169=0),AD$6,0)+IF(AND(AG$8&gt;0,AI169=0),AG$6,0)+IF(AND(AJ$8&gt;0,AL169=0),AJ$6,0),2)</f>
        <v>330</v>
      </c>
      <c r="F170" s="24">
        <f>ROUND(I170+L170+O170+R170+U170+X170+AA170+AD170+AG170+AJ170,2)</f>
        <v>0</v>
      </c>
      <c r="G170" s="24">
        <f>ROUND(J170+M170+P170+S170+V170+Y170+AB170+AE170+AH170+AK170,2)</f>
        <v>0</v>
      </c>
      <c r="H170" s="24">
        <f>ROUND(K170+N170+Q170+T170+W170+Z170+AC170+AF170+AI170+AL170,2)</f>
        <v>0</v>
      </c>
      <c r="I170" s="24">
        <f>IF(K169&gt;0,MIN(ROUND(I$6+IF(I$5=$C170,$E$5+$E170,0),2),ROUND(K169+J170,2)),0)</f>
        <v>0</v>
      </c>
      <c r="J170" s="24">
        <f>IF(K169&gt;0,ROUND(ROUND(K169*100,0)*ROUND(I$7*10000,0)/12000000,0)/100,0)</f>
        <v>0</v>
      </c>
      <c r="K170" s="24">
        <f>IF(K169&gt;0,ROUND(K169+J170-I170,2),0)</f>
        <v>0</v>
      </c>
      <c r="L170" s="24">
        <f>IF(N169&gt;0,MIN(ROUND(L$6+IF(L$5=$C170,$E$5+$E170,0),2),ROUND(N169+M170,2)),0)</f>
        <v>0</v>
      </c>
      <c r="M170" s="24">
        <f>IF(N169&gt;0,ROUND(ROUND(N169*100,0)*ROUND(L$7*10000,0)/12000000,0)/100,0)</f>
        <v>0</v>
      </c>
      <c r="N170" s="24">
        <f>IF(N169&gt;0,ROUND(N169+M170-L170,2),0)</f>
        <v>0</v>
      </c>
      <c r="O170" s="24">
        <f>IF(Q169&gt;0,MIN(ROUND(O$6+IF(O$5=$C170,$E$5+$E170,0),2),ROUND(Q169+P170,2)),0)</f>
        <v>0</v>
      </c>
      <c r="P170" s="24">
        <f>IF(Q169&gt;0,ROUND(ROUND(Q169*100,0)*ROUND(O$7*10000,0)/12000000,0)/100,0)</f>
        <v>0</v>
      </c>
      <c r="Q170" s="24">
        <f>IF(Q169&gt;0,ROUND(Q169+P170-O170,2),0)</f>
        <v>0</v>
      </c>
      <c r="R170" s="24">
        <f>IF(T169&gt;0,MIN(ROUND(R$6+IF(R$5=$C170,$E$5+$E170,0),2),ROUND(T169+S170,2)),0)</f>
        <v>0</v>
      </c>
      <c r="S170" s="24">
        <f>IF(T169&gt;0,ROUND(ROUND(T169*100,0)*ROUND(R$7*10000,0)/12000000,0)/100,0)</f>
        <v>0</v>
      </c>
      <c r="T170" s="24">
        <f>IF(T169&gt;0,ROUND(T169+S170-R170,2),0)</f>
        <v>0</v>
      </c>
      <c r="U170" s="24">
        <f>IF(W169&gt;0,MIN(ROUND(U$6+IF(U$5=$C170,$E$5+$E170,0),2),ROUND(W169+V170,2)),0)</f>
        <v>0</v>
      </c>
      <c r="V170" s="24">
        <f>IF(W169&gt;0,ROUND(ROUND(W169*100,0)*ROUND(U$7*10000,0)/12000000,0)/100,0)</f>
        <v>0</v>
      </c>
      <c r="W170" s="24">
        <f>IF(W169&gt;0,ROUND(W169+V170-U170,2),0)</f>
        <v>0</v>
      </c>
      <c r="X170" s="24">
        <f>IF(Z169&gt;0,MIN(ROUND(X$6+IF(X$5=$C170,$E$5+$E170,0),2),ROUND(Z169+Y170,2)),0)</f>
        <v>0</v>
      </c>
      <c r="Y170" s="24">
        <f>IF(Z169&gt;0,ROUND(ROUND(Z169*100,0)*ROUND(X$7*10000,0)/12000000,0)/100,0)</f>
        <v>0</v>
      </c>
      <c r="Z170" s="24">
        <f>IF(Z169&gt;0,ROUND(Z169+Y170-X170,2),0)</f>
        <v>0</v>
      </c>
      <c r="AA170" s="24">
        <f>IF(AC169&gt;0,MIN(ROUND(AA$6+IF(AA$5=$C170,$E$5+$E170,0),2),ROUND(AC169+AB170,2)),0)</f>
        <v>0</v>
      </c>
      <c r="AB170" s="24">
        <f>IF(AC169&gt;0,ROUND(ROUND(AC169*100,0)*ROUND(AA$7*10000,0)/12000000,0)/100,0)</f>
        <v>0</v>
      </c>
      <c r="AC170" s="24">
        <f>IF(AC169&gt;0,ROUND(AC169+AB170-AA170,2),0)</f>
        <v>0</v>
      </c>
      <c r="AD170" s="24">
        <f>IF(AF169&gt;0,MIN(ROUND(AD$6+IF(AD$5=$C170,$E$5+$E170,0),2),ROUND(AF169+AE170,2)),0)</f>
        <v>0</v>
      </c>
      <c r="AE170" s="24">
        <f>IF(AF169&gt;0,ROUND(ROUND(AF169*100,0)*ROUND(AD$7*10000,0)/12000000,0)/100,0)</f>
        <v>0</v>
      </c>
      <c r="AF170" s="24">
        <f>IF(AF169&gt;0,ROUND(AF169+AE170-AD170,2),0)</f>
        <v>0</v>
      </c>
      <c r="AG170" s="24">
        <f>IF(AI169&gt;0,MIN(ROUND(AG$6+IF(AG$5=$C170,$E$5+$E170,0),2),ROUND(AI169+AH170,2)),0)</f>
        <v>0</v>
      </c>
      <c r="AH170" s="24">
        <f>IF(AI169&gt;0,ROUND(ROUND(AI169*100,0)*ROUND(AG$7*10000,0)/12000000,0)/100,0)</f>
        <v>0</v>
      </c>
      <c r="AI170" s="24">
        <f>IF(AI169&gt;0,ROUND(AI169+AH170-AG170,2),0)</f>
        <v>0</v>
      </c>
      <c r="AJ170" s="24">
        <f>IF(AL169&gt;0,MIN(ROUND(AJ$6+IF(AJ$5=$C170,$E$5+$E170,0),2),ROUND(AL169+AK170,2)),0)</f>
        <v>0</v>
      </c>
      <c r="AK170" s="24">
        <f>IF(AL169&gt;0,ROUND(ROUND(AL169*100,0)*ROUND(AJ$7*10000,0)/12000000,0)/100,0)</f>
        <v>0</v>
      </c>
      <c r="AL170" s="24">
        <f>IF(AL169&gt;0,ROUND(AL169+AK170-AJ170,2),0)</f>
        <v>0</v>
      </c>
    </row>
    <row r="171" spans="1:38" x14ac:dyDescent="0.25">
      <c r="A171" s="17" t="str">
        <f>IF(F171&gt;0,161,"")</f>
        <v/>
      </c>
      <c r="B171" s="18" t="str">
        <f>IF(F171&gt;0,EDATE($E$6,161),"")</f>
        <v/>
      </c>
      <c r="C171" s="21">
        <f>IF(H170&gt;0,MIN(IF(K170&gt;0,I$5,99),IF(N170&gt;0,L$5,99),IF(Q170&gt;0,O$5,99),IF(T170&gt;0,R$5,99),IF(W170&gt;0,U$5,99),IF(Z170&gt;0,X$5,99),IF(AC170&gt;0,AA$5,99),IF(AF170&gt;0,AD$5,99),IF(AI170&gt;0,AG$5,99),IF(AL170&gt;0,AJ$5,99)),0)</f>
        <v>0</v>
      </c>
      <c r="D171" t="str">
        <f>IF(C171&gt;0,INDEX($I$4:$AL$4,1,MATCH(C171,$I$5:$AL$5,0)),"")</f>
        <v/>
      </c>
      <c r="E171" s="24">
        <f>ROUND(IF(AND(I$8&gt;0,K170=0),I$6,0)+IF(AND(L$8&gt;0,N170=0),L$6,0)+IF(AND(O$8&gt;0,Q170=0),O$6,0)+IF(AND(R$8&gt;0,T170=0),R$6,0)+IF(AND(U$8&gt;0,W170=0),U$6,0)+IF(AND(X$8&gt;0,Z170=0),X$6,0)+IF(AND(AA$8&gt;0,AC170=0),AA$6,0)+IF(AND(AD$8&gt;0,AF170=0),AD$6,0)+IF(AND(AG$8&gt;0,AI170=0),AG$6,0)+IF(AND(AJ$8&gt;0,AL170=0),AJ$6,0),2)</f>
        <v>330</v>
      </c>
      <c r="F171" s="24">
        <f>ROUND(I171+L171+O171+R171+U171+X171+AA171+AD171+AG171+AJ171,2)</f>
        <v>0</v>
      </c>
      <c r="G171" s="24">
        <f>ROUND(J171+M171+P171+S171+V171+Y171+AB171+AE171+AH171+AK171,2)</f>
        <v>0</v>
      </c>
      <c r="H171" s="24">
        <f>ROUND(K171+N171+Q171+T171+W171+Z171+AC171+AF171+AI171+AL171,2)</f>
        <v>0</v>
      </c>
      <c r="I171" s="24">
        <f>IF(K170&gt;0,MIN(ROUND(I$6+IF(I$5=$C171,$E$5+$E171,0),2),ROUND(K170+J171,2)),0)</f>
        <v>0</v>
      </c>
      <c r="J171" s="24">
        <f>IF(K170&gt;0,ROUND(ROUND(K170*100,0)*ROUND(I$7*10000,0)/12000000,0)/100,0)</f>
        <v>0</v>
      </c>
      <c r="K171" s="24">
        <f>IF(K170&gt;0,ROUND(K170+J171-I171,2),0)</f>
        <v>0</v>
      </c>
      <c r="L171" s="24">
        <f>IF(N170&gt;0,MIN(ROUND(L$6+IF(L$5=$C171,$E$5+$E171,0),2),ROUND(N170+M171,2)),0)</f>
        <v>0</v>
      </c>
      <c r="M171" s="24">
        <f>IF(N170&gt;0,ROUND(ROUND(N170*100,0)*ROUND(L$7*10000,0)/12000000,0)/100,0)</f>
        <v>0</v>
      </c>
      <c r="N171" s="24">
        <f>IF(N170&gt;0,ROUND(N170+M171-L171,2),0)</f>
        <v>0</v>
      </c>
      <c r="O171" s="24">
        <f>IF(Q170&gt;0,MIN(ROUND(O$6+IF(O$5=$C171,$E$5+$E171,0),2),ROUND(Q170+P171,2)),0)</f>
        <v>0</v>
      </c>
      <c r="P171" s="24">
        <f>IF(Q170&gt;0,ROUND(ROUND(Q170*100,0)*ROUND(O$7*10000,0)/12000000,0)/100,0)</f>
        <v>0</v>
      </c>
      <c r="Q171" s="24">
        <f>IF(Q170&gt;0,ROUND(Q170+P171-O171,2),0)</f>
        <v>0</v>
      </c>
      <c r="R171" s="24">
        <f>IF(T170&gt;0,MIN(ROUND(R$6+IF(R$5=$C171,$E$5+$E171,0),2),ROUND(T170+S171,2)),0)</f>
        <v>0</v>
      </c>
      <c r="S171" s="24">
        <f>IF(T170&gt;0,ROUND(ROUND(T170*100,0)*ROUND(R$7*10000,0)/12000000,0)/100,0)</f>
        <v>0</v>
      </c>
      <c r="T171" s="24">
        <f>IF(T170&gt;0,ROUND(T170+S171-R171,2),0)</f>
        <v>0</v>
      </c>
      <c r="U171" s="24">
        <f>IF(W170&gt;0,MIN(ROUND(U$6+IF(U$5=$C171,$E$5+$E171,0),2),ROUND(W170+V171,2)),0)</f>
        <v>0</v>
      </c>
      <c r="V171" s="24">
        <f>IF(W170&gt;0,ROUND(ROUND(W170*100,0)*ROUND(U$7*10000,0)/12000000,0)/100,0)</f>
        <v>0</v>
      </c>
      <c r="W171" s="24">
        <f>IF(W170&gt;0,ROUND(W170+V171-U171,2),0)</f>
        <v>0</v>
      </c>
      <c r="X171" s="24">
        <f>IF(Z170&gt;0,MIN(ROUND(X$6+IF(X$5=$C171,$E$5+$E171,0),2),ROUND(Z170+Y171,2)),0)</f>
        <v>0</v>
      </c>
      <c r="Y171" s="24">
        <f>IF(Z170&gt;0,ROUND(ROUND(Z170*100,0)*ROUND(X$7*10000,0)/12000000,0)/100,0)</f>
        <v>0</v>
      </c>
      <c r="Z171" s="24">
        <f>IF(Z170&gt;0,ROUND(Z170+Y171-X171,2),0)</f>
        <v>0</v>
      </c>
      <c r="AA171" s="24">
        <f>IF(AC170&gt;0,MIN(ROUND(AA$6+IF(AA$5=$C171,$E$5+$E171,0),2),ROUND(AC170+AB171,2)),0)</f>
        <v>0</v>
      </c>
      <c r="AB171" s="24">
        <f>IF(AC170&gt;0,ROUND(ROUND(AC170*100,0)*ROUND(AA$7*10000,0)/12000000,0)/100,0)</f>
        <v>0</v>
      </c>
      <c r="AC171" s="24">
        <f>IF(AC170&gt;0,ROUND(AC170+AB171-AA171,2),0)</f>
        <v>0</v>
      </c>
      <c r="AD171" s="24">
        <f>IF(AF170&gt;0,MIN(ROUND(AD$6+IF(AD$5=$C171,$E$5+$E171,0),2),ROUND(AF170+AE171,2)),0)</f>
        <v>0</v>
      </c>
      <c r="AE171" s="24">
        <f>IF(AF170&gt;0,ROUND(ROUND(AF170*100,0)*ROUND(AD$7*10000,0)/12000000,0)/100,0)</f>
        <v>0</v>
      </c>
      <c r="AF171" s="24">
        <f>IF(AF170&gt;0,ROUND(AF170+AE171-AD171,2),0)</f>
        <v>0</v>
      </c>
      <c r="AG171" s="24">
        <f>IF(AI170&gt;0,MIN(ROUND(AG$6+IF(AG$5=$C171,$E$5+$E171,0),2),ROUND(AI170+AH171,2)),0)</f>
        <v>0</v>
      </c>
      <c r="AH171" s="24">
        <f>IF(AI170&gt;0,ROUND(ROUND(AI170*100,0)*ROUND(AG$7*10000,0)/12000000,0)/100,0)</f>
        <v>0</v>
      </c>
      <c r="AI171" s="24">
        <f>IF(AI170&gt;0,ROUND(AI170+AH171-AG171,2),0)</f>
        <v>0</v>
      </c>
      <c r="AJ171" s="24">
        <f>IF(AL170&gt;0,MIN(ROUND(AJ$6+IF(AJ$5=$C171,$E$5+$E171,0),2),ROUND(AL170+AK171,2)),0)</f>
        <v>0</v>
      </c>
      <c r="AK171" s="24">
        <f>IF(AL170&gt;0,ROUND(ROUND(AL170*100,0)*ROUND(AJ$7*10000,0)/12000000,0)/100,0)</f>
        <v>0</v>
      </c>
      <c r="AL171" s="24">
        <f>IF(AL170&gt;0,ROUND(AL170+AK171-AJ171,2),0)</f>
        <v>0</v>
      </c>
    </row>
    <row r="172" spans="1:38" x14ac:dyDescent="0.25">
      <c r="A172" s="17" t="str">
        <f>IF(F172&gt;0,162,"")</f>
        <v/>
      </c>
      <c r="B172" s="18" t="str">
        <f>IF(F172&gt;0,EDATE($E$6,162),"")</f>
        <v/>
      </c>
      <c r="C172" s="21">
        <f>IF(H171&gt;0,MIN(IF(K171&gt;0,I$5,99),IF(N171&gt;0,L$5,99),IF(Q171&gt;0,O$5,99),IF(T171&gt;0,R$5,99),IF(W171&gt;0,U$5,99),IF(Z171&gt;0,X$5,99),IF(AC171&gt;0,AA$5,99),IF(AF171&gt;0,AD$5,99),IF(AI171&gt;0,AG$5,99),IF(AL171&gt;0,AJ$5,99)),0)</f>
        <v>0</v>
      </c>
      <c r="D172" t="str">
        <f>IF(C172&gt;0,INDEX($I$4:$AL$4,1,MATCH(C172,$I$5:$AL$5,0)),"")</f>
        <v/>
      </c>
      <c r="E172" s="24">
        <f>ROUND(IF(AND(I$8&gt;0,K171=0),I$6,0)+IF(AND(L$8&gt;0,N171=0),L$6,0)+IF(AND(O$8&gt;0,Q171=0),O$6,0)+IF(AND(R$8&gt;0,T171=0),R$6,0)+IF(AND(U$8&gt;0,W171=0),U$6,0)+IF(AND(X$8&gt;0,Z171=0),X$6,0)+IF(AND(AA$8&gt;0,AC171=0),AA$6,0)+IF(AND(AD$8&gt;0,AF171=0),AD$6,0)+IF(AND(AG$8&gt;0,AI171=0),AG$6,0)+IF(AND(AJ$8&gt;0,AL171=0),AJ$6,0),2)</f>
        <v>330</v>
      </c>
      <c r="F172" s="24">
        <f>ROUND(I172+L172+O172+R172+U172+X172+AA172+AD172+AG172+AJ172,2)</f>
        <v>0</v>
      </c>
      <c r="G172" s="24">
        <f>ROUND(J172+M172+P172+S172+V172+Y172+AB172+AE172+AH172+AK172,2)</f>
        <v>0</v>
      </c>
      <c r="H172" s="24">
        <f>ROUND(K172+N172+Q172+T172+W172+Z172+AC172+AF172+AI172+AL172,2)</f>
        <v>0</v>
      </c>
      <c r="I172" s="24">
        <f>IF(K171&gt;0,MIN(ROUND(I$6+IF(I$5=$C172,$E$5+$E172,0),2),ROUND(K171+J172,2)),0)</f>
        <v>0</v>
      </c>
      <c r="J172" s="24">
        <f>IF(K171&gt;0,ROUND(ROUND(K171*100,0)*ROUND(I$7*10000,0)/12000000,0)/100,0)</f>
        <v>0</v>
      </c>
      <c r="K172" s="24">
        <f>IF(K171&gt;0,ROUND(K171+J172-I172,2),0)</f>
        <v>0</v>
      </c>
      <c r="L172" s="24">
        <f>IF(N171&gt;0,MIN(ROUND(L$6+IF(L$5=$C172,$E$5+$E172,0),2),ROUND(N171+M172,2)),0)</f>
        <v>0</v>
      </c>
      <c r="M172" s="24">
        <f>IF(N171&gt;0,ROUND(ROUND(N171*100,0)*ROUND(L$7*10000,0)/12000000,0)/100,0)</f>
        <v>0</v>
      </c>
      <c r="N172" s="24">
        <f>IF(N171&gt;0,ROUND(N171+M172-L172,2),0)</f>
        <v>0</v>
      </c>
      <c r="O172" s="24">
        <f>IF(Q171&gt;0,MIN(ROUND(O$6+IF(O$5=$C172,$E$5+$E172,0),2),ROUND(Q171+P172,2)),0)</f>
        <v>0</v>
      </c>
      <c r="P172" s="24">
        <f>IF(Q171&gt;0,ROUND(ROUND(Q171*100,0)*ROUND(O$7*10000,0)/12000000,0)/100,0)</f>
        <v>0</v>
      </c>
      <c r="Q172" s="24">
        <f>IF(Q171&gt;0,ROUND(Q171+P172-O172,2),0)</f>
        <v>0</v>
      </c>
      <c r="R172" s="24">
        <f>IF(T171&gt;0,MIN(ROUND(R$6+IF(R$5=$C172,$E$5+$E172,0),2),ROUND(T171+S172,2)),0)</f>
        <v>0</v>
      </c>
      <c r="S172" s="24">
        <f>IF(T171&gt;0,ROUND(ROUND(T171*100,0)*ROUND(R$7*10000,0)/12000000,0)/100,0)</f>
        <v>0</v>
      </c>
      <c r="T172" s="24">
        <f>IF(T171&gt;0,ROUND(T171+S172-R172,2),0)</f>
        <v>0</v>
      </c>
      <c r="U172" s="24">
        <f>IF(W171&gt;0,MIN(ROUND(U$6+IF(U$5=$C172,$E$5+$E172,0),2),ROUND(W171+V172,2)),0)</f>
        <v>0</v>
      </c>
      <c r="V172" s="24">
        <f>IF(W171&gt;0,ROUND(ROUND(W171*100,0)*ROUND(U$7*10000,0)/12000000,0)/100,0)</f>
        <v>0</v>
      </c>
      <c r="W172" s="24">
        <f>IF(W171&gt;0,ROUND(W171+V172-U172,2),0)</f>
        <v>0</v>
      </c>
      <c r="X172" s="24">
        <f>IF(Z171&gt;0,MIN(ROUND(X$6+IF(X$5=$C172,$E$5+$E172,0),2),ROUND(Z171+Y172,2)),0)</f>
        <v>0</v>
      </c>
      <c r="Y172" s="24">
        <f>IF(Z171&gt;0,ROUND(ROUND(Z171*100,0)*ROUND(X$7*10000,0)/12000000,0)/100,0)</f>
        <v>0</v>
      </c>
      <c r="Z172" s="24">
        <f>IF(Z171&gt;0,ROUND(Z171+Y172-X172,2),0)</f>
        <v>0</v>
      </c>
      <c r="AA172" s="24">
        <f>IF(AC171&gt;0,MIN(ROUND(AA$6+IF(AA$5=$C172,$E$5+$E172,0),2),ROUND(AC171+AB172,2)),0)</f>
        <v>0</v>
      </c>
      <c r="AB172" s="24">
        <f>IF(AC171&gt;0,ROUND(ROUND(AC171*100,0)*ROUND(AA$7*10000,0)/12000000,0)/100,0)</f>
        <v>0</v>
      </c>
      <c r="AC172" s="24">
        <f>IF(AC171&gt;0,ROUND(AC171+AB172-AA172,2),0)</f>
        <v>0</v>
      </c>
      <c r="AD172" s="24">
        <f>IF(AF171&gt;0,MIN(ROUND(AD$6+IF(AD$5=$C172,$E$5+$E172,0),2),ROUND(AF171+AE172,2)),0)</f>
        <v>0</v>
      </c>
      <c r="AE172" s="24">
        <f>IF(AF171&gt;0,ROUND(ROUND(AF171*100,0)*ROUND(AD$7*10000,0)/12000000,0)/100,0)</f>
        <v>0</v>
      </c>
      <c r="AF172" s="24">
        <f>IF(AF171&gt;0,ROUND(AF171+AE172-AD172,2),0)</f>
        <v>0</v>
      </c>
      <c r="AG172" s="24">
        <f>IF(AI171&gt;0,MIN(ROUND(AG$6+IF(AG$5=$C172,$E$5+$E172,0),2),ROUND(AI171+AH172,2)),0)</f>
        <v>0</v>
      </c>
      <c r="AH172" s="24">
        <f>IF(AI171&gt;0,ROUND(ROUND(AI171*100,0)*ROUND(AG$7*10000,0)/12000000,0)/100,0)</f>
        <v>0</v>
      </c>
      <c r="AI172" s="24">
        <f>IF(AI171&gt;0,ROUND(AI171+AH172-AG172,2),0)</f>
        <v>0</v>
      </c>
      <c r="AJ172" s="24">
        <f>IF(AL171&gt;0,MIN(ROUND(AJ$6+IF(AJ$5=$C172,$E$5+$E172,0),2),ROUND(AL171+AK172,2)),0)</f>
        <v>0</v>
      </c>
      <c r="AK172" s="24">
        <f>IF(AL171&gt;0,ROUND(ROUND(AL171*100,0)*ROUND(AJ$7*10000,0)/12000000,0)/100,0)</f>
        <v>0</v>
      </c>
      <c r="AL172" s="24">
        <f>IF(AL171&gt;0,ROUND(AL171+AK172-AJ172,2),0)</f>
        <v>0</v>
      </c>
    </row>
    <row r="173" spans="1:38" x14ac:dyDescent="0.25">
      <c r="A173" s="17" t="str">
        <f>IF(F173&gt;0,163,"")</f>
        <v/>
      </c>
      <c r="B173" s="18" t="str">
        <f>IF(F173&gt;0,EDATE($E$6,163),"")</f>
        <v/>
      </c>
      <c r="C173" s="21">
        <f>IF(H172&gt;0,MIN(IF(K172&gt;0,I$5,99),IF(N172&gt;0,L$5,99),IF(Q172&gt;0,O$5,99),IF(T172&gt;0,R$5,99),IF(W172&gt;0,U$5,99),IF(Z172&gt;0,X$5,99),IF(AC172&gt;0,AA$5,99),IF(AF172&gt;0,AD$5,99),IF(AI172&gt;0,AG$5,99),IF(AL172&gt;0,AJ$5,99)),0)</f>
        <v>0</v>
      </c>
      <c r="D173" t="str">
        <f>IF(C173&gt;0,INDEX($I$4:$AL$4,1,MATCH(C173,$I$5:$AL$5,0)),"")</f>
        <v/>
      </c>
      <c r="E173" s="24">
        <f>ROUND(IF(AND(I$8&gt;0,K172=0),I$6,0)+IF(AND(L$8&gt;0,N172=0),L$6,0)+IF(AND(O$8&gt;0,Q172=0),O$6,0)+IF(AND(R$8&gt;0,T172=0),R$6,0)+IF(AND(U$8&gt;0,W172=0),U$6,0)+IF(AND(X$8&gt;0,Z172=0),X$6,0)+IF(AND(AA$8&gt;0,AC172=0),AA$6,0)+IF(AND(AD$8&gt;0,AF172=0),AD$6,0)+IF(AND(AG$8&gt;0,AI172=0),AG$6,0)+IF(AND(AJ$8&gt;0,AL172=0),AJ$6,0),2)</f>
        <v>330</v>
      </c>
      <c r="F173" s="24">
        <f>ROUND(I173+L173+O173+R173+U173+X173+AA173+AD173+AG173+AJ173,2)</f>
        <v>0</v>
      </c>
      <c r="G173" s="24">
        <f>ROUND(J173+M173+P173+S173+V173+Y173+AB173+AE173+AH173+AK173,2)</f>
        <v>0</v>
      </c>
      <c r="H173" s="24">
        <f>ROUND(K173+N173+Q173+T173+W173+Z173+AC173+AF173+AI173+AL173,2)</f>
        <v>0</v>
      </c>
      <c r="I173" s="24">
        <f>IF(K172&gt;0,MIN(ROUND(I$6+IF(I$5=$C173,$E$5+$E173,0),2),ROUND(K172+J173,2)),0)</f>
        <v>0</v>
      </c>
      <c r="J173" s="24">
        <f>IF(K172&gt;0,ROUND(ROUND(K172*100,0)*ROUND(I$7*10000,0)/12000000,0)/100,0)</f>
        <v>0</v>
      </c>
      <c r="K173" s="24">
        <f>IF(K172&gt;0,ROUND(K172+J173-I173,2),0)</f>
        <v>0</v>
      </c>
      <c r="L173" s="24">
        <f>IF(N172&gt;0,MIN(ROUND(L$6+IF(L$5=$C173,$E$5+$E173,0),2),ROUND(N172+M173,2)),0)</f>
        <v>0</v>
      </c>
      <c r="M173" s="24">
        <f>IF(N172&gt;0,ROUND(ROUND(N172*100,0)*ROUND(L$7*10000,0)/12000000,0)/100,0)</f>
        <v>0</v>
      </c>
      <c r="N173" s="24">
        <f>IF(N172&gt;0,ROUND(N172+M173-L173,2),0)</f>
        <v>0</v>
      </c>
      <c r="O173" s="24">
        <f>IF(Q172&gt;0,MIN(ROUND(O$6+IF(O$5=$C173,$E$5+$E173,0),2),ROUND(Q172+P173,2)),0)</f>
        <v>0</v>
      </c>
      <c r="P173" s="24">
        <f>IF(Q172&gt;0,ROUND(ROUND(Q172*100,0)*ROUND(O$7*10000,0)/12000000,0)/100,0)</f>
        <v>0</v>
      </c>
      <c r="Q173" s="24">
        <f>IF(Q172&gt;0,ROUND(Q172+P173-O173,2),0)</f>
        <v>0</v>
      </c>
      <c r="R173" s="24">
        <f>IF(T172&gt;0,MIN(ROUND(R$6+IF(R$5=$C173,$E$5+$E173,0),2),ROUND(T172+S173,2)),0)</f>
        <v>0</v>
      </c>
      <c r="S173" s="24">
        <f>IF(T172&gt;0,ROUND(ROUND(T172*100,0)*ROUND(R$7*10000,0)/12000000,0)/100,0)</f>
        <v>0</v>
      </c>
      <c r="T173" s="24">
        <f>IF(T172&gt;0,ROUND(T172+S173-R173,2),0)</f>
        <v>0</v>
      </c>
      <c r="U173" s="24">
        <f>IF(W172&gt;0,MIN(ROUND(U$6+IF(U$5=$C173,$E$5+$E173,0),2),ROUND(W172+V173,2)),0)</f>
        <v>0</v>
      </c>
      <c r="V173" s="24">
        <f>IF(W172&gt;0,ROUND(ROUND(W172*100,0)*ROUND(U$7*10000,0)/12000000,0)/100,0)</f>
        <v>0</v>
      </c>
      <c r="W173" s="24">
        <f>IF(W172&gt;0,ROUND(W172+V173-U173,2),0)</f>
        <v>0</v>
      </c>
      <c r="X173" s="24">
        <f>IF(Z172&gt;0,MIN(ROUND(X$6+IF(X$5=$C173,$E$5+$E173,0),2),ROUND(Z172+Y173,2)),0)</f>
        <v>0</v>
      </c>
      <c r="Y173" s="24">
        <f>IF(Z172&gt;0,ROUND(ROUND(Z172*100,0)*ROUND(X$7*10000,0)/12000000,0)/100,0)</f>
        <v>0</v>
      </c>
      <c r="Z173" s="24">
        <f>IF(Z172&gt;0,ROUND(Z172+Y173-X173,2),0)</f>
        <v>0</v>
      </c>
      <c r="AA173" s="24">
        <f>IF(AC172&gt;0,MIN(ROUND(AA$6+IF(AA$5=$C173,$E$5+$E173,0),2),ROUND(AC172+AB173,2)),0)</f>
        <v>0</v>
      </c>
      <c r="AB173" s="24">
        <f>IF(AC172&gt;0,ROUND(ROUND(AC172*100,0)*ROUND(AA$7*10000,0)/12000000,0)/100,0)</f>
        <v>0</v>
      </c>
      <c r="AC173" s="24">
        <f>IF(AC172&gt;0,ROUND(AC172+AB173-AA173,2),0)</f>
        <v>0</v>
      </c>
      <c r="AD173" s="24">
        <f>IF(AF172&gt;0,MIN(ROUND(AD$6+IF(AD$5=$C173,$E$5+$E173,0),2),ROUND(AF172+AE173,2)),0)</f>
        <v>0</v>
      </c>
      <c r="AE173" s="24">
        <f>IF(AF172&gt;0,ROUND(ROUND(AF172*100,0)*ROUND(AD$7*10000,0)/12000000,0)/100,0)</f>
        <v>0</v>
      </c>
      <c r="AF173" s="24">
        <f>IF(AF172&gt;0,ROUND(AF172+AE173-AD173,2),0)</f>
        <v>0</v>
      </c>
      <c r="AG173" s="24">
        <f>IF(AI172&gt;0,MIN(ROUND(AG$6+IF(AG$5=$C173,$E$5+$E173,0),2),ROUND(AI172+AH173,2)),0)</f>
        <v>0</v>
      </c>
      <c r="AH173" s="24">
        <f>IF(AI172&gt;0,ROUND(ROUND(AI172*100,0)*ROUND(AG$7*10000,0)/12000000,0)/100,0)</f>
        <v>0</v>
      </c>
      <c r="AI173" s="24">
        <f>IF(AI172&gt;0,ROUND(AI172+AH173-AG173,2),0)</f>
        <v>0</v>
      </c>
      <c r="AJ173" s="24">
        <f>IF(AL172&gt;0,MIN(ROUND(AJ$6+IF(AJ$5=$C173,$E$5+$E173,0),2),ROUND(AL172+AK173,2)),0)</f>
        <v>0</v>
      </c>
      <c r="AK173" s="24">
        <f>IF(AL172&gt;0,ROUND(ROUND(AL172*100,0)*ROUND(AJ$7*10000,0)/12000000,0)/100,0)</f>
        <v>0</v>
      </c>
      <c r="AL173" s="24">
        <f>IF(AL172&gt;0,ROUND(AL172+AK173-AJ173,2),0)</f>
        <v>0</v>
      </c>
    </row>
    <row r="174" spans="1:38" x14ac:dyDescent="0.25">
      <c r="A174" s="17" t="str">
        <f>IF(F174&gt;0,164,"")</f>
        <v/>
      </c>
      <c r="B174" s="18" t="str">
        <f>IF(F174&gt;0,EDATE($E$6,164),"")</f>
        <v/>
      </c>
      <c r="C174" s="21">
        <f>IF(H173&gt;0,MIN(IF(K173&gt;0,I$5,99),IF(N173&gt;0,L$5,99),IF(Q173&gt;0,O$5,99),IF(T173&gt;0,R$5,99),IF(W173&gt;0,U$5,99),IF(Z173&gt;0,X$5,99),IF(AC173&gt;0,AA$5,99),IF(AF173&gt;0,AD$5,99),IF(AI173&gt;0,AG$5,99),IF(AL173&gt;0,AJ$5,99)),0)</f>
        <v>0</v>
      </c>
      <c r="D174" t="str">
        <f>IF(C174&gt;0,INDEX($I$4:$AL$4,1,MATCH(C174,$I$5:$AL$5,0)),"")</f>
        <v/>
      </c>
      <c r="E174" s="24">
        <f>ROUND(IF(AND(I$8&gt;0,K173=0),I$6,0)+IF(AND(L$8&gt;0,N173=0),L$6,0)+IF(AND(O$8&gt;0,Q173=0),O$6,0)+IF(AND(R$8&gt;0,T173=0),R$6,0)+IF(AND(U$8&gt;0,W173=0),U$6,0)+IF(AND(X$8&gt;0,Z173=0),X$6,0)+IF(AND(AA$8&gt;0,AC173=0),AA$6,0)+IF(AND(AD$8&gt;0,AF173=0),AD$6,0)+IF(AND(AG$8&gt;0,AI173=0),AG$6,0)+IF(AND(AJ$8&gt;0,AL173=0),AJ$6,0),2)</f>
        <v>330</v>
      </c>
      <c r="F174" s="24">
        <f>ROUND(I174+L174+O174+R174+U174+X174+AA174+AD174+AG174+AJ174,2)</f>
        <v>0</v>
      </c>
      <c r="G174" s="24">
        <f>ROUND(J174+M174+P174+S174+V174+Y174+AB174+AE174+AH174+AK174,2)</f>
        <v>0</v>
      </c>
      <c r="H174" s="24">
        <f>ROUND(K174+N174+Q174+T174+W174+Z174+AC174+AF174+AI174+AL174,2)</f>
        <v>0</v>
      </c>
      <c r="I174" s="24">
        <f>IF(K173&gt;0,MIN(ROUND(I$6+IF(I$5=$C174,$E$5+$E174,0),2),ROUND(K173+J174,2)),0)</f>
        <v>0</v>
      </c>
      <c r="J174" s="24">
        <f>IF(K173&gt;0,ROUND(ROUND(K173*100,0)*ROUND(I$7*10000,0)/12000000,0)/100,0)</f>
        <v>0</v>
      </c>
      <c r="K174" s="24">
        <f>IF(K173&gt;0,ROUND(K173+J174-I174,2),0)</f>
        <v>0</v>
      </c>
      <c r="L174" s="24">
        <f>IF(N173&gt;0,MIN(ROUND(L$6+IF(L$5=$C174,$E$5+$E174,0),2),ROUND(N173+M174,2)),0)</f>
        <v>0</v>
      </c>
      <c r="M174" s="24">
        <f>IF(N173&gt;0,ROUND(ROUND(N173*100,0)*ROUND(L$7*10000,0)/12000000,0)/100,0)</f>
        <v>0</v>
      </c>
      <c r="N174" s="24">
        <f>IF(N173&gt;0,ROUND(N173+M174-L174,2),0)</f>
        <v>0</v>
      </c>
      <c r="O174" s="24">
        <f>IF(Q173&gt;0,MIN(ROUND(O$6+IF(O$5=$C174,$E$5+$E174,0),2),ROUND(Q173+P174,2)),0)</f>
        <v>0</v>
      </c>
      <c r="P174" s="24">
        <f>IF(Q173&gt;0,ROUND(ROUND(Q173*100,0)*ROUND(O$7*10000,0)/12000000,0)/100,0)</f>
        <v>0</v>
      </c>
      <c r="Q174" s="24">
        <f>IF(Q173&gt;0,ROUND(Q173+P174-O174,2),0)</f>
        <v>0</v>
      </c>
      <c r="R174" s="24">
        <f>IF(T173&gt;0,MIN(ROUND(R$6+IF(R$5=$C174,$E$5+$E174,0),2),ROUND(T173+S174,2)),0)</f>
        <v>0</v>
      </c>
      <c r="S174" s="24">
        <f>IF(T173&gt;0,ROUND(ROUND(T173*100,0)*ROUND(R$7*10000,0)/12000000,0)/100,0)</f>
        <v>0</v>
      </c>
      <c r="T174" s="24">
        <f>IF(T173&gt;0,ROUND(T173+S174-R174,2),0)</f>
        <v>0</v>
      </c>
      <c r="U174" s="24">
        <f>IF(W173&gt;0,MIN(ROUND(U$6+IF(U$5=$C174,$E$5+$E174,0),2),ROUND(W173+V174,2)),0)</f>
        <v>0</v>
      </c>
      <c r="V174" s="24">
        <f>IF(W173&gt;0,ROUND(ROUND(W173*100,0)*ROUND(U$7*10000,0)/12000000,0)/100,0)</f>
        <v>0</v>
      </c>
      <c r="W174" s="24">
        <f>IF(W173&gt;0,ROUND(W173+V174-U174,2),0)</f>
        <v>0</v>
      </c>
      <c r="X174" s="24">
        <f>IF(Z173&gt;0,MIN(ROUND(X$6+IF(X$5=$C174,$E$5+$E174,0),2),ROUND(Z173+Y174,2)),0)</f>
        <v>0</v>
      </c>
      <c r="Y174" s="24">
        <f>IF(Z173&gt;0,ROUND(ROUND(Z173*100,0)*ROUND(X$7*10000,0)/12000000,0)/100,0)</f>
        <v>0</v>
      </c>
      <c r="Z174" s="24">
        <f>IF(Z173&gt;0,ROUND(Z173+Y174-X174,2),0)</f>
        <v>0</v>
      </c>
      <c r="AA174" s="24">
        <f>IF(AC173&gt;0,MIN(ROUND(AA$6+IF(AA$5=$C174,$E$5+$E174,0),2),ROUND(AC173+AB174,2)),0)</f>
        <v>0</v>
      </c>
      <c r="AB174" s="24">
        <f>IF(AC173&gt;0,ROUND(ROUND(AC173*100,0)*ROUND(AA$7*10000,0)/12000000,0)/100,0)</f>
        <v>0</v>
      </c>
      <c r="AC174" s="24">
        <f>IF(AC173&gt;0,ROUND(AC173+AB174-AA174,2),0)</f>
        <v>0</v>
      </c>
      <c r="AD174" s="24">
        <f>IF(AF173&gt;0,MIN(ROUND(AD$6+IF(AD$5=$C174,$E$5+$E174,0),2),ROUND(AF173+AE174,2)),0)</f>
        <v>0</v>
      </c>
      <c r="AE174" s="24">
        <f>IF(AF173&gt;0,ROUND(ROUND(AF173*100,0)*ROUND(AD$7*10000,0)/12000000,0)/100,0)</f>
        <v>0</v>
      </c>
      <c r="AF174" s="24">
        <f>IF(AF173&gt;0,ROUND(AF173+AE174-AD174,2),0)</f>
        <v>0</v>
      </c>
      <c r="AG174" s="24">
        <f>IF(AI173&gt;0,MIN(ROUND(AG$6+IF(AG$5=$C174,$E$5+$E174,0),2),ROUND(AI173+AH174,2)),0)</f>
        <v>0</v>
      </c>
      <c r="AH174" s="24">
        <f>IF(AI173&gt;0,ROUND(ROUND(AI173*100,0)*ROUND(AG$7*10000,0)/12000000,0)/100,0)</f>
        <v>0</v>
      </c>
      <c r="AI174" s="24">
        <f>IF(AI173&gt;0,ROUND(AI173+AH174-AG174,2),0)</f>
        <v>0</v>
      </c>
      <c r="AJ174" s="24">
        <f>IF(AL173&gt;0,MIN(ROUND(AJ$6+IF(AJ$5=$C174,$E$5+$E174,0),2),ROUND(AL173+AK174,2)),0)</f>
        <v>0</v>
      </c>
      <c r="AK174" s="24">
        <f>IF(AL173&gt;0,ROUND(ROUND(AL173*100,0)*ROUND(AJ$7*10000,0)/12000000,0)/100,0)</f>
        <v>0</v>
      </c>
      <c r="AL174" s="24">
        <f>IF(AL173&gt;0,ROUND(AL173+AK174-AJ174,2),0)</f>
        <v>0</v>
      </c>
    </row>
    <row r="175" spans="1:38" x14ac:dyDescent="0.25">
      <c r="A175" s="17" t="str">
        <f>IF(F175&gt;0,165,"")</f>
        <v/>
      </c>
      <c r="B175" s="18" t="str">
        <f>IF(F175&gt;0,EDATE($E$6,165),"")</f>
        <v/>
      </c>
      <c r="C175" s="21">
        <f>IF(H174&gt;0,MIN(IF(K174&gt;0,I$5,99),IF(N174&gt;0,L$5,99),IF(Q174&gt;0,O$5,99),IF(T174&gt;0,R$5,99),IF(W174&gt;0,U$5,99),IF(Z174&gt;0,X$5,99),IF(AC174&gt;0,AA$5,99),IF(AF174&gt;0,AD$5,99),IF(AI174&gt;0,AG$5,99),IF(AL174&gt;0,AJ$5,99)),0)</f>
        <v>0</v>
      </c>
      <c r="D175" t="str">
        <f>IF(C175&gt;0,INDEX($I$4:$AL$4,1,MATCH(C175,$I$5:$AL$5,0)),"")</f>
        <v/>
      </c>
      <c r="E175" s="24">
        <f>ROUND(IF(AND(I$8&gt;0,K174=0),I$6,0)+IF(AND(L$8&gt;0,N174=0),L$6,0)+IF(AND(O$8&gt;0,Q174=0),O$6,0)+IF(AND(R$8&gt;0,T174=0),R$6,0)+IF(AND(U$8&gt;0,W174=0),U$6,0)+IF(AND(X$8&gt;0,Z174=0),X$6,0)+IF(AND(AA$8&gt;0,AC174=0),AA$6,0)+IF(AND(AD$8&gt;0,AF174=0),AD$6,0)+IF(AND(AG$8&gt;0,AI174=0),AG$6,0)+IF(AND(AJ$8&gt;0,AL174=0),AJ$6,0),2)</f>
        <v>330</v>
      </c>
      <c r="F175" s="24">
        <f>ROUND(I175+L175+O175+R175+U175+X175+AA175+AD175+AG175+AJ175,2)</f>
        <v>0</v>
      </c>
      <c r="G175" s="24">
        <f>ROUND(J175+M175+P175+S175+V175+Y175+AB175+AE175+AH175+AK175,2)</f>
        <v>0</v>
      </c>
      <c r="H175" s="24">
        <f>ROUND(K175+N175+Q175+T175+W175+Z175+AC175+AF175+AI175+AL175,2)</f>
        <v>0</v>
      </c>
      <c r="I175" s="24">
        <f>IF(K174&gt;0,MIN(ROUND(I$6+IF(I$5=$C175,$E$5+$E175,0),2),ROUND(K174+J175,2)),0)</f>
        <v>0</v>
      </c>
      <c r="J175" s="24">
        <f>IF(K174&gt;0,ROUND(ROUND(K174*100,0)*ROUND(I$7*10000,0)/12000000,0)/100,0)</f>
        <v>0</v>
      </c>
      <c r="K175" s="24">
        <f>IF(K174&gt;0,ROUND(K174+J175-I175,2),0)</f>
        <v>0</v>
      </c>
      <c r="L175" s="24">
        <f>IF(N174&gt;0,MIN(ROUND(L$6+IF(L$5=$C175,$E$5+$E175,0),2),ROUND(N174+M175,2)),0)</f>
        <v>0</v>
      </c>
      <c r="M175" s="24">
        <f>IF(N174&gt;0,ROUND(ROUND(N174*100,0)*ROUND(L$7*10000,0)/12000000,0)/100,0)</f>
        <v>0</v>
      </c>
      <c r="N175" s="24">
        <f>IF(N174&gt;0,ROUND(N174+M175-L175,2),0)</f>
        <v>0</v>
      </c>
      <c r="O175" s="24">
        <f>IF(Q174&gt;0,MIN(ROUND(O$6+IF(O$5=$C175,$E$5+$E175,0),2),ROUND(Q174+P175,2)),0)</f>
        <v>0</v>
      </c>
      <c r="P175" s="24">
        <f>IF(Q174&gt;0,ROUND(ROUND(Q174*100,0)*ROUND(O$7*10000,0)/12000000,0)/100,0)</f>
        <v>0</v>
      </c>
      <c r="Q175" s="24">
        <f>IF(Q174&gt;0,ROUND(Q174+P175-O175,2),0)</f>
        <v>0</v>
      </c>
      <c r="R175" s="24">
        <f>IF(T174&gt;0,MIN(ROUND(R$6+IF(R$5=$C175,$E$5+$E175,0),2),ROUND(T174+S175,2)),0)</f>
        <v>0</v>
      </c>
      <c r="S175" s="24">
        <f>IF(T174&gt;0,ROUND(ROUND(T174*100,0)*ROUND(R$7*10000,0)/12000000,0)/100,0)</f>
        <v>0</v>
      </c>
      <c r="T175" s="24">
        <f>IF(T174&gt;0,ROUND(T174+S175-R175,2),0)</f>
        <v>0</v>
      </c>
      <c r="U175" s="24">
        <f>IF(W174&gt;0,MIN(ROUND(U$6+IF(U$5=$C175,$E$5+$E175,0),2),ROUND(W174+V175,2)),0)</f>
        <v>0</v>
      </c>
      <c r="V175" s="24">
        <f>IF(W174&gt;0,ROUND(ROUND(W174*100,0)*ROUND(U$7*10000,0)/12000000,0)/100,0)</f>
        <v>0</v>
      </c>
      <c r="W175" s="24">
        <f>IF(W174&gt;0,ROUND(W174+V175-U175,2),0)</f>
        <v>0</v>
      </c>
      <c r="X175" s="24">
        <f>IF(Z174&gt;0,MIN(ROUND(X$6+IF(X$5=$C175,$E$5+$E175,0),2),ROUND(Z174+Y175,2)),0)</f>
        <v>0</v>
      </c>
      <c r="Y175" s="24">
        <f>IF(Z174&gt;0,ROUND(ROUND(Z174*100,0)*ROUND(X$7*10000,0)/12000000,0)/100,0)</f>
        <v>0</v>
      </c>
      <c r="Z175" s="24">
        <f>IF(Z174&gt;0,ROUND(Z174+Y175-X175,2),0)</f>
        <v>0</v>
      </c>
      <c r="AA175" s="24">
        <f>IF(AC174&gt;0,MIN(ROUND(AA$6+IF(AA$5=$C175,$E$5+$E175,0),2),ROUND(AC174+AB175,2)),0)</f>
        <v>0</v>
      </c>
      <c r="AB175" s="24">
        <f>IF(AC174&gt;0,ROUND(ROUND(AC174*100,0)*ROUND(AA$7*10000,0)/12000000,0)/100,0)</f>
        <v>0</v>
      </c>
      <c r="AC175" s="24">
        <f>IF(AC174&gt;0,ROUND(AC174+AB175-AA175,2),0)</f>
        <v>0</v>
      </c>
      <c r="AD175" s="24">
        <f>IF(AF174&gt;0,MIN(ROUND(AD$6+IF(AD$5=$C175,$E$5+$E175,0),2),ROUND(AF174+AE175,2)),0)</f>
        <v>0</v>
      </c>
      <c r="AE175" s="24">
        <f>IF(AF174&gt;0,ROUND(ROUND(AF174*100,0)*ROUND(AD$7*10000,0)/12000000,0)/100,0)</f>
        <v>0</v>
      </c>
      <c r="AF175" s="24">
        <f>IF(AF174&gt;0,ROUND(AF174+AE175-AD175,2),0)</f>
        <v>0</v>
      </c>
      <c r="AG175" s="24">
        <f>IF(AI174&gt;0,MIN(ROUND(AG$6+IF(AG$5=$C175,$E$5+$E175,0),2),ROUND(AI174+AH175,2)),0)</f>
        <v>0</v>
      </c>
      <c r="AH175" s="24">
        <f>IF(AI174&gt;0,ROUND(ROUND(AI174*100,0)*ROUND(AG$7*10000,0)/12000000,0)/100,0)</f>
        <v>0</v>
      </c>
      <c r="AI175" s="24">
        <f>IF(AI174&gt;0,ROUND(AI174+AH175-AG175,2),0)</f>
        <v>0</v>
      </c>
      <c r="AJ175" s="24">
        <f>IF(AL174&gt;0,MIN(ROUND(AJ$6+IF(AJ$5=$C175,$E$5+$E175,0),2),ROUND(AL174+AK175,2)),0)</f>
        <v>0</v>
      </c>
      <c r="AK175" s="24">
        <f>IF(AL174&gt;0,ROUND(ROUND(AL174*100,0)*ROUND(AJ$7*10000,0)/12000000,0)/100,0)</f>
        <v>0</v>
      </c>
      <c r="AL175" s="24">
        <f>IF(AL174&gt;0,ROUND(AL174+AK175-AJ175,2),0)</f>
        <v>0</v>
      </c>
    </row>
    <row r="176" spans="1:38" x14ac:dyDescent="0.25">
      <c r="A176" s="17" t="str">
        <f>IF(F176&gt;0,166,"")</f>
        <v/>
      </c>
      <c r="B176" s="18" t="str">
        <f>IF(F176&gt;0,EDATE($E$6,166),"")</f>
        <v/>
      </c>
      <c r="C176" s="21">
        <f>IF(H175&gt;0,MIN(IF(K175&gt;0,I$5,99),IF(N175&gt;0,L$5,99),IF(Q175&gt;0,O$5,99),IF(T175&gt;0,R$5,99),IF(W175&gt;0,U$5,99),IF(Z175&gt;0,X$5,99),IF(AC175&gt;0,AA$5,99),IF(AF175&gt;0,AD$5,99),IF(AI175&gt;0,AG$5,99),IF(AL175&gt;0,AJ$5,99)),0)</f>
        <v>0</v>
      </c>
      <c r="D176" t="str">
        <f>IF(C176&gt;0,INDEX($I$4:$AL$4,1,MATCH(C176,$I$5:$AL$5,0)),"")</f>
        <v/>
      </c>
      <c r="E176" s="24">
        <f>ROUND(IF(AND(I$8&gt;0,K175=0),I$6,0)+IF(AND(L$8&gt;0,N175=0),L$6,0)+IF(AND(O$8&gt;0,Q175=0),O$6,0)+IF(AND(R$8&gt;0,T175=0),R$6,0)+IF(AND(U$8&gt;0,W175=0),U$6,0)+IF(AND(X$8&gt;0,Z175=0),X$6,0)+IF(AND(AA$8&gt;0,AC175=0),AA$6,0)+IF(AND(AD$8&gt;0,AF175=0),AD$6,0)+IF(AND(AG$8&gt;0,AI175=0),AG$6,0)+IF(AND(AJ$8&gt;0,AL175=0),AJ$6,0),2)</f>
        <v>330</v>
      </c>
      <c r="F176" s="24">
        <f>ROUND(I176+L176+O176+R176+U176+X176+AA176+AD176+AG176+AJ176,2)</f>
        <v>0</v>
      </c>
      <c r="G176" s="24">
        <f>ROUND(J176+M176+P176+S176+V176+Y176+AB176+AE176+AH176+AK176,2)</f>
        <v>0</v>
      </c>
      <c r="H176" s="24">
        <f>ROUND(K176+N176+Q176+T176+W176+Z176+AC176+AF176+AI176+AL176,2)</f>
        <v>0</v>
      </c>
      <c r="I176" s="24">
        <f>IF(K175&gt;0,MIN(ROUND(I$6+IF(I$5=$C176,$E$5+$E176,0),2),ROUND(K175+J176,2)),0)</f>
        <v>0</v>
      </c>
      <c r="J176" s="24">
        <f>IF(K175&gt;0,ROUND(ROUND(K175*100,0)*ROUND(I$7*10000,0)/12000000,0)/100,0)</f>
        <v>0</v>
      </c>
      <c r="K176" s="24">
        <f>IF(K175&gt;0,ROUND(K175+J176-I176,2),0)</f>
        <v>0</v>
      </c>
      <c r="L176" s="24">
        <f>IF(N175&gt;0,MIN(ROUND(L$6+IF(L$5=$C176,$E$5+$E176,0),2),ROUND(N175+M176,2)),0)</f>
        <v>0</v>
      </c>
      <c r="M176" s="24">
        <f>IF(N175&gt;0,ROUND(ROUND(N175*100,0)*ROUND(L$7*10000,0)/12000000,0)/100,0)</f>
        <v>0</v>
      </c>
      <c r="N176" s="24">
        <f>IF(N175&gt;0,ROUND(N175+M176-L176,2),0)</f>
        <v>0</v>
      </c>
      <c r="O176" s="24">
        <f>IF(Q175&gt;0,MIN(ROUND(O$6+IF(O$5=$C176,$E$5+$E176,0),2),ROUND(Q175+P176,2)),0)</f>
        <v>0</v>
      </c>
      <c r="P176" s="24">
        <f>IF(Q175&gt;0,ROUND(ROUND(Q175*100,0)*ROUND(O$7*10000,0)/12000000,0)/100,0)</f>
        <v>0</v>
      </c>
      <c r="Q176" s="24">
        <f>IF(Q175&gt;0,ROUND(Q175+P176-O176,2),0)</f>
        <v>0</v>
      </c>
      <c r="R176" s="24">
        <f>IF(T175&gt;0,MIN(ROUND(R$6+IF(R$5=$C176,$E$5+$E176,0),2),ROUND(T175+S176,2)),0)</f>
        <v>0</v>
      </c>
      <c r="S176" s="24">
        <f>IF(T175&gt;0,ROUND(ROUND(T175*100,0)*ROUND(R$7*10000,0)/12000000,0)/100,0)</f>
        <v>0</v>
      </c>
      <c r="T176" s="24">
        <f>IF(T175&gt;0,ROUND(T175+S176-R176,2),0)</f>
        <v>0</v>
      </c>
      <c r="U176" s="24">
        <f>IF(W175&gt;0,MIN(ROUND(U$6+IF(U$5=$C176,$E$5+$E176,0),2),ROUND(W175+V176,2)),0)</f>
        <v>0</v>
      </c>
      <c r="V176" s="24">
        <f>IF(W175&gt;0,ROUND(ROUND(W175*100,0)*ROUND(U$7*10000,0)/12000000,0)/100,0)</f>
        <v>0</v>
      </c>
      <c r="W176" s="24">
        <f>IF(W175&gt;0,ROUND(W175+V176-U176,2),0)</f>
        <v>0</v>
      </c>
      <c r="X176" s="24">
        <f>IF(Z175&gt;0,MIN(ROUND(X$6+IF(X$5=$C176,$E$5+$E176,0),2),ROUND(Z175+Y176,2)),0)</f>
        <v>0</v>
      </c>
      <c r="Y176" s="24">
        <f>IF(Z175&gt;0,ROUND(ROUND(Z175*100,0)*ROUND(X$7*10000,0)/12000000,0)/100,0)</f>
        <v>0</v>
      </c>
      <c r="Z176" s="24">
        <f>IF(Z175&gt;0,ROUND(Z175+Y176-X176,2),0)</f>
        <v>0</v>
      </c>
      <c r="AA176" s="24">
        <f>IF(AC175&gt;0,MIN(ROUND(AA$6+IF(AA$5=$C176,$E$5+$E176,0),2),ROUND(AC175+AB176,2)),0)</f>
        <v>0</v>
      </c>
      <c r="AB176" s="24">
        <f>IF(AC175&gt;0,ROUND(ROUND(AC175*100,0)*ROUND(AA$7*10000,0)/12000000,0)/100,0)</f>
        <v>0</v>
      </c>
      <c r="AC176" s="24">
        <f>IF(AC175&gt;0,ROUND(AC175+AB176-AA176,2),0)</f>
        <v>0</v>
      </c>
      <c r="AD176" s="24">
        <f>IF(AF175&gt;0,MIN(ROUND(AD$6+IF(AD$5=$C176,$E$5+$E176,0),2),ROUND(AF175+AE176,2)),0)</f>
        <v>0</v>
      </c>
      <c r="AE176" s="24">
        <f>IF(AF175&gt;0,ROUND(ROUND(AF175*100,0)*ROUND(AD$7*10000,0)/12000000,0)/100,0)</f>
        <v>0</v>
      </c>
      <c r="AF176" s="24">
        <f>IF(AF175&gt;0,ROUND(AF175+AE176-AD176,2),0)</f>
        <v>0</v>
      </c>
      <c r="AG176" s="24">
        <f>IF(AI175&gt;0,MIN(ROUND(AG$6+IF(AG$5=$C176,$E$5+$E176,0),2),ROUND(AI175+AH176,2)),0)</f>
        <v>0</v>
      </c>
      <c r="AH176" s="24">
        <f>IF(AI175&gt;0,ROUND(ROUND(AI175*100,0)*ROUND(AG$7*10000,0)/12000000,0)/100,0)</f>
        <v>0</v>
      </c>
      <c r="AI176" s="24">
        <f>IF(AI175&gt;0,ROUND(AI175+AH176-AG176,2),0)</f>
        <v>0</v>
      </c>
      <c r="AJ176" s="24">
        <f>IF(AL175&gt;0,MIN(ROUND(AJ$6+IF(AJ$5=$C176,$E$5+$E176,0),2),ROUND(AL175+AK176,2)),0)</f>
        <v>0</v>
      </c>
      <c r="AK176" s="24">
        <f>IF(AL175&gt;0,ROUND(ROUND(AL175*100,0)*ROUND(AJ$7*10000,0)/12000000,0)/100,0)</f>
        <v>0</v>
      </c>
      <c r="AL176" s="24">
        <f>IF(AL175&gt;0,ROUND(AL175+AK176-AJ176,2),0)</f>
        <v>0</v>
      </c>
    </row>
    <row r="177" spans="1:38" x14ac:dyDescent="0.25">
      <c r="A177" s="17" t="str">
        <f>IF(F177&gt;0,167,"")</f>
        <v/>
      </c>
      <c r="B177" s="18" t="str">
        <f>IF(F177&gt;0,EDATE($E$6,167),"")</f>
        <v/>
      </c>
      <c r="C177" s="21">
        <f>IF(H176&gt;0,MIN(IF(K176&gt;0,I$5,99),IF(N176&gt;0,L$5,99),IF(Q176&gt;0,O$5,99),IF(T176&gt;0,R$5,99),IF(W176&gt;0,U$5,99),IF(Z176&gt;0,X$5,99),IF(AC176&gt;0,AA$5,99),IF(AF176&gt;0,AD$5,99),IF(AI176&gt;0,AG$5,99),IF(AL176&gt;0,AJ$5,99)),0)</f>
        <v>0</v>
      </c>
      <c r="D177" t="str">
        <f>IF(C177&gt;0,INDEX($I$4:$AL$4,1,MATCH(C177,$I$5:$AL$5,0)),"")</f>
        <v/>
      </c>
      <c r="E177" s="24">
        <f>ROUND(IF(AND(I$8&gt;0,K176=0),I$6,0)+IF(AND(L$8&gt;0,N176=0),L$6,0)+IF(AND(O$8&gt;0,Q176=0),O$6,0)+IF(AND(R$8&gt;0,T176=0),R$6,0)+IF(AND(U$8&gt;0,W176=0),U$6,0)+IF(AND(X$8&gt;0,Z176=0),X$6,0)+IF(AND(AA$8&gt;0,AC176=0),AA$6,0)+IF(AND(AD$8&gt;0,AF176=0),AD$6,0)+IF(AND(AG$8&gt;0,AI176=0),AG$6,0)+IF(AND(AJ$8&gt;0,AL176=0),AJ$6,0),2)</f>
        <v>330</v>
      </c>
      <c r="F177" s="24">
        <f>ROUND(I177+L177+O177+R177+U177+X177+AA177+AD177+AG177+AJ177,2)</f>
        <v>0</v>
      </c>
      <c r="G177" s="24">
        <f>ROUND(J177+M177+P177+S177+V177+Y177+AB177+AE177+AH177+AK177,2)</f>
        <v>0</v>
      </c>
      <c r="H177" s="24">
        <f>ROUND(K177+N177+Q177+T177+W177+Z177+AC177+AF177+AI177+AL177,2)</f>
        <v>0</v>
      </c>
      <c r="I177" s="24">
        <f>IF(K176&gt;0,MIN(ROUND(I$6+IF(I$5=$C177,$E$5+$E177,0),2),ROUND(K176+J177,2)),0)</f>
        <v>0</v>
      </c>
      <c r="J177" s="24">
        <f>IF(K176&gt;0,ROUND(ROUND(K176*100,0)*ROUND(I$7*10000,0)/12000000,0)/100,0)</f>
        <v>0</v>
      </c>
      <c r="K177" s="24">
        <f>IF(K176&gt;0,ROUND(K176+J177-I177,2),0)</f>
        <v>0</v>
      </c>
      <c r="L177" s="24">
        <f>IF(N176&gt;0,MIN(ROUND(L$6+IF(L$5=$C177,$E$5+$E177,0),2),ROUND(N176+M177,2)),0)</f>
        <v>0</v>
      </c>
      <c r="M177" s="24">
        <f>IF(N176&gt;0,ROUND(ROUND(N176*100,0)*ROUND(L$7*10000,0)/12000000,0)/100,0)</f>
        <v>0</v>
      </c>
      <c r="N177" s="24">
        <f>IF(N176&gt;0,ROUND(N176+M177-L177,2),0)</f>
        <v>0</v>
      </c>
      <c r="O177" s="24">
        <f>IF(Q176&gt;0,MIN(ROUND(O$6+IF(O$5=$C177,$E$5+$E177,0),2),ROUND(Q176+P177,2)),0)</f>
        <v>0</v>
      </c>
      <c r="P177" s="24">
        <f>IF(Q176&gt;0,ROUND(ROUND(Q176*100,0)*ROUND(O$7*10000,0)/12000000,0)/100,0)</f>
        <v>0</v>
      </c>
      <c r="Q177" s="24">
        <f>IF(Q176&gt;0,ROUND(Q176+P177-O177,2),0)</f>
        <v>0</v>
      </c>
      <c r="R177" s="24">
        <f>IF(T176&gt;0,MIN(ROUND(R$6+IF(R$5=$C177,$E$5+$E177,0),2),ROUND(T176+S177,2)),0)</f>
        <v>0</v>
      </c>
      <c r="S177" s="24">
        <f>IF(T176&gt;0,ROUND(ROUND(T176*100,0)*ROUND(R$7*10000,0)/12000000,0)/100,0)</f>
        <v>0</v>
      </c>
      <c r="T177" s="24">
        <f>IF(T176&gt;0,ROUND(T176+S177-R177,2),0)</f>
        <v>0</v>
      </c>
      <c r="U177" s="24">
        <f>IF(W176&gt;0,MIN(ROUND(U$6+IF(U$5=$C177,$E$5+$E177,0),2),ROUND(W176+V177,2)),0)</f>
        <v>0</v>
      </c>
      <c r="V177" s="24">
        <f>IF(W176&gt;0,ROUND(ROUND(W176*100,0)*ROUND(U$7*10000,0)/12000000,0)/100,0)</f>
        <v>0</v>
      </c>
      <c r="W177" s="24">
        <f>IF(W176&gt;0,ROUND(W176+V177-U177,2),0)</f>
        <v>0</v>
      </c>
      <c r="X177" s="24">
        <f>IF(Z176&gt;0,MIN(ROUND(X$6+IF(X$5=$C177,$E$5+$E177,0),2),ROUND(Z176+Y177,2)),0)</f>
        <v>0</v>
      </c>
      <c r="Y177" s="24">
        <f>IF(Z176&gt;0,ROUND(ROUND(Z176*100,0)*ROUND(X$7*10000,0)/12000000,0)/100,0)</f>
        <v>0</v>
      </c>
      <c r="Z177" s="24">
        <f>IF(Z176&gt;0,ROUND(Z176+Y177-X177,2),0)</f>
        <v>0</v>
      </c>
      <c r="AA177" s="24">
        <f>IF(AC176&gt;0,MIN(ROUND(AA$6+IF(AA$5=$C177,$E$5+$E177,0),2),ROUND(AC176+AB177,2)),0)</f>
        <v>0</v>
      </c>
      <c r="AB177" s="24">
        <f>IF(AC176&gt;0,ROUND(ROUND(AC176*100,0)*ROUND(AA$7*10000,0)/12000000,0)/100,0)</f>
        <v>0</v>
      </c>
      <c r="AC177" s="24">
        <f>IF(AC176&gt;0,ROUND(AC176+AB177-AA177,2),0)</f>
        <v>0</v>
      </c>
      <c r="AD177" s="24">
        <f>IF(AF176&gt;0,MIN(ROUND(AD$6+IF(AD$5=$C177,$E$5+$E177,0),2),ROUND(AF176+AE177,2)),0)</f>
        <v>0</v>
      </c>
      <c r="AE177" s="24">
        <f>IF(AF176&gt;0,ROUND(ROUND(AF176*100,0)*ROUND(AD$7*10000,0)/12000000,0)/100,0)</f>
        <v>0</v>
      </c>
      <c r="AF177" s="24">
        <f>IF(AF176&gt;0,ROUND(AF176+AE177-AD177,2),0)</f>
        <v>0</v>
      </c>
      <c r="AG177" s="24">
        <f>IF(AI176&gt;0,MIN(ROUND(AG$6+IF(AG$5=$C177,$E$5+$E177,0),2),ROUND(AI176+AH177,2)),0)</f>
        <v>0</v>
      </c>
      <c r="AH177" s="24">
        <f>IF(AI176&gt;0,ROUND(ROUND(AI176*100,0)*ROUND(AG$7*10000,0)/12000000,0)/100,0)</f>
        <v>0</v>
      </c>
      <c r="AI177" s="24">
        <f>IF(AI176&gt;0,ROUND(AI176+AH177-AG177,2),0)</f>
        <v>0</v>
      </c>
      <c r="AJ177" s="24">
        <f>IF(AL176&gt;0,MIN(ROUND(AJ$6+IF(AJ$5=$C177,$E$5+$E177,0),2),ROUND(AL176+AK177,2)),0)</f>
        <v>0</v>
      </c>
      <c r="AK177" s="24">
        <f>IF(AL176&gt;0,ROUND(ROUND(AL176*100,0)*ROUND(AJ$7*10000,0)/12000000,0)/100,0)</f>
        <v>0</v>
      </c>
      <c r="AL177" s="24">
        <f>IF(AL176&gt;0,ROUND(AL176+AK177-AJ177,2),0)</f>
        <v>0</v>
      </c>
    </row>
    <row r="178" spans="1:38" x14ac:dyDescent="0.25">
      <c r="A178" s="17" t="str">
        <f>IF(F178&gt;0,168,"")</f>
        <v/>
      </c>
      <c r="B178" s="18" t="str">
        <f>IF(F178&gt;0,EDATE($E$6,168),"")</f>
        <v/>
      </c>
      <c r="C178" s="21">
        <f>IF(H177&gt;0,MIN(IF(K177&gt;0,I$5,99),IF(N177&gt;0,L$5,99),IF(Q177&gt;0,O$5,99),IF(T177&gt;0,R$5,99),IF(W177&gt;0,U$5,99),IF(Z177&gt;0,X$5,99),IF(AC177&gt;0,AA$5,99),IF(AF177&gt;0,AD$5,99),IF(AI177&gt;0,AG$5,99),IF(AL177&gt;0,AJ$5,99)),0)</f>
        <v>0</v>
      </c>
      <c r="D178" t="str">
        <f>IF(C178&gt;0,INDEX($I$4:$AL$4,1,MATCH(C178,$I$5:$AL$5,0)),"")</f>
        <v/>
      </c>
      <c r="E178" s="24">
        <f>ROUND(IF(AND(I$8&gt;0,K177=0),I$6,0)+IF(AND(L$8&gt;0,N177=0),L$6,0)+IF(AND(O$8&gt;0,Q177=0),O$6,0)+IF(AND(R$8&gt;0,T177=0),R$6,0)+IF(AND(U$8&gt;0,W177=0),U$6,0)+IF(AND(X$8&gt;0,Z177=0),X$6,0)+IF(AND(AA$8&gt;0,AC177=0),AA$6,0)+IF(AND(AD$8&gt;0,AF177=0),AD$6,0)+IF(AND(AG$8&gt;0,AI177=0),AG$6,0)+IF(AND(AJ$8&gt;0,AL177=0),AJ$6,0),2)</f>
        <v>330</v>
      </c>
      <c r="F178" s="24">
        <f>ROUND(I178+L178+O178+R178+U178+X178+AA178+AD178+AG178+AJ178,2)</f>
        <v>0</v>
      </c>
      <c r="G178" s="24">
        <f>ROUND(J178+M178+P178+S178+V178+Y178+AB178+AE178+AH178+AK178,2)</f>
        <v>0</v>
      </c>
      <c r="H178" s="24">
        <f>ROUND(K178+N178+Q178+T178+W178+Z178+AC178+AF178+AI178+AL178,2)</f>
        <v>0</v>
      </c>
      <c r="I178" s="24">
        <f>IF(K177&gt;0,MIN(ROUND(I$6+IF(I$5=$C178,$E$5+$E178,0),2),ROUND(K177+J178,2)),0)</f>
        <v>0</v>
      </c>
      <c r="J178" s="24">
        <f>IF(K177&gt;0,ROUND(ROUND(K177*100,0)*ROUND(I$7*10000,0)/12000000,0)/100,0)</f>
        <v>0</v>
      </c>
      <c r="K178" s="24">
        <f>IF(K177&gt;0,ROUND(K177+J178-I178,2),0)</f>
        <v>0</v>
      </c>
      <c r="L178" s="24">
        <f>IF(N177&gt;0,MIN(ROUND(L$6+IF(L$5=$C178,$E$5+$E178,0),2),ROUND(N177+M178,2)),0)</f>
        <v>0</v>
      </c>
      <c r="M178" s="24">
        <f>IF(N177&gt;0,ROUND(ROUND(N177*100,0)*ROUND(L$7*10000,0)/12000000,0)/100,0)</f>
        <v>0</v>
      </c>
      <c r="N178" s="24">
        <f>IF(N177&gt;0,ROUND(N177+M178-L178,2),0)</f>
        <v>0</v>
      </c>
      <c r="O178" s="24">
        <f>IF(Q177&gt;0,MIN(ROUND(O$6+IF(O$5=$C178,$E$5+$E178,0),2),ROUND(Q177+P178,2)),0)</f>
        <v>0</v>
      </c>
      <c r="P178" s="24">
        <f>IF(Q177&gt;0,ROUND(ROUND(Q177*100,0)*ROUND(O$7*10000,0)/12000000,0)/100,0)</f>
        <v>0</v>
      </c>
      <c r="Q178" s="24">
        <f>IF(Q177&gt;0,ROUND(Q177+P178-O178,2),0)</f>
        <v>0</v>
      </c>
      <c r="R178" s="24">
        <f>IF(T177&gt;0,MIN(ROUND(R$6+IF(R$5=$C178,$E$5+$E178,0),2),ROUND(T177+S178,2)),0)</f>
        <v>0</v>
      </c>
      <c r="S178" s="24">
        <f>IF(T177&gt;0,ROUND(ROUND(T177*100,0)*ROUND(R$7*10000,0)/12000000,0)/100,0)</f>
        <v>0</v>
      </c>
      <c r="T178" s="24">
        <f>IF(T177&gt;0,ROUND(T177+S178-R178,2),0)</f>
        <v>0</v>
      </c>
      <c r="U178" s="24">
        <f>IF(W177&gt;0,MIN(ROUND(U$6+IF(U$5=$C178,$E$5+$E178,0),2),ROUND(W177+V178,2)),0)</f>
        <v>0</v>
      </c>
      <c r="V178" s="24">
        <f>IF(W177&gt;0,ROUND(ROUND(W177*100,0)*ROUND(U$7*10000,0)/12000000,0)/100,0)</f>
        <v>0</v>
      </c>
      <c r="W178" s="24">
        <f>IF(W177&gt;0,ROUND(W177+V178-U178,2),0)</f>
        <v>0</v>
      </c>
      <c r="X178" s="24">
        <f>IF(Z177&gt;0,MIN(ROUND(X$6+IF(X$5=$C178,$E$5+$E178,0),2),ROUND(Z177+Y178,2)),0)</f>
        <v>0</v>
      </c>
      <c r="Y178" s="24">
        <f>IF(Z177&gt;0,ROUND(ROUND(Z177*100,0)*ROUND(X$7*10000,0)/12000000,0)/100,0)</f>
        <v>0</v>
      </c>
      <c r="Z178" s="24">
        <f>IF(Z177&gt;0,ROUND(Z177+Y178-X178,2),0)</f>
        <v>0</v>
      </c>
      <c r="AA178" s="24">
        <f>IF(AC177&gt;0,MIN(ROUND(AA$6+IF(AA$5=$C178,$E$5+$E178,0),2),ROUND(AC177+AB178,2)),0)</f>
        <v>0</v>
      </c>
      <c r="AB178" s="24">
        <f>IF(AC177&gt;0,ROUND(ROUND(AC177*100,0)*ROUND(AA$7*10000,0)/12000000,0)/100,0)</f>
        <v>0</v>
      </c>
      <c r="AC178" s="24">
        <f>IF(AC177&gt;0,ROUND(AC177+AB178-AA178,2),0)</f>
        <v>0</v>
      </c>
      <c r="AD178" s="24">
        <f>IF(AF177&gt;0,MIN(ROUND(AD$6+IF(AD$5=$C178,$E$5+$E178,0),2),ROUND(AF177+AE178,2)),0)</f>
        <v>0</v>
      </c>
      <c r="AE178" s="24">
        <f>IF(AF177&gt;0,ROUND(ROUND(AF177*100,0)*ROUND(AD$7*10000,0)/12000000,0)/100,0)</f>
        <v>0</v>
      </c>
      <c r="AF178" s="24">
        <f>IF(AF177&gt;0,ROUND(AF177+AE178-AD178,2),0)</f>
        <v>0</v>
      </c>
      <c r="AG178" s="24">
        <f>IF(AI177&gt;0,MIN(ROUND(AG$6+IF(AG$5=$C178,$E$5+$E178,0),2),ROUND(AI177+AH178,2)),0)</f>
        <v>0</v>
      </c>
      <c r="AH178" s="24">
        <f>IF(AI177&gt;0,ROUND(ROUND(AI177*100,0)*ROUND(AG$7*10000,0)/12000000,0)/100,0)</f>
        <v>0</v>
      </c>
      <c r="AI178" s="24">
        <f>IF(AI177&gt;0,ROUND(AI177+AH178-AG178,2),0)</f>
        <v>0</v>
      </c>
      <c r="AJ178" s="24">
        <f>IF(AL177&gt;0,MIN(ROUND(AJ$6+IF(AJ$5=$C178,$E$5+$E178,0),2),ROUND(AL177+AK178,2)),0)</f>
        <v>0</v>
      </c>
      <c r="AK178" s="24">
        <f>IF(AL177&gt;0,ROUND(ROUND(AL177*100,0)*ROUND(AJ$7*10000,0)/12000000,0)/100,0)</f>
        <v>0</v>
      </c>
      <c r="AL178" s="24">
        <f>IF(AL177&gt;0,ROUND(AL177+AK178-AJ178,2),0)</f>
        <v>0</v>
      </c>
    </row>
    <row r="179" spans="1:38" x14ac:dyDescent="0.25">
      <c r="A179" s="17" t="str">
        <f>IF(F179&gt;0,169,"")</f>
        <v/>
      </c>
      <c r="B179" s="18" t="str">
        <f>IF(F179&gt;0,EDATE($E$6,169),"")</f>
        <v/>
      </c>
      <c r="C179" s="21">
        <f>IF(H178&gt;0,MIN(IF(K178&gt;0,I$5,99),IF(N178&gt;0,L$5,99),IF(Q178&gt;0,O$5,99),IF(T178&gt;0,R$5,99),IF(W178&gt;0,U$5,99),IF(Z178&gt;0,X$5,99),IF(AC178&gt;0,AA$5,99),IF(AF178&gt;0,AD$5,99),IF(AI178&gt;0,AG$5,99),IF(AL178&gt;0,AJ$5,99)),0)</f>
        <v>0</v>
      </c>
      <c r="D179" t="str">
        <f>IF(C179&gt;0,INDEX($I$4:$AL$4,1,MATCH(C179,$I$5:$AL$5,0)),"")</f>
        <v/>
      </c>
      <c r="E179" s="24">
        <f>ROUND(IF(AND(I$8&gt;0,K178=0),I$6,0)+IF(AND(L$8&gt;0,N178=0),L$6,0)+IF(AND(O$8&gt;0,Q178=0),O$6,0)+IF(AND(R$8&gt;0,T178=0),R$6,0)+IF(AND(U$8&gt;0,W178=0),U$6,0)+IF(AND(X$8&gt;0,Z178=0),X$6,0)+IF(AND(AA$8&gt;0,AC178=0),AA$6,0)+IF(AND(AD$8&gt;0,AF178=0),AD$6,0)+IF(AND(AG$8&gt;0,AI178=0),AG$6,0)+IF(AND(AJ$8&gt;0,AL178=0),AJ$6,0),2)</f>
        <v>330</v>
      </c>
      <c r="F179" s="24">
        <f>ROUND(I179+L179+O179+R179+U179+X179+AA179+AD179+AG179+AJ179,2)</f>
        <v>0</v>
      </c>
      <c r="G179" s="24">
        <f>ROUND(J179+M179+P179+S179+V179+Y179+AB179+AE179+AH179+AK179,2)</f>
        <v>0</v>
      </c>
      <c r="H179" s="24">
        <f>ROUND(K179+N179+Q179+T179+W179+Z179+AC179+AF179+AI179+AL179,2)</f>
        <v>0</v>
      </c>
      <c r="I179" s="24">
        <f>IF(K178&gt;0,MIN(ROUND(I$6+IF(I$5=$C179,$E$5+$E179,0),2),ROUND(K178+J179,2)),0)</f>
        <v>0</v>
      </c>
      <c r="J179" s="24">
        <f>IF(K178&gt;0,ROUND(ROUND(K178*100,0)*ROUND(I$7*10000,0)/12000000,0)/100,0)</f>
        <v>0</v>
      </c>
      <c r="K179" s="24">
        <f>IF(K178&gt;0,ROUND(K178+J179-I179,2),0)</f>
        <v>0</v>
      </c>
      <c r="L179" s="24">
        <f>IF(N178&gt;0,MIN(ROUND(L$6+IF(L$5=$C179,$E$5+$E179,0),2),ROUND(N178+M179,2)),0)</f>
        <v>0</v>
      </c>
      <c r="M179" s="24">
        <f>IF(N178&gt;0,ROUND(ROUND(N178*100,0)*ROUND(L$7*10000,0)/12000000,0)/100,0)</f>
        <v>0</v>
      </c>
      <c r="N179" s="24">
        <f>IF(N178&gt;0,ROUND(N178+M179-L179,2),0)</f>
        <v>0</v>
      </c>
      <c r="O179" s="24">
        <f>IF(Q178&gt;0,MIN(ROUND(O$6+IF(O$5=$C179,$E$5+$E179,0),2),ROUND(Q178+P179,2)),0)</f>
        <v>0</v>
      </c>
      <c r="P179" s="24">
        <f>IF(Q178&gt;0,ROUND(ROUND(Q178*100,0)*ROUND(O$7*10000,0)/12000000,0)/100,0)</f>
        <v>0</v>
      </c>
      <c r="Q179" s="24">
        <f>IF(Q178&gt;0,ROUND(Q178+P179-O179,2),0)</f>
        <v>0</v>
      </c>
      <c r="R179" s="24">
        <f>IF(T178&gt;0,MIN(ROUND(R$6+IF(R$5=$C179,$E$5+$E179,0),2),ROUND(T178+S179,2)),0)</f>
        <v>0</v>
      </c>
      <c r="S179" s="24">
        <f>IF(T178&gt;0,ROUND(ROUND(T178*100,0)*ROUND(R$7*10000,0)/12000000,0)/100,0)</f>
        <v>0</v>
      </c>
      <c r="T179" s="24">
        <f>IF(T178&gt;0,ROUND(T178+S179-R179,2),0)</f>
        <v>0</v>
      </c>
      <c r="U179" s="24">
        <f>IF(W178&gt;0,MIN(ROUND(U$6+IF(U$5=$C179,$E$5+$E179,0),2),ROUND(W178+V179,2)),0)</f>
        <v>0</v>
      </c>
      <c r="V179" s="24">
        <f>IF(W178&gt;0,ROUND(ROUND(W178*100,0)*ROUND(U$7*10000,0)/12000000,0)/100,0)</f>
        <v>0</v>
      </c>
      <c r="W179" s="24">
        <f>IF(W178&gt;0,ROUND(W178+V179-U179,2),0)</f>
        <v>0</v>
      </c>
      <c r="X179" s="24">
        <f>IF(Z178&gt;0,MIN(ROUND(X$6+IF(X$5=$C179,$E$5+$E179,0),2),ROUND(Z178+Y179,2)),0)</f>
        <v>0</v>
      </c>
      <c r="Y179" s="24">
        <f>IF(Z178&gt;0,ROUND(ROUND(Z178*100,0)*ROUND(X$7*10000,0)/12000000,0)/100,0)</f>
        <v>0</v>
      </c>
      <c r="Z179" s="24">
        <f>IF(Z178&gt;0,ROUND(Z178+Y179-X179,2),0)</f>
        <v>0</v>
      </c>
      <c r="AA179" s="24">
        <f>IF(AC178&gt;0,MIN(ROUND(AA$6+IF(AA$5=$C179,$E$5+$E179,0),2),ROUND(AC178+AB179,2)),0)</f>
        <v>0</v>
      </c>
      <c r="AB179" s="24">
        <f>IF(AC178&gt;0,ROUND(ROUND(AC178*100,0)*ROUND(AA$7*10000,0)/12000000,0)/100,0)</f>
        <v>0</v>
      </c>
      <c r="AC179" s="24">
        <f>IF(AC178&gt;0,ROUND(AC178+AB179-AA179,2),0)</f>
        <v>0</v>
      </c>
      <c r="AD179" s="24">
        <f>IF(AF178&gt;0,MIN(ROUND(AD$6+IF(AD$5=$C179,$E$5+$E179,0),2),ROUND(AF178+AE179,2)),0)</f>
        <v>0</v>
      </c>
      <c r="AE179" s="24">
        <f>IF(AF178&gt;0,ROUND(ROUND(AF178*100,0)*ROUND(AD$7*10000,0)/12000000,0)/100,0)</f>
        <v>0</v>
      </c>
      <c r="AF179" s="24">
        <f>IF(AF178&gt;0,ROUND(AF178+AE179-AD179,2),0)</f>
        <v>0</v>
      </c>
      <c r="AG179" s="24">
        <f>IF(AI178&gt;0,MIN(ROUND(AG$6+IF(AG$5=$C179,$E$5+$E179,0),2),ROUND(AI178+AH179,2)),0)</f>
        <v>0</v>
      </c>
      <c r="AH179" s="24">
        <f>IF(AI178&gt;0,ROUND(ROUND(AI178*100,0)*ROUND(AG$7*10000,0)/12000000,0)/100,0)</f>
        <v>0</v>
      </c>
      <c r="AI179" s="24">
        <f>IF(AI178&gt;0,ROUND(AI178+AH179-AG179,2),0)</f>
        <v>0</v>
      </c>
      <c r="AJ179" s="24">
        <f>IF(AL178&gt;0,MIN(ROUND(AJ$6+IF(AJ$5=$C179,$E$5+$E179,0),2),ROUND(AL178+AK179,2)),0)</f>
        <v>0</v>
      </c>
      <c r="AK179" s="24">
        <f>IF(AL178&gt;0,ROUND(ROUND(AL178*100,0)*ROUND(AJ$7*10000,0)/12000000,0)/100,0)</f>
        <v>0</v>
      </c>
      <c r="AL179" s="24">
        <f>IF(AL178&gt;0,ROUND(AL178+AK179-AJ179,2),0)</f>
        <v>0</v>
      </c>
    </row>
    <row r="180" spans="1:38" x14ac:dyDescent="0.25">
      <c r="A180" s="17" t="str">
        <f>IF(F180&gt;0,170,"")</f>
        <v/>
      </c>
      <c r="B180" s="18" t="str">
        <f>IF(F180&gt;0,EDATE($E$6,170),"")</f>
        <v/>
      </c>
      <c r="C180" s="21">
        <f>IF(H179&gt;0,MIN(IF(K179&gt;0,I$5,99),IF(N179&gt;0,L$5,99),IF(Q179&gt;0,O$5,99),IF(T179&gt;0,R$5,99),IF(W179&gt;0,U$5,99),IF(Z179&gt;0,X$5,99),IF(AC179&gt;0,AA$5,99),IF(AF179&gt;0,AD$5,99),IF(AI179&gt;0,AG$5,99),IF(AL179&gt;0,AJ$5,99)),0)</f>
        <v>0</v>
      </c>
      <c r="D180" t="str">
        <f>IF(C180&gt;0,INDEX($I$4:$AL$4,1,MATCH(C180,$I$5:$AL$5,0)),"")</f>
        <v/>
      </c>
      <c r="E180" s="24">
        <f>ROUND(IF(AND(I$8&gt;0,K179=0),I$6,0)+IF(AND(L$8&gt;0,N179=0),L$6,0)+IF(AND(O$8&gt;0,Q179=0),O$6,0)+IF(AND(R$8&gt;0,T179=0),R$6,0)+IF(AND(U$8&gt;0,W179=0),U$6,0)+IF(AND(X$8&gt;0,Z179=0),X$6,0)+IF(AND(AA$8&gt;0,AC179=0),AA$6,0)+IF(AND(AD$8&gt;0,AF179=0),AD$6,0)+IF(AND(AG$8&gt;0,AI179=0),AG$6,0)+IF(AND(AJ$8&gt;0,AL179=0),AJ$6,0),2)</f>
        <v>330</v>
      </c>
      <c r="F180" s="24">
        <f>ROUND(I180+L180+O180+R180+U180+X180+AA180+AD180+AG180+AJ180,2)</f>
        <v>0</v>
      </c>
      <c r="G180" s="24">
        <f>ROUND(J180+M180+P180+S180+V180+Y180+AB180+AE180+AH180+AK180,2)</f>
        <v>0</v>
      </c>
      <c r="H180" s="24">
        <f>ROUND(K180+N180+Q180+T180+W180+Z180+AC180+AF180+AI180+AL180,2)</f>
        <v>0</v>
      </c>
      <c r="I180" s="24">
        <f>IF(K179&gt;0,MIN(ROUND(I$6+IF(I$5=$C180,$E$5+$E180,0),2),ROUND(K179+J180,2)),0)</f>
        <v>0</v>
      </c>
      <c r="J180" s="24">
        <f>IF(K179&gt;0,ROUND(ROUND(K179*100,0)*ROUND(I$7*10000,0)/12000000,0)/100,0)</f>
        <v>0</v>
      </c>
      <c r="K180" s="24">
        <f>IF(K179&gt;0,ROUND(K179+J180-I180,2),0)</f>
        <v>0</v>
      </c>
      <c r="L180" s="24">
        <f>IF(N179&gt;0,MIN(ROUND(L$6+IF(L$5=$C180,$E$5+$E180,0),2),ROUND(N179+M180,2)),0)</f>
        <v>0</v>
      </c>
      <c r="M180" s="24">
        <f>IF(N179&gt;0,ROUND(ROUND(N179*100,0)*ROUND(L$7*10000,0)/12000000,0)/100,0)</f>
        <v>0</v>
      </c>
      <c r="N180" s="24">
        <f>IF(N179&gt;0,ROUND(N179+M180-L180,2),0)</f>
        <v>0</v>
      </c>
      <c r="O180" s="24">
        <f>IF(Q179&gt;0,MIN(ROUND(O$6+IF(O$5=$C180,$E$5+$E180,0),2),ROUND(Q179+P180,2)),0)</f>
        <v>0</v>
      </c>
      <c r="P180" s="24">
        <f>IF(Q179&gt;0,ROUND(ROUND(Q179*100,0)*ROUND(O$7*10000,0)/12000000,0)/100,0)</f>
        <v>0</v>
      </c>
      <c r="Q180" s="24">
        <f>IF(Q179&gt;0,ROUND(Q179+P180-O180,2),0)</f>
        <v>0</v>
      </c>
      <c r="R180" s="24">
        <f>IF(T179&gt;0,MIN(ROUND(R$6+IF(R$5=$C180,$E$5+$E180,0),2),ROUND(T179+S180,2)),0)</f>
        <v>0</v>
      </c>
      <c r="S180" s="24">
        <f>IF(T179&gt;0,ROUND(ROUND(T179*100,0)*ROUND(R$7*10000,0)/12000000,0)/100,0)</f>
        <v>0</v>
      </c>
      <c r="T180" s="24">
        <f>IF(T179&gt;0,ROUND(T179+S180-R180,2),0)</f>
        <v>0</v>
      </c>
      <c r="U180" s="24">
        <f>IF(W179&gt;0,MIN(ROUND(U$6+IF(U$5=$C180,$E$5+$E180,0),2),ROUND(W179+V180,2)),0)</f>
        <v>0</v>
      </c>
      <c r="V180" s="24">
        <f>IF(W179&gt;0,ROUND(ROUND(W179*100,0)*ROUND(U$7*10000,0)/12000000,0)/100,0)</f>
        <v>0</v>
      </c>
      <c r="W180" s="24">
        <f>IF(W179&gt;0,ROUND(W179+V180-U180,2),0)</f>
        <v>0</v>
      </c>
      <c r="X180" s="24">
        <f>IF(Z179&gt;0,MIN(ROUND(X$6+IF(X$5=$C180,$E$5+$E180,0),2),ROUND(Z179+Y180,2)),0)</f>
        <v>0</v>
      </c>
      <c r="Y180" s="24">
        <f>IF(Z179&gt;0,ROUND(ROUND(Z179*100,0)*ROUND(X$7*10000,0)/12000000,0)/100,0)</f>
        <v>0</v>
      </c>
      <c r="Z180" s="24">
        <f>IF(Z179&gt;0,ROUND(Z179+Y180-X180,2),0)</f>
        <v>0</v>
      </c>
      <c r="AA180" s="24">
        <f>IF(AC179&gt;0,MIN(ROUND(AA$6+IF(AA$5=$C180,$E$5+$E180,0),2),ROUND(AC179+AB180,2)),0)</f>
        <v>0</v>
      </c>
      <c r="AB180" s="24">
        <f>IF(AC179&gt;0,ROUND(ROUND(AC179*100,0)*ROUND(AA$7*10000,0)/12000000,0)/100,0)</f>
        <v>0</v>
      </c>
      <c r="AC180" s="24">
        <f>IF(AC179&gt;0,ROUND(AC179+AB180-AA180,2),0)</f>
        <v>0</v>
      </c>
      <c r="AD180" s="24">
        <f>IF(AF179&gt;0,MIN(ROUND(AD$6+IF(AD$5=$C180,$E$5+$E180,0),2),ROUND(AF179+AE180,2)),0)</f>
        <v>0</v>
      </c>
      <c r="AE180" s="24">
        <f>IF(AF179&gt;0,ROUND(ROUND(AF179*100,0)*ROUND(AD$7*10000,0)/12000000,0)/100,0)</f>
        <v>0</v>
      </c>
      <c r="AF180" s="24">
        <f>IF(AF179&gt;0,ROUND(AF179+AE180-AD180,2),0)</f>
        <v>0</v>
      </c>
      <c r="AG180" s="24">
        <f>IF(AI179&gt;0,MIN(ROUND(AG$6+IF(AG$5=$C180,$E$5+$E180,0),2),ROUND(AI179+AH180,2)),0)</f>
        <v>0</v>
      </c>
      <c r="AH180" s="24">
        <f>IF(AI179&gt;0,ROUND(ROUND(AI179*100,0)*ROUND(AG$7*10000,0)/12000000,0)/100,0)</f>
        <v>0</v>
      </c>
      <c r="AI180" s="24">
        <f>IF(AI179&gt;0,ROUND(AI179+AH180-AG180,2),0)</f>
        <v>0</v>
      </c>
      <c r="AJ180" s="24">
        <f>IF(AL179&gt;0,MIN(ROUND(AJ$6+IF(AJ$5=$C180,$E$5+$E180,0),2),ROUND(AL179+AK180,2)),0)</f>
        <v>0</v>
      </c>
      <c r="AK180" s="24">
        <f>IF(AL179&gt;0,ROUND(ROUND(AL179*100,0)*ROUND(AJ$7*10000,0)/12000000,0)/100,0)</f>
        <v>0</v>
      </c>
      <c r="AL180" s="24">
        <f>IF(AL179&gt;0,ROUND(AL179+AK180-AJ180,2),0)</f>
        <v>0</v>
      </c>
    </row>
    <row r="181" spans="1:38" x14ac:dyDescent="0.25">
      <c r="A181" s="17" t="str">
        <f>IF(F181&gt;0,171,"")</f>
        <v/>
      </c>
      <c r="B181" s="18" t="str">
        <f>IF(F181&gt;0,EDATE($E$6,171),"")</f>
        <v/>
      </c>
      <c r="C181" s="21">
        <f>IF(H180&gt;0,MIN(IF(K180&gt;0,I$5,99),IF(N180&gt;0,L$5,99),IF(Q180&gt;0,O$5,99),IF(T180&gt;0,R$5,99),IF(W180&gt;0,U$5,99),IF(Z180&gt;0,X$5,99),IF(AC180&gt;0,AA$5,99),IF(AF180&gt;0,AD$5,99),IF(AI180&gt;0,AG$5,99),IF(AL180&gt;0,AJ$5,99)),0)</f>
        <v>0</v>
      </c>
      <c r="D181" t="str">
        <f>IF(C181&gt;0,INDEX($I$4:$AL$4,1,MATCH(C181,$I$5:$AL$5,0)),"")</f>
        <v/>
      </c>
      <c r="E181" s="24">
        <f>ROUND(IF(AND(I$8&gt;0,K180=0),I$6,0)+IF(AND(L$8&gt;0,N180=0),L$6,0)+IF(AND(O$8&gt;0,Q180=0),O$6,0)+IF(AND(R$8&gt;0,T180=0),R$6,0)+IF(AND(U$8&gt;0,W180=0),U$6,0)+IF(AND(X$8&gt;0,Z180=0),X$6,0)+IF(AND(AA$8&gt;0,AC180=0),AA$6,0)+IF(AND(AD$8&gt;0,AF180=0),AD$6,0)+IF(AND(AG$8&gt;0,AI180=0),AG$6,0)+IF(AND(AJ$8&gt;0,AL180=0),AJ$6,0),2)</f>
        <v>330</v>
      </c>
      <c r="F181" s="24">
        <f>ROUND(I181+L181+O181+R181+U181+X181+AA181+AD181+AG181+AJ181,2)</f>
        <v>0</v>
      </c>
      <c r="G181" s="24">
        <f>ROUND(J181+M181+P181+S181+V181+Y181+AB181+AE181+AH181+AK181,2)</f>
        <v>0</v>
      </c>
      <c r="H181" s="24">
        <f>ROUND(K181+N181+Q181+T181+W181+Z181+AC181+AF181+AI181+AL181,2)</f>
        <v>0</v>
      </c>
      <c r="I181" s="24">
        <f>IF(K180&gt;0,MIN(ROUND(I$6+IF(I$5=$C181,$E$5+$E181,0),2),ROUND(K180+J181,2)),0)</f>
        <v>0</v>
      </c>
      <c r="J181" s="24">
        <f>IF(K180&gt;0,ROUND(ROUND(K180*100,0)*ROUND(I$7*10000,0)/12000000,0)/100,0)</f>
        <v>0</v>
      </c>
      <c r="K181" s="24">
        <f>IF(K180&gt;0,ROUND(K180+J181-I181,2),0)</f>
        <v>0</v>
      </c>
      <c r="L181" s="24">
        <f>IF(N180&gt;0,MIN(ROUND(L$6+IF(L$5=$C181,$E$5+$E181,0),2),ROUND(N180+M181,2)),0)</f>
        <v>0</v>
      </c>
      <c r="M181" s="24">
        <f>IF(N180&gt;0,ROUND(ROUND(N180*100,0)*ROUND(L$7*10000,0)/12000000,0)/100,0)</f>
        <v>0</v>
      </c>
      <c r="N181" s="24">
        <f>IF(N180&gt;0,ROUND(N180+M181-L181,2),0)</f>
        <v>0</v>
      </c>
      <c r="O181" s="24">
        <f>IF(Q180&gt;0,MIN(ROUND(O$6+IF(O$5=$C181,$E$5+$E181,0),2),ROUND(Q180+P181,2)),0)</f>
        <v>0</v>
      </c>
      <c r="P181" s="24">
        <f>IF(Q180&gt;0,ROUND(ROUND(Q180*100,0)*ROUND(O$7*10000,0)/12000000,0)/100,0)</f>
        <v>0</v>
      </c>
      <c r="Q181" s="24">
        <f>IF(Q180&gt;0,ROUND(Q180+P181-O181,2),0)</f>
        <v>0</v>
      </c>
      <c r="R181" s="24">
        <f>IF(T180&gt;0,MIN(ROUND(R$6+IF(R$5=$C181,$E$5+$E181,0),2),ROUND(T180+S181,2)),0)</f>
        <v>0</v>
      </c>
      <c r="S181" s="24">
        <f>IF(T180&gt;0,ROUND(ROUND(T180*100,0)*ROUND(R$7*10000,0)/12000000,0)/100,0)</f>
        <v>0</v>
      </c>
      <c r="T181" s="24">
        <f>IF(T180&gt;0,ROUND(T180+S181-R181,2),0)</f>
        <v>0</v>
      </c>
      <c r="U181" s="24">
        <f>IF(W180&gt;0,MIN(ROUND(U$6+IF(U$5=$C181,$E$5+$E181,0),2),ROUND(W180+V181,2)),0)</f>
        <v>0</v>
      </c>
      <c r="V181" s="24">
        <f>IF(W180&gt;0,ROUND(ROUND(W180*100,0)*ROUND(U$7*10000,0)/12000000,0)/100,0)</f>
        <v>0</v>
      </c>
      <c r="W181" s="24">
        <f>IF(W180&gt;0,ROUND(W180+V181-U181,2),0)</f>
        <v>0</v>
      </c>
      <c r="X181" s="24">
        <f>IF(Z180&gt;0,MIN(ROUND(X$6+IF(X$5=$C181,$E$5+$E181,0),2),ROUND(Z180+Y181,2)),0)</f>
        <v>0</v>
      </c>
      <c r="Y181" s="24">
        <f>IF(Z180&gt;0,ROUND(ROUND(Z180*100,0)*ROUND(X$7*10000,0)/12000000,0)/100,0)</f>
        <v>0</v>
      </c>
      <c r="Z181" s="24">
        <f>IF(Z180&gt;0,ROUND(Z180+Y181-X181,2),0)</f>
        <v>0</v>
      </c>
      <c r="AA181" s="24">
        <f>IF(AC180&gt;0,MIN(ROUND(AA$6+IF(AA$5=$C181,$E$5+$E181,0),2),ROUND(AC180+AB181,2)),0)</f>
        <v>0</v>
      </c>
      <c r="AB181" s="24">
        <f>IF(AC180&gt;0,ROUND(ROUND(AC180*100,0)*ROUND(AA$7*10000,0)/12000000,0)/100,0)</f>
        <v>0</v>
      </c>
      <c r="AC181" s="24">
        <f>IF(AC180&gt;0,ROUND(AC180+AB181-AA181,2),0)</f>
        <v>0</v>
      </c>
      <c r="AD181" s="24">
        <f>IF(AF180&gt;0,MIN(ROUND(AD$6+IF(AD$5=$C181,$E$5+$E181,0),2),ROUND(AF180+AE181,2)),0)</f>
        <v>0</v>
      </c>
      <c r="AE181" s="24">
        <f>IF(AF180&gt;0,ROUND(ROUND(AF180*100,0)*ROUND(AD$7*10000,0)/12000000,0)/100,0)</f>
        <v>0</v>
      </c>
      <c r="AF181" s="24">
        <f>IF(AF180&gt;0,ROUND(AF180+AE181-AD181,2),0)</f>
        <v>0</v>
      </c>
      <c r="AG181" s="24">
        <f>IF(AI180&gt;0,MIN(ROUND(AG$6+IF(AG$5=$C181,$E$5+$E181,0),2),ROUND(AI180+AH181,2)),0)</f>
        <v>0</v>
      </c>
      <c r="AH181" s="24">
        <f>IF(AI180&gt;0,ROUND(ROUND(AI180*100,0)*ROUND(AG$7*10000,0)/12000000,0)/100,0)</f>
        <v>0</v>
      </c>
      <c r="AI181" s="24">
        <f>IF(AI180&gt;0,ROUND(AI180+AH181-AG181,2),0)</f>
        <v>0</v>
      </c>
      <c r="AJ181" s="24">
        <f>IF(AL180&gt;0,MIN(ROUND(AJ$6+IF(AJ$5=$C181,$E$5+$E181,0),2),ROUND(AL180+AK181,2)),0)</f>
        <v>0</v>
      </c>
      <c r="AK181" s="24">
        <f>IF(AL180&gt;0,ROUND(ROUND(AL180*100,0)*ROUND(AJ$7*10000,0)/12000000,0)/100,0)</f>
        <v>0</v>
      </c>
      <c r="AL181" s="24">
        <f>IF(AL180&gt;0,ROUND(AL180+AK181-AJ181,2),0)</f>
        <v>0</v>
      </c>
    </row>
    <row r="182" spans="1:38" x14ac:dyDescent="0.25">
      <c r="A182" s="17" t="str">
        <f>IF(F182&gt;0,172,"")</f>
        <v/>
      </c>
      <c r="B182" s="18" t="str">
        <f>IF(F182&gt;0,EDATE($E$6,172),"")</f>
        <v/>
      </c>
      <c r="C182" s="21">
        <f>IF(H181&gt;0,MIN(IF(K181&gt;0,I$5,99),IF(N181&gt;0,L$5,99),IF(Q181&gt;0,O$5,99),IF(T181&gt;0,R$5,99),IF(W181&gt;0,U$5,99),IF(Z181&gt;0,X$5,99),IF(AC181&gt;0,AA$5,99),IF(AF181&gt;0,AD$5,99),IF(AI181&gt;0,AG$5,99),IF(AL181&gt;0,AJ$5,99)),0)</f>
        <v>0</v>
      </c>
      <c r="D182" t="str">
        <f>IF(C182&gt;0,INDEX($I$4:$AL$4,1,MATCH(C182,$I$5:$AL$5,0)),"")</f>
        <v/>
      </c>
      <c r="E182" s="24">
        <f>ROUND(IF(AND(I$8&gt;0,K181=0),I$6,0)+IF(AND(L$8&gt;0,N181=0),L$6,0)+IF(AND(O$8&gt;0,Q181=0),O$6,0)+IF(AND(R$8&gt;0,T181=0),R$6,0)+IF(AND(U$8&gt;0,W181=0),U$6,0)+IF(AND(X$8&gt;0,Z181=0),X$6,0)+IF(AND(AA$8&gt;0,AC181=0),AA$6,0)+IF(AND(AD$8&gt;0,AF181=0),AD$6,0)+IF(AND(AG$8&gt;0,AI181=0),AG$6,0)+IF(AND(AJ$8&gt;0,AL181=0),AJ$6,0),2)</f>
        <v>330</v>
      </c>
      <c r="F182" s="24">
        <f>ROUND(I182+L182+O182+R182+U182+X182+AA182+AD182+AG182+AJ182,2)</f>
        <v>0</v>
      </c>
      <c r="G182" s="24">
        <f>ROUND(J182+M182+P182+S182+V182+Y182+AB182+AE182+AH182+AK182,2)</f>
        <v>0</v>
      </c>
      <c r="H182" s="24">
        <f>ROUND(K182+N182+Q182+T182+W182+Z182+AC182+AF182+AI182+AL182,2)</f>
        <v>0</v>
      </c>
      <c r="I182" s="24">
        <f>IF(K181&gt;0,MIN(ROUND(I$6+IF(I$5=$C182,$E$5+$E182,0),2),ROUND(K181+J182,2)),0)</f>
        <v>0</v>
      </c>
      <c r="J182" s="24">
        <f>IF(K181&gt;0,ROUND(ROUND(K181*100,0)*ROUND(I$7*10000,0)/12000000,0)/100,0)</f>
        <v>0</v>
      </c>
      <c r="K182" s="24">
        <f>IF(K181&gt;0,ROUND(K181+J182-I182,2),0)</f>
        <v>0</v>
      </c>
      <c r="L182" s="24">
        <f>IF(N181&gt;0,MIN(ROUND(L$6+IF(L$5=$C182,$E$5+$E182,0),2),ROUND(N181+M182,2)),0)</f>
        <v>0</v>
      </c>
      <c r="M182" s="24">
        <f>IF(N181&gt;0,ROUND(ROUND(N181*100,0)*ROUND(L$7*10000,0)/12000000,0)/100,0)</f>
        <v>0</v>
      </c>
      <c r="N182" s="24">
        <f>IF(N181&gt;0,ROUND(N181+M182-L182,2),0)</f>
        <v>0</v>
      </c>
      <c r="O182" s="24">
        <f>IF(Q181&gt;0,MIN(ROUND(O$6+IF(O$5=$C182,$E$5+$E182,0),2),ROUND(Q181+P182,2)),0)</f>
        <v>0</v>
      </c>
      <c r="P182" s="24">
        <f>IF(Q181&gt;0,ROUND(ROUND(Q181*100,0)*ROUND(O$7*10000,0)/12000000,0)/100,0)</f>
        <v>0</v>
      </c>
      <c r="Q182" s="24">
        <f>IF(Q181&gt;0,ROUND(Q181+P182-O182,2),0)</f>
        <v>0</v>
      </c>
      <c r="R182" s="24">
        <f>IF(T181&gt;0,MIN(ROUND(R$6+IF(R$5=$C182,$E$5+$E182,0),2),ROUND(T181+S182,2)),0)</f>
        <v>0</v>
      </c>
      <c r="S182" s="24">
        <f>IF(T181&gt;0,ROUND(ROUND(T181*100,0)*ROUND(R$7*10000,0)/12000000,0)/100,0)</f>
        <v>0</v>
      </c>
      <c r="T182" s="24">
        <f>IF(T181&gt;0,ROUND(T181+S182-R182,2),0)</f>
        <v>0</v>
      </c>
      <c r="U182" s="24">
        <f>IF(W181&gt;0,MIN(ROUND(U$6+IF(U$5=$C182,$E$5+$E182,0),2),ROUND(W181+V182,2)),0)</f>
        <v>0</v>
      </c>
      <c r="V182" s="24">
        <f>IF(W181&gt;0,ROUND(ROUND(W181*100,0)*ROUND(U$7*10000,0)/12000000,0)/100,0)</f>
        <v>0</v>
      </c>
      <c r="W182" s="24">
        <f>IF(W181&gt;0,ROUND(W181+V182-U182,2),0)</f>
        <v>0</v>
      </c>
      <c r="X182" s="24">
        <f>IF(Z181&gt;0,MIN(ROUND(X$6+IF(X$5=$C182,$E$5+$E182,0),2),ROUND(Z181+Y182,2)),0)</f>
        <v>0</v>
      </c>
      <c r="Y182" s="24">
        <f>IF(Z181&gt;0,ROUND(ROUND(Z181*100,0)*ROUND(X$7*10000,0)/12000000,0)/100,0)</f>
        <v>0</v>
      </c>
      <c r="Z182" s="24">
        <f>IF(Z181&gt;0,ROUND(Z181+Y182-X182,2),0)</f>
        <v>0</v>
      </c>
      <c r="AA182" s="24">
        <f>IF(AC181&gt;0,MIN(ROUND(AA$6+IF(AA$5=$C182,$E$5+$E182,0),2),ROUND(AC181+AB182,2)),0)</f>
        <v>0</v>
      </c>
      <c r="AB182" s="24">
        <f>IF(AC181&gt;0,ROUND(ROUND(AC181*100,0)*ROUND(AA$7*10000,0)/12000000,0)/100,0)</f>
        <v>0</v>
      </c>
      <c r="AC182" s="24">
        <f>IF(AC181&gt;0,ROUND(AC181+AB182-AA182,2),0)</f>
        <v>0</v>
      </c>
      <c r="AD182" s="24">
        <f>IF(AF181&gt;0,MIN(ROUND(AD$6+IF(AD$5=$C182,$E$5+$E182,0),2),ROUND(AF181+AE182,2)),0)</f>
        <v>0</v>
      </c>
      <c r="AE182" s="24">
        <f>IF(AF181&gt;0,ROUND(ROUND(AF181*100,0)*ROUND(AD$7*10000,0)/12000000,0)/100,0)</f>
        <v>0</v>
      </c>
      <c r="AF182" s="24">
        <f>IF(AF181&gt;0,ROUND(AF181+AE182-AD182,2),0)</f>
        <v>0</v>
      </c>
      <c r="AG182" s="24">
        <f>IF(AI181&gt;0,MIN(ROUND(AG$6+IF(AG$5=$C182,$E$5+$E182,0),2),ROUND(AI181+AH182,2)),0)</f>
        <v>0</v>
      </c>
      <c r="AH182" s="24">
        <f>IF(AI181&gt;0,ROUND(ROUND(AI181*100,0)*ROUND(AG$7*10000,0)/12000000,0)/100,0)</f>
        <v>0</v>
      </c>
      <c r="AI182" s="24">
        <f>IF(AI181&gt;0,ROUND(AI181+AH182-AG182,2),0)</f>
        <v>0</v>
      </c>
      <c r="AJ182" s="24">
        <f>IF(AL181&gt;0,MIN(ROUND(AJ$6+IF(AJ$5=$C182,$E$5+$E182,0),2),ROUND(AL181+AK182,2)),0)</f>
        <v>0</v>
      </c>
      <c r="AK182" s="24">
        <f>IF(AL181&gt;0,ROUND(ROUND(AL181*100,0)*ROUND(AJ$7*10000,0)/12000000,0)/100,0)</f>
        <v>0</v>
      </c>
      <c r="AL182" s="24">
        <f>IF(AL181&gt;0,ROUND(AL181+AK182-AJ182,2),0)</f>
        <v>0</v>
      </c>
    </row>
    <row r="183" spans="1:38" x14ac:dyDescent="0.25">
      <c r="A183" s="17" t="str">
        <f>IF(F183&gt;0,173,"")</f>
        <v/>
      </c>
      <c r="B183" s="18" t="str">
        <f>IF(F183&gt;0,EDATE($E$6,173),"")</f>
        <v/>
      </c>
      <c r="C183" s="21">
        <f>IF(H182&gt;0,MIN(IF(K182&gt;0,I$5,99),IF(N182&gt;0,L$5,99),IF(Q182&gt;0,O$5,99),IF(T182&gt;0,R$5,99),IF(W182&gt;0,U$5,99),IF(Z182&gt;0,X$5,99),IF(AC182&gt;0,AA$5,99),IF(AF182&gt;0,AD$5,99),IF(AI182&gt;0,AG$5,99),IF(AL182&gt;0,AJ$5,99)),0)</f>
        <v>0</v>
      </c>
      <c r="D183" t="str">
        <f>IF(C183&gt;0,INDEX($I$4:$AL$4,1,MATCH(C183,$I$5:$AL$5,0)),"")</f>
        <v/>
      </c>
      <c r="E183" s="24">
        <f>ROUND(IF(AND(I$8&gt;0,K182=0),I$6,0)+IF(AND(L$8&gt;0,N182=0),L$6,0)+IF(AND(O$8&gt;0,Q182=0),O$6,0)+IF(AND(R$8&gt;0,T182=0),R$6,0)+IF(AND(U$8&gt;0,W182=0),U$6,0)+IF(AND(X$8&gt;0,Z182=0),X$6,0)+IF(AND(AA$8&gt;0,AC182=0),AA$6,0)+IF(AND(AD$8&gt;0,AF182=0),AD$6,0)+IF(AND(AG$8&gt;0,AI182=0),AG$6,0)+IF(AND(AJ$8&gt;0,AL182=0),AJ$6,0),2)</f>
        <v>330</v>
      </c>
      <c r="F183" s="24">
        <f>ROUND(I183+L183+O183+R183+U183+X183+AA183+AD183+AG183+AJ183,2)</f>
        <v>0</v>
      </c>
      <c r="G183" s="24">
        <f>ROUND(J183+M183+P183+S183+V183+Y183+AB183+AE183+AH183+AK183,2)</f>
        <v>0</v>
      </c>
      <c r="H183" s="24">
        <f>ROUND(K183+N183+Q183+T183+W183+Z183+AC183+AF183+AI183+AL183,2)</f>
        <v>0</v>
      </c>
      <c r="I183" s="24">
        <f>IF(K182&gt;0,MIN(ROUND(I$6+IF(I$5=$C183,$E$5+$E183,0),2),ROUND(K182+J183,2)),0)</f>
        <v>0</v>
      </c>
      <c r="J183" s="24">
        <f>IF(K182&gt;0,ROUND(ROUND(K182*100,0)*ROUND(I$7*10000,0)/12000000,0)/100,0)</f>
        <v>0</v>
      </c>
      <c r="K183" s="24">
        <f>IF(K182&gt;0,ROUND(K182+J183-I183,2),0)</f>
        <v>0</v>
      </c>
      <c r="L183" s="24">
        <f>IF(N182&gt;0,MIN(ROUND(L$6+IF(L$5=$C183,$E$5+$E183,0),2),ROUND(N182+M183,2)),0)</f>
        <v>0</v>
      </c>
      <c r="M183" s="24">
        <f>IF(N182&gt;0,ROUND(ROUND(N182*100,0)*ROUND(L$7*10000,0)/12000000,0)/100,0)</f>
        <v>0</v>
      </c>
      <c r="N183" s="24">
        <f>IF(N182&gt;0,ROUND(N182+M183-L183,2),0)</f>
        <v>0</v>
      </c>
      <c r="O183" s="24">
        <f>IF(Q182&gt;0,MIN(ROUND(O$6+IF(O$5=$C183,$E$5+$E183,0),2),ROUND(Q182+P183,2)),0)</f>
        <v>0</v>
      </c>
      <c r="P183" s="24">
        <f>IF(Q182&gt;0,ROUND(ROUND(Q182*100,0)*ROUND(O$7*10000,0)/12000000,0)/100,0)</f>
        <v>0</v>
      </c>
      <c r="Q183" s="24">
        <f>IF(Q182&gt;0,ROUND(Q182+P183-O183,2),0)</f>
        <v>0</v>
      </c>
      <c r="R183" s="24">
        <f>IF(T182&gt;0,MIN(ROUND(R$6+IF(R$5=$C183,$E$5+$E183,0),2),ROUND(T182+S183,2)),0)</f>
        <v>0</v>
      </c>
      <c r="S183" s="24">
        <f>IF(T182&gt;0,ROUND(ROUND(T182*100,0)*ROUND(R$7*10000,0)/12000000,0)/100,0)</f>
        <v>0</v>
      </c>
      <c r="T183" s="24">
        <f>IF(T182&gt;0,ROUND(T182+S183-R183,2),0)</f>
        <v>0</v>
      </c>
      <c r="U183" s="24">
        <f>IF(W182&gt;0,MIN(ROUND(U$6+IF(U$5=$C183,$E$5+$E183,0),2),ROUND(W182+V183,2)),0)</f>
        <v>0</v>
      </c>
      <c r="V183" s="24">
        <f>IF(W182&gt;0,ROUND(ROUND(W182*100,0)*ROUND(U$7*10000,0)/12000000,0)/100,0)</f>
        <v>0</v>
      </c>
      <c r="W183" s="24">
        <f>IF(W182&gt;0,ROUND(W182+V183-U183,2),0)</f>
        <v>0</v>
      </c>
      <c r="X183" s="24">
        <f>IF(Z182&gt;0,MIN(ROUND(X$6+IF(X$5=$C183,$E$5+$E183,0),2),ROUND(Z182+Y183,2)),0)</f>
        <v>0</v>
      </c>
      <c r="Y183" s="24">
        <f>IF(Z182&gt;0,ROUND(ROUND(Z182*100,0)*ROUND(X$7*10000,0)/12000000,0)/100,0)</f>
        <v>0</v>
      </c>
      <c r="Z183" s="24">
        <f>IF(Z182&gt;0,ROUND(Z182+Y183-X183,2),0)</f>
        <v>0</v>
      </c>
      <c r="AA183" s="24">
        <f>IF(AC182&gt;0,MIN(ROUND(AA$6+IF(AA$5=$C183,$E$5+$E183,0),2),ROUND(AC182+AB183,2)),0)</f>
        <v>0</v>
      </c>
      <c r="AB183" s="24">
        <f>IF(AC182&gt;0,ROUND(ROUND(AC182*100,0)*ROUND(AA$7*10000,0)/12000000,0)/100,0)</f>
        <v>0</v>
      </c>
      <c r="AC183" s="24">
        <f>IF(AC182&gt;0,ROUND(AC182+AB183-AA183,2),0)</f>
        <v>0</v>
      </c>
      <c r="AD183" s="24">
        <f>IF(AF182&gt;0,MIN(ROUND(AD$6+IF(AD$5=$C183,$E$5+$E183,0),2),ROUND(AF182+AE183,2)),0)</f>
        <v>0</v>
      </c>
      <c r="AE183" s="24">
        <f>IF(AF182&gt;0,ROUND(ROUND(AF182*100,0)*ROUND(AD$7*10000,0)/12000000,0)/100,0)</f>
        <v>0</v>
      </c>
      <c r="AF183" s="24">
        <f>IF(AF182&gt;0,ROUND(AF182+AE183-AD183,2),0)</f>
        <v>0</v>
      </c>
      <c r="AG183" s="24">
        <f>IF(AI182&gt;0,MIN(ROUND(AG$6+IF(AG$5=$C183,$E$5+$E183,0),2),ROUND(AI182+AH183,2)),0)</f>
        <v>0</v>
      </c>
      <c r="AH183" s="24">
        <f>IF(AI182&gt;0,ROUND(ROUND(AI182*100,0)*ROUND(AG$7*10000,0)/12000000,0)/100,0)</f>
        <v>0</v>
      </c>
      <c r="AI183" s="24">
        <f>IF(AI182&gt;0,ROUND(AI182+AH183-AG183,2),0)</f>
        <v>0</v>
      </c>
      <c r="AJ183" s="24">
        <f>IF(AL182&gt;0,MIN(ROUND(AJ$6+IF(AJ$5=$C183,$E$5+$E183,0),2),ROUND(AL182+AK183,2)),0)</f>
        <v>0</v>
      </c>
      <c r="AK183" s="24">
        <f>IF(AL182&gt;0,ROUND(ROUND(AL182*100,0)*ROUND(AJ$7*10000,0)/12000000,0)/100,0)</f>
        <v>0</v>
      </c>
      <c r="AL183" s="24">
        <f>IF(AL182&gt;0,ROUND(AL182+AK183-AJ183,2),0)</f>
        <v>0</v>
      </c>
    </row>
    <row r="184" spans="1:38" x14ac:dyDescent="0.25">
      <c r="A184" s="17" t="str">
        <f>IF(F184&gt;0,174,"")</f>
        <v/>
      </c>
      <c r="B184" s="18" t="str">
        <f>IF(F184&gt;0,EDATE($E$6,174),"")</f>
        <v/>
      </c>
      <c r="C184" s="21">
        <f>IF(H183&gt;0,MIN(IF(K183&gt;0,I$5,99),IF(N183&gt;0,L$5,99),IF(Q183&gt;0,O$5,99),IF(T183&gt;0,R$5,99),IF(W183&gt;0,U$5,99),IF(Z183&gt;0,X$5,99),IF(AC183&gt;0,AA$5,99),IF(AF183&gt;0,AD$5,99),IF(AI183&gt;0,AG$5,99),IF(AL183&gt;0,AJ$5,99)),0)</f>
        <v>0</v>
      </c>
      <c r="D184" t="str">
        <f>IF(C184&gt;0,INDEX($I$4:$AL$4,1,MATCH(C184,$I$5:$AL$5,0)),"")</f>
        <v/>
      </c>
      <c r="E184" s="24">
        <f>ROUND(IF(AND(I$8&gt;0,K183=0),I$6,0)+IF(AND(L$8&gt;0,N183=0),L$6,0)+IF(AND(O$8&gt;0,Q183=0),O$6,0)+IF(AND(R$8&gt;0,T183=0),R$6,0)+IF(AND(U$8&gt;0,W183=0),U$6,0)+IF(AND(X$8&gt;0,Z183=0),X$6,0)+IF(AND(AA$8&gt;0,AC183=0),AA$6,0)+IF(AND(AD$8&gt;0,AF183=0),AD$6,0)+IF(AND(AG$8&gt;0,AI183=0),AG$6,0)+IF(AND(AJ$8&gt;0,AL183=0),AJ$6,0),2)</f>
        <v>330</v>
      </c>
      <c r="F184" s="24">
        <f>ROUND(I184+L184+O184+R184+U184+X184+AA184+AD184+AG184+AJ184,2)</f>
        <v>0</v>
      </c>
      <c r="G184" s="24">
        <f>ROUND(J184+M184+P184+S184+V184+Y184+AB184+AE184+AH184+AK184,2)</f>
        <v>0</v>
      </c>
      <c r="H184" s="24">
        <f>ROUND(K184+N184+Q184+T184+W184+Z184+AC184+AF184+AI184+AL184,2)</f>
        <v>0</v>
      </c>
      <c r="I184" s="24">
        <f>IF(K183&gt;0,MIN(ROUND(I$6+IF(I$5=$C184,$E$5+$E184,0),2),ROUND(K183+J184,2)),0)</f>
        <v>0</v>
      </c>
      <c r="J184" s="24">
        <f>IF(K183&gt;0,ROUND(ROUND(K183*100,0)*ROUND(I$7*10000,0)/12000000,0)/100,0)</f>
        <v>0</v>
      </c>
      <c r="K184" s="24">
        <f>IF(K183&gt;0,ROUND(K183+J184-I184,2),0)</f>
        <v>0</v>
      </c>
      <c r="L184" s="24">
        <f>IF(N183&gt;0,MIN(ROUND(L$6+IF(L$5=$C184,$E$5+$E184,0),2),ROUND(N183+M184,2)),0)</f>
        <v>0</v>
      </c>
      <c r="M184" s="24">
        <f>IF(N183&gt;0,ROUND(ROUND(N183*100,0)*ROUND(L$7*10000,0)/12000000,0)/100,0)</f>
        <v>0</v>
      </c>
      <c r="N184" s="24">
        <f>IF(N183&gt;0,ROUND(N183+M184-L184,2),0)</f>
        <v>0</v>
      </c>
      <c r="O184" s="24">
        <f>IF(Q183&gt;0,MIN(ROUND(O$6+IF(O$5=$C184,$E$5+$E184,0),2),ROUND(Q183+P184,2)),0)</f>
        <v>0</v>
      </c>
      <c r="P184" s="24">
        <f>IF(Q183&gt;0,ROUND(ROUND(Q183*100,0)*ROUND(O$7*10000,0)/12000000,0)/100,0)</f>
        <v>0</v>
      </c>
      <c r="Q184" s="24">
        <f>IF(Q183&gt;0,ROUND(Q183+P184-O184,2),0)</f>
        <v>0</v>
      </c>
      <c r="R184" s="24">
        <f>IF(T183&gt;0,MIN(ROUND(R$6+IF(R$5=$C184,$E$5+$E184,0),2),ROUND(T183+S184,2)),0)</f>
        <v>0</v>
      </c>
      <c r="S184" s="24">
        <f>IF(T183&gt;0,ROUND(ROUND(T183*100,0)*ROUND(R$7*10000,0)/12000000,0)/100,0)</f>
        <v>0</v>
      </c>
      <c r="T184" s="24">
        <f>IF(T183&gt;0,ROUND(T183+S184-R184,2),0)</f>
        <v>0</v>
      </c>
      <c r="U184" s="24">
        <f>IF(W183&gt;0,MIN(ROUND(U$6+IF(U$5=$C184,$E$5+$E184,0),2),ROUND(W183+V184,2)),0)</f>
        <v>0</v>
      </c>
      <c r="V184" s="24">
        <f>IF(W183&gt;0,ROUND(ROUND(W183*100,0)*ROUND(U$7*10000,0)/12000000,0)/100,0)</f>
        <v>0</v>
      </c>
      <c r="W184" s="24">
        <f>IF(W183&gt;0,ROUND(W183+V184-U184,2),0)</f>
        <v>0</v>
      </c>
      <c r="X184" s="24">
        <f>IF(Z183&gt;0,MIN(ROUND(X$6+IF(X$5=$C184,$E$5+$E184,0),2),ROUND(Z183+Y184,2)),0)</f>
        <v>0</v>
      </c>
      <c r="Y184" s="24">
        <f>IF(Z183&gt;0,ROUND(ROUND(Z183*100,0)*ROUND(X$7*10000,0)/12000000,0)/100,0)</f>
        <v>0</v>
      </c>
      <c r="Z184" s="24">
        <f>IF(Z183&gt;0,ROUND(Z183+Y184-X184,2),0)</f>
        <v>0</v>
      </c>
      <c r="AA184" s="24">
        <f>IF(AC183&gt;0,MIN(ROUND(AA$6+IF(AA$5=$C184,$E$5+$E184,0),2),ROUND(AC183+AB184,2)),0)</f>
        <v>0</v>
      </c>
      <c r="AB184" s="24">
        <f>IF(AC183&gt;0,ROUND(ROUND(AC183*100,0)*ROUND(AA$7*10000,0)/12000000,0)/100,0)</f>
        <v>0</v>
      </c>
      <c r="AC184" s="24">
        <f>IF(AC183&gt;0,ROUND(AC183+AB184-AA184,2),0)</f>
        <v>0</v>
      </c>
      <c r="AD184" s="24">
        <f>IF(AF183&gt;0,MIN(ROUND(AD$6+IF(AD$5=$C184,$E$5+$E184,0),2),ROUND(AF183+AE184,2)),0)</f>
        <v>0</v>
      </c>
      <c r="AE184" s="24">
        <f>IF(AF183&gt;0,ROUND(ROUND(AF183*100,0)*ROUND(AD$7*10000,0)/12000000,0)/100,0)</f>
        <v>0</v>
      </c>
      <c r="AF184" s="24">
        <f>IF(AF183&gt;0,ROUND(AF183+AE184-AD184,2),0)</f>
        <v>0</v>
      </c>
      <c r="AG184" s="24">
        <f>IF(AI183&gt;0,MIN(ROUND(AG$6+IF(AG$5=$C184,$E$5+$E184,0),2),ROUND(AI183+AH184,2)),0)</f>
        <v>0</v>
      </c>
      <c r="AH184" s="24">
        <f>IF(AI183&gt;0,ROUND(ROUND(AI183*100,0)*ROUND(AG$7*10000,0)/12000000,0)/100,0)</f>
        <v>0</v>
      </c>
      <c r="AI184" s="24">
        <f>IF(AI183&gt;0,ROUND(AI183+AH184-AG184,2),0)</f>
        <v>0</v>
      </c>
      <c r="AJ184" s="24">
        <f>IF(AL183&gt;0,MIN(ROUND(AJ$6+IF(AJ$5=$C184,$E$5+$E184,0),2),ROUND(AL183+AK184,2)),0)</f>
        <v>0</v>
      </c>
      <c r="AK184" s="24">
        <f>IF(AL183&gt;0,ROUND(ROUND(AL183*100,0)*ROUND(AJ$7*10000,0)/12000000,0)/100,0)</f>
        <v>0</v>
      </c>
      <c r="AL184" s="24">
        <f>IF(AL183&gt;0,ROUND(AL183+AK184-AJ184,2),0)</f>
        <v>0</v>
      </c>
    </row>
    <row r="185" spans="1:38" x14ac:dyDescent="0.25">
      <c r="A185" s="17" t="str">
        <f>IF(F185&gt;0,175,"")</f>
        <v/>
      </c>
      <c r="B185" s="18" t="str">
        <f>IF(F185&gt;0,EDATE($E$6,175),"")</f>
        <v/>
      </c>
      <c r="C185" s="21">
        <f>IF(H184&gt;0,MIN(IF(K184&gt;0,I$5,99),IF(N184&gt;0,L$5,99),IF(Q184&gt;0,O$5,99),IF(T184&gt;0,R$5,99),IF(W184&gt;0,U$5,99),IF(Z184&gt;0,X$5,99),IF(AC184&gt;0,AA$5,99),IF(AF184&gt;0,AD$5,99),IF(AI184&gt;0,AG$5,99),IF(AL184&gt;0,AJ$5,99)),0)</f>
        <v>0</v>
      </c>
      <c r="D185" t="str">
        <f>IF(C185&gt;0,INDEX($I$4:$AL$4,1,MATCH(C185,$I$5:$AL$5,0)),"")</f>
        <v/>
      </c>
      <c r="E185" s="24">
        <f>ROUND(IF(AND(I$8&gt;0,K184=0),I$6,0)+IF(AND(L$8&gt;0,N184=0),L$6,0)+IF(AND(O$8&gt;0,Q184=0),O$6,0)+IF(AND(R$8&gt;0,T184=0),R$6,0)+IF(AND(U$8&gt;0,W184=0),U$6,0)+IF(AND(X$8&gt;0,Z184=0),X$6,0)+IF(AND(AA$8&gt;0,AC184=0),AA$6,0)+IF(AND(AD$8&gt;0,AF184=0),AD$6,0)+IF(AND(AG$8&gt;0,AI184=0),AG$6,0)+IF(AND(AJ$8&gt;0,AL184=0),AJ$6,0),2)</f>
        <v>330</v>
      </c>
      <c r="F185" s="24">
        <f>ROUND(I185+L185+O185+R185+U185+X185+AA185+AD185+AG185+AJ185,2)</f>
        <v>0</v>
      </c>
      <c r="G185" s="24">
        <f>ROUND(J185+M185+P185+S185+V185+Y185+AB185+AE185+AH185+AK185,2)</f>
        <v>0</v>
      </c>
      <c r="H185" s="24">
        <f>ROUND(K185+N185+Q185+T185+W185+Z185+AC185+AF185+AI185+AL185,2)</f>
        <v>0</v>
      </c>
      <c r="I185" s="24">
        <f>IF(K184&gt;0,MIN(ROUND(I$6+IF(I$5=$C185,$E$5+$E185,0),2),ROUND(K184+J185,2)),0)</f>
        <v>0</v>
      </c>
      <c r="J185" s="24">
        <f>IF(K184&gt;0,ROUND(ROUND(K184*100,0)*ROUND(I$7*10000,0)/12000000,0)/100,0)</f>
        <v>0</v>
      </c>
      <c r="K185" s="24">
        <f>IF(K184&gt;0,ROUND(K184+J185-I185,2),0)</f>
        <v>0</v>
      </c>
      <c r="L185" s="24">
        <f>IF(N184&gt;0,MIN(ROUND(L$6+IF(L$5=$C185,$E$5+$E185,0),2),ROUND(N184+M185,2)),0)</f>
        <v>0</v>
      </c>
      <c r="M185" s="24">
        <f>IF(N184&gt;0,ROUND(ROUND(N184*100,0)*ROUND(L$7*10000,0)/12000000,0)/100,0)</f>
        <v>0</v>
      </c>
      <c r="N185" s="24">
        <f>IF(N184&gt;0,ROUND(N184+M185-L185,2),0)</f>
        <v>0</v>
      </c>
      <c r="O185" s="24">
        <f>IF(Q184&gt;0,MIN(ROUND(O$6+IF(O$5=$C185,$E$5+$E185,0),2),ROUND(Q184+P185,2)),0)</f>
        <v>0</v>
      </c>
      <c r="P185" s="24">
        <f>IF(Q184&gt;0,ROUND(ROUND(Q184*100,0)*ROUND(O$7*10000,0)/12000000,0)/100,0)</f>
        <v>0</v>
      </c>
      <c r="Q185" s="24">
        <f>IF(Q184&gt;0,ROUND(Q184+P185-O185,2),0)</f>
        <v>0</v>
      </c>
      <c r="R185" s="24">
        <f>IF(T184&gt;0,MIN(ROUND(R$6+IF(R$5=$C185,$E$5+$E185,0),2),ROUND(T184+S185,2)),0)</f>
        <v>0</v>
      </c>
      <c r="S185" s="24">
        <f>IF(T184&gt;0,ROUND(ROUND(T184*100,0)*ROUND(R$7*10000,0)/12000000,0)/100,0)</f>
        <v>0</v>
      </c>
      <c r="T185" s="24">
        <f>IF(T184&gt;0,ROUND(T184+S185-R185,2),0)</f>
        <v>0</v>
      </c>
      <c r="U185" s="24">
        <f>IF(W184&gt;0,MIN(ROUND(U$6+IF(U$5=$C185,$E$5+$E185,0),2),ROUND(W184+V185,2)),0)</f>
        <v>0</v>
      </c>
      <c r="V185" s="24">
        <f>IF(W184&gt;0,ROUND(ROUND(W184*100,0)*ROUND(U$7*10000,0)/12000000,0)/100,0)</f>
        <v>0</v>
      </c>
      <c r="W185" s="24">
        <f>IF(W184&gt;0,ROUND(W184+V185-U185,2),0)</f>
        <v>0</v>
      </c>
      <c r="X185" s="24">
        <f>IF(Z184&gt;0,MIN(ROUND(X$6+IF(X$5=$C185,$E$5+$E185,0),2),ROUND(Z184+Y185,2)),0)</f>
        <v>0</v>
      </c>
      <c r="Y185" s="24">
        <f>IF(Z184&gt;0,ROUND(ROUND(Z184*100,0)*ROUND(X$7*10000,0)/12000000,0)/100,0)</f>
        <v>0</v>
      </c>
      <c r="Z185" s="24">
        <f>IF(Z184&gt;0,ROUND(Z184+Y185-X185,2),0)</f>
        <v>0</v>
      </c>
      <c r="AA185" s="24">
        <f>IF(AC184&gt;0,MIN(ROUND(AA$6+IF(AA$5=$C185,$E$5+$E185,0),2),ROUND(AC184+AB185,2)),0)</f>
        <v>0</v>
      </c>
      <c r="AB185" s="24">
        <f>IF(AC184&gt;0,ROUND(ROUND(AC184*100,0)*ROUND(AA$7*10000,0)/12000000,0)/100,0)</f>
        <v>0</v>
      </c>
      <c r="AC185" s="24">
        <f>IF(AC184&gt;0,ROUND(AC184+AB185-AA185,2),0)</f>
        <v>0</v>
      </c>
      <c r="AD185" s="24">
        <f>IF(AF184&gt;0,MIN(ROUND(AD$6+IF(AD$5=$C185,$E$5+$E185,0),2),ROUND(AF184+AE185,2)),0)</f>
        <v>0</v>
      </c>
      <c r="AE185" s="24">
        <f>IF(AF184&gt;0,ROUND(ROUND(AF184*100,0)*ROUND(AD$7*10000,0)/12000000,0)/100,0)</f>
        <v>0</v>
      </c>
      <c r="AF185" s="24">
        <f>IF(AF184&gt;0,ROUND(AF184+AE185-AD185,2),0)</f>
        <v>0</v>
      </c>
      <c r="AG185" s="24">
        <f>IF(AI184&gt;0,MIN(ROUND(AG$6+IF(AG$5=$C185,$E$5+$E185,0),2),ROUND(AI184+AH185,2)),0)</f>
        <v>0</v>
      </c>
      <c r="AH185" s="24">
        <f>IF(AI184&gt;0,ROUND(ROUND(AI184*100,0)*ROUND(AG$7*10000,0)/12000000,0)/100,0)</f>
        <v>0</v>
      </c>
      <c r="AI185" s="24">
        <f>IF(AI184&gt;0,ROUND(AI184+AH185-AG185,2),0)</f>
        <v>0</v>
      </c>
      <c r="AJ185" s="24">
        <f>IF(AL184&gt;0,MIN(ROUND(AJ$6+IF(AJ$5=$C185,$E$5+$E185,0),2),ROUND(AL184+AK185,2)),0)</f>
        <v>0</v>
      </c>
      <c r="AK185" s="24">
        <f>IF(AL184&gt;0,ROUND(ROUND(AL184*100,0)*ROUND(AJ$7*10000,0)/12000000,0)/100,0)</f>
        <v>0</v>
      </c>
      <c r="AL185" s="24">
        <f>IF(AL184&gt;0,ROUND(AL184+AK185-AJ185,2),0)</f>
        <v>0</v>
      </c>
    </row>
    <row r="186" spans="1:38" x14ac:dyDescent="0.25">
      <c r="A186" s="17" t="str">
        <f>IF(F186&gt;0,176,"")</f>
        <v/>
      </c>
      <c r="B186" s="18" t="str">
        <f>IF(F186&gt;0,EDATE($E$6,176),"")</f>
        <v/>
      </c>
      <c r="C186" s="21">
        <f>IF(H185&gt;0,MIN(IF(K185&gt;0,I$5,99),IF(N185&gt;0,L$5,99),IF(Q185&gt;0,O$5,99),IF(T185&gt;0,R$5,99),IF(W185&gt;0,U$5,99),IF(Z185&gt;0,X$5,99),IF(AC185&gt;0,AA$5,99),IF(AF185&gt;0,AD$5,99),IF(AI185&gt;0,AG$5,99),IF(AL185&gt;0,AJ$5,99)),0)</f>
        <v>0</v>
      </c>
      <c r="D186" t="str">
        <f>IF(C186&gt;0,INDEX($I$4:$AL$4,1,MATCH(C186,$I$5:$AL$5,0)),"")</f>
        <v/>
      </c>
      <c r="E186" s="24">
        <f>ROUND(IF(AND(I$8&gt;0,K185=0),I$6,0)+IF(AND(L$8&gt;0,N185=0),L$6,0)+IF(AND(O$8&gt;0,Q185=0),O$6,0)+IF(AND(R$8&gt;0,T185=0),R$6,0)+IF(AND(U$8&gt;0,W185=0),U$6,0)+IF(AND(X$8&gt;0,Z185=0),X$6,0)+IF(AND(AA$8&gt;0,AC185=0),AA$6,0)+IF(AND(AD$8&gt;0,AF185=0),AD$6,0)+IF(AND(AG$8&gt;0,AI185=0),AG$6,0)+IF(AND(AJ$8&gt;0,AL185=0),AJ$6,0),2)</f>
        <v>330</v>
      </c>
      <c r="F186" s="24">
        <f>ROUND(I186+L186+O186+R186+U186+X186+AA186+AD186+AG186+AJ186,2)</f>
        <v>0</v>
      </c>
      <c r="G186" s="24">
        <f>ROUND(J186+M186+P186+S186+V186+Y186+AB186+AE186+AH186+AK186,2)</f>
        <v>0</v>
      </c>
      <c r="H186" s="24">
        <f>ROUND(K186+N186+Q186+T186+W186+Z186+AC186+AF186+AI186+AL186,2)</f>
        <v>0</v>
      </c>
      <c r="I186" s="24">
        <f>IF(K185&gt;0,MIN(ROUND(I$6+IF(I$5=$C186,$E$5+$E186,0),2),ROUND(K185+J186,2)),0)</f>
        <v>0</v>
      </c>
      <c r="J186" s="24">
        <f>IF(K185&gt;0,ROUND(ROUND(K185*100,0)*ROUND(I$7*10000,0)/12000000,0)/100,0)</f>
        <v>0</v>
      </c>
      <c r="K186" s="24">
        <f>IF(K185&gt;0,ROUND(K185+J186-I186,2),0)</f>
        <v>0</v>
      </c>
      <c r="L186" s="24">
        <f>IF(N185&gt;0,MIN(ROUND(L$6+IF(L$5=$C186,$E$5+$E186,0),2),ROUND(N185+M186,2)),0)</f>
        <v>0</v>
      </c>
      <c r="M186" s="24">
        <f>IF(N185&gt;0,ROUND(ROUND(N185*100,0)*ROUND(L$7*10000,0)/12000000,0)/100,0)</f>
        <v>0</v>
      </c>
      <c r="N186" s="24">
        <f>IF(N185&gt;0,ROUND(N185+M186-L186,2),0)</f>
        <v>0</v>
      </c>
      <c r="O186" s="24">
        <f>IF(Q185&gt;0,MIN(ROUND(O$6+IF(O$5=$C186,$E$5+$E186,0),2),ROUND(Q185+P186,2)),0)</f>
        <v>0</v>
      </c>
      <c r="P186" s="24">
        <f>IF(Q185&gt;0,ROUND(ROUND(Q185*100,0)*ROUND(O$7*10000,0)/12000000,0)/100,0)</f>
        <v>0</v>
      </c>
      <c r="Q186" s="24">
        <f>IF(Q185&gt;0,ROUND(Q185+P186-O186,2),0)</f>
        <v>0</v>
      </c>
      <c r="R186" s="24">
        <f>IF(T185&gt;0,MIN(ROUND(R$6+IF(R$5=$C186,$E$5+$E186,0),2),ROUND(T185+S186,2)),0)</f>
        <v>0</v>
      </c>
      <c r="S186" s="24">
        <f>IF(T185&gt;0,ROUND(ROUND(T185*100,0)*ROUND(R$7*10000,0)/12000000,0)/100,0)</f>
        <v>0</v>
      </c>
      <c r="T186" s="24">
        <f>IF(T185&gt;0,ROUND(T185+S186-R186,2),0)</f>
        <v>0</v>
      </c>
      <c r="U186" s="24">
        <f>IF(W185&gt;0,MIN(ROUND(U$6+IF(U$5=$C186,$E$5+$E186,0),2),ROUND(W185+V186,2)),0)</f>
        <v>0</v>
      </c>
      <c r="V186" s="24">
        <f>IF(W185&gt;0,ROUND(ROUND(W185*100,0)*ROUND(U$7*10000,0)/12000000,0)/100,0)</f>
        <v>0</v>
      </c>
      <c r="W186" s="24">
        <f>IF(W185&gt;0,ROUND(W185+V186-U186,2),0)</f>
        <v>0</v>
      </c>
      <c r="X186" s="24">
        <f>IF(Z185&gt;0,MIN(ROUND(X$6+IF(X$5=$C186,$E$5+$E186,0),2),ROUND(Z185+Y186,2)),0)</f>
        <v>0</v>
      </c>
      <c r="Y186" s="24">
        <f>IF(Z185&gt;0,ROUND(ROUND(Z185*100,0)*ROUND(X$7*10000,0)/12000000,0)/100,0)</f>
        <v>0</v>
      </c>
      <c r="Z186" s="24">
        <f>IF(Z185&gt;0,ROUND(Z185+Y186-X186,2),0)</f>
        <v>0</v>
      </c>
      <c r="AA186" s="24">
        <f>IF(AC185&gt;0,MIN(ROUND(AA$6+IF(AA$5=$C186,$E$5+$E186,0),2),ROUND(AC185+AB186,2)),0)</f>
        <v>0</v>
      </c>
      <c r="AB186" s="24">
        <f>IF(AC185&gt;0,ROUND(ROUND(AC185*100,0)*ROUND(AA$7*10000,0)/12000000,0)/100,0)</f>
        <v>0</v>
      </c>
      <c r="AC186" s="24">
        <f>IF(AC185&gt;0,ROUND(AC185+AB186-AA186,2),0)</f>
        <v>0</v>
      </c>
      <c r="AD186" s="24">
        <f>IF(AF185&gt;0,MIN(ROUND(AD$6+IF(AD$5=$C186,$E$5+$E186,0),2),ROUND(AF185+AE186,2)),0)</f>
        <v>0</v>
      </c>
      <c r="AE186" s="24">
        <f>IF(AF185&gt;0,ROUND(ROUND(AF185*100,0)*ROUND(AD$7*10000,0)/12000000,0)/100,0)</f>
        <v>0</v>
      </c>
      <c r="AF186" s="24">
        <f>IF(AF185&gt;0,ROUND(AF185+AE186-AD186,2),0)</f>
        <v>0</v>
      </c>
      <c r="AG186" s="24">
        <f>IF(AI185&gt;0,MIN(ROUND(AG$6+IF(AG$5=$C186,$E$5+$E186,0),2),ROUND(AI185+AH186,2)),0)</f>
        <v>0</v>
      </c>
      <c r="AH186" s="24">
        <f>IF(AI185&gt;0,ROUND(ROUND(AI185*100,0)*ROUND(AG$7*10000,0)/12000000,0)/100,0)</f>
        <v>0</v>
      </c>
      <c r="AI186" s="24">
        <f>IF(AI185&gt;0,ROUND(AI185+AH186-AG186,2),0)</f>
        <v>0</v>
      </c>
      <c r="AJ186" s="24">
        <f>IF(AL185&gt;0,MIN(ROUND(AJ$6+IF(AJ$5=$C186,$E$5+$E186,0),2),ROUND(AL185+AK186,2)),0)</f>
        <v>0</v>
      </c>
      <c r="AK186" s="24">
        <f>IF(AL185&gt;0,ROUND(ROUND(AL185*100,0)*ROUND(AJ$7*10000,0)/12000000,0)/100,0)</f>
        <v>0</v>
      </c>
      <c r="AL186" s="24">
        <f>IF(AL185&gt;0,ROUND(AL185+AK186-AJ186,2),0)</f>
        <v>0</v>
      </c>
    </row>
    <row r="187" spans="1:38" x14ac:dyDescent="0.25">
      <c r="A187" s="17" t="str">
        <f>IF(F187&gt;0,177,"")</f>
        <v/>
      </c>
      <c r="B187" s="18" t="str">
        <f>IF(F187&gt;0,EDATE($E$6,177),"")</f>
        <v/>
      </c>
      <c r="C187" s="21">
        <f>IF(H186&gt;0,MIN(IF(K186&gt;0,I$5,99),IF(N186&gt;0,L$5,99),IF(Q186&gt;0,O$5,99),IF(T186&gt;0,R$5,99),IF(W186&gt;0,U$5,99),IF(Z186&gt;0,X$5,99),IF(AC186&gt;0,AA$5,99),IF(AF186&gt;0,AD$5,99),IF(AI186&gt;0,AG$5,99),IF(AL186&gt;0,AJ$5,99)),0)</f>
        <v>0</v>
      </c>
      <c r="D187" t="str">
        <f>IF(C187&gt;0,INDEX($I$4:$AL$4,1,MATCH(C187,$I$5:$AL$5,0)),"")</f>
        <v/>
      </c>
      <c r="E187" s="24">
        <f>ROUND(IF(AND(I$8&gt;0,K186=0),I$6,0)+IF(AND(L$8&gt;0,N186=0),L$6,0)+IF(AND(O$8&gt;0,Q186=0),O$6,0)+IF(AND(R$8&gt;0,T186=0),R$6,0)+IF(AND(U$8&gt;0,W186=0),U$6,0)+IF(AND(X$8&gt;0,Z186=0),X$6,0)+IF(AND(AA$8&gt;0,AC186=0),AA$6,0)+IF(AND(AD$8&gt;0,AF186=0),AD$6,0)+IF(AND(AG$8&gt;0,AI186=0),AG$6,0)+IF(AND(AJ$8&gt;0,AL186=0),AJ$6,0),2)</f>
        <v>330</v>
      </c>
      <c r="F187" s="24">
        <f>ROUND(I187+L187+O187+R187+U187+X187+AA187+AD187+AG187+AJ187,2)</f>
        <v>0</v>
      </c>
      <c r="G187" s="24">
        <f>ROUND(J187+M187+P187+S187+V187+Y187+AB187+AE187+AH187+AK187,2)</f>
        <v>0</v>
      </c>
      <c r="H187" s="24">
        <f>ROUND(K187+N187+Q187+T187+W187+Z187+AC187+AF187+AI187+AL187,2)</f>
        <v>0</v>
      </c>
      <c r="I187" s="24">
        <f>IF(K186&gt;0,MIN(ROUND(I$6+IF(I$5=$C187,$E$5+$E187,0),2),ROUND(K186+J187,2)),0)</f>
        <v>0</v>
      </c>
      <c r="J187" s="24">
        <f>IF(K186&gt;0,ROUND(ROUND(K186*100,0)*ROUND(I$7*10000,0)/12000000,0)/100,0)</f>
        <v>0</v>
      </c>
      <c r="K187" s="24">
        <f>IF(K186&gt;0,ROUND(K186+J187-I187,2),0)</f>
        <v>0</v>
      </c>
      <c r="L187" s="24">
        <f>IF(N186&gt;0,MIN(ROUND(L$6+IF(L$5=$C187,$E$5+$E187,0),2),ROUND(N186+M187,2)),0)</f>
        <v>0</v>
      </c>
      <c r="M187" s="24">
        <f>IF(N186&gt;0,ROUND(ROUND(N186*100,0)*ROUND(L$7*10000,0)/12000000,0)/100,0)</f>
        <v>0</v>
      </c>
      <c r="N187" s="24">
        <f>IF(N186&gt;0,ROUND(N186+M187-L187,2),0)</f>
        <v>0</v>
      </c>
      <c r="O187" s="24">
        <f>IF(Q186&gt;0,MIN(ROUND(O$6+IF(O$5=$C187,$E$5+$E187,0),2),ROUND(Q186+P187,2)),0)</f>
        <v>0</v>
      </c>
      <c r="P187" s="24">
        <f>IF(Q186&gt;0,ROUND(ROUND(Q186*100,0)*ROUND(O$7*10000,0)/12000000,0)/100,0)</f>
        <v>0</v>
      </c>
      <c r="Q187" s="24">
        <f>IF(Q186&gt;0,ROUND(Q186+P187-O187,2),0)</f>
        <v>0</v>
      </c>
      <c r="R187" s="24">
        <f>IF(T186&gt;0,MIN(ROUND(R$6+IF(R$5=$C187,$E$5+$E187,0),2),ROUND(T186+S187,2)),0)</f>
        <v>0</v>
      </c>
      <c r="S187" s="24">
        <f>IF(T186&gt;0,ROUND(ROUND(T186*100,0)*ROUND(R$7*10000,0)/12000000,0)/100,0)</f>
        <v>0</v>
      </c>
      <c r="T187" s="24">
        <f>IF(T186&gt;0,ROUND(T186+S187-R187,2),0)</f>
        <v>0</v>
      </c>
      <c r="U187" s="24">
        <f>IF(W186&gt;0,MIN(ROUND(U$6+IF(U$5=$C187,$E$5+$E187,0),2),ROUND(W186+V187,2)),0)</f>
        <v>0</v>
      </c>
      <c r="V187" s="24">
        <f>IF(W186&gt;0,ROUND(ROUND(W186*100,0)*ROUND(U$7*10000,0)/12000000,0)/100,0)</f>
        <v>0</v>
      </c>
      <c r="W187" s="24">
        <f>IF(W186&gt;0,ROUND(W186+V187-U187,2),0)</f>
        <v>0</v>
      </c>
      <c r="X187" s="24">
        <f>IF(Z186&gt;0,MIN(ROUND(X$6+IF(X$5=$C187,$E$5+$E187,0),2),ROUND(Z186+Y187,2)),0)</f>
        <v>0</v>
      </c>
      <c r="Y187" s="24">
        <f>IF(Z186&gt;0,ROUND(ROUND(Z186*100,0)*ROUND(X$7*10000,0)/12000000,0)/100,0)</f>
        <v>0</v>
      </c>
      <c r="Z187" s="24">
        <f>IF(Z186&gt;0,ROUND(Z186+Y187-X187,2),0)</f>
        <v>0</v>
      </c>
      <c r="AA187" s="24">
        <f>IF(AC186&gt;0,MIN(ROUND(AA$6+IF(AA$5=$C187,$E$5+$E187,0),2),ROUND(AC186+AB187,2)),0)</f>
        <v>0</v>
      </c>
      <c r="AB187" s="24">
        <f>IF(AC186&gt;0,ROUND(ROUND(AC186*100,0)*ROUND(AA$7*10000,0)/12000000,0)/100,0)</f>
        <v>0</v>
      </c>
      <c r="AC187" s="24">
        <f>IF(AC186&gt;0,ROUND(AC186+AB187-AA187,2),0)</f>
        <v>0</v>
      </c>
      <c r="AD187" s="24">
        <f>IF(AF186&gt;0,MIN(ROUND(AD$6+IF(AD$5=$C187,$E$5+$E187,0),2),ROUND(AF186+AE187,2)),0)</f>
        <v>0</v>
      </c>
      <c r="AE187" s="24">
        <f>IF(AF186&gt;0,ROUND(ROUND(AF186*100,0)*ROUND(AD$7*10000,0)/12000000,0)/100,0)</f>
        <v>0</v>
      </c>
      <c r="AF187" s="24">
        <f>IF(AF186&gt;0,ROUND(AF186+AE187-AD187,2),0)</f>
        <v>0</v>
      </c>
      <c r="AG187" s="24">
        <f>IF(AI186&gt;0,MIN(ROUND(AG$6+IF(AG$5=$C187,$E$5+$E187,0),2),ROUND(AI186+AH187,2)),0)</f>
        <v>0</v>
      </c>
      <c r="AH187" s="24">
        <f>IF(AI186&gt;0,ROUND(ROUND(AI186*100,0)*ROUND(AG$7*10000,0)/12000000,0)/100,0)</f>
        <v>0</v>
      </c>
      <c r="AI187" s="24">
        <f>IF(AI186&gt;0,ROUND(AI186+AH187-AG187,2),0)</f>
        <v>0</v>
      </c>
      <c r="AJ187" s="24">
        <f>IF(AL186&gt;0,MIN(ROUND(AJ$6+IF(AJ$5=$C187,$E$5+$E187,0),2),ROUND(AL186+AK187,2)),0)</f>
        <v>0</v>
      </c>
      <c r="AK187" s="24">
        <f>IF(AL186&gt;0,ROUND(ROUND(AL186*100,0)*ROUND(AJ$7*10000,0)/12000000,0)/100,0)</f>
        <v>0</v>
      </c>
      <c r="AL187" s="24">
        <f>IF(AL186&gt;0,ROUND(AL186+AK187-AJ187,2),0)</f>
        <v>0</v>
      </c>
    </row>
    <row r="188" spans="1:38" x14ac:dyDescent="0.25">
      <c r="A188" s="17" t="str">
        <f>IF(F188&gt;0,178,"")</f>
        <v/>
      </c>
      <c r="B188" s="18" t="str">
        <f>IF(F188&gt;0,EDATE($E$6,178),"")</f>
        <v/>
      </c>
      <c r="C188" s="21">
        <f>IF(H187&gt;0,MIN(IF(K187&gt;0,I$5,99),IF(N187&gt;0,L$5,99),IF(Q187&gt;0,O$5,99),IF(T187&gt;0,R$5,99),IF(W187&gt;0,U$5,99),IF(Z187&gt;0,X$5,99),IF(AC187&gt;0,AA$5,99),IF(AF187&gt;0,AD$5,99),IF(AI187&gt;0,AG$5,99),IF(AL187&gt;0,AJ$5,99)),0)</f>
        <v>0</v>
      </c>
      <c r="D188" t="str">
        <f>IF(C188&gt;0,INDEX($I$4:$AL$4,1,MATCH(C188,$I$5:$AL$5,0)),"")</f>
        <v/>
      </c>
      <c r="E188" s="24">
        <f>ROUND(IF(AND(I$8&gt;0,K187=0),I$6,0)+IF(AND(L$8&gt;0,N187=0),L$6,0)+IF(AND(O$8&gt;0,Q187=0),O$6,0)+IF(AND(R$8&gt;0,T187=0),R$6,0)+IF(AND(U$8&gt;0,W187=0),U$6,0)+IF(AND(X$8&gt;0,Z187=0),X$6,0)+IF(AND(AA$8&gt;0,AC187=0),AA$6,0)+IF(AND(AD$8&gt;0,AF187=0),AD$6,0)+IF(AND(AG$8&gt;0,AI187=0),AG$6,0)+IF(AND(AJ$8&gt;0,AL187=0),AJ$6,0),2)</f>
        <v>330</v>
      </c>
      <c r="F188" s="24">
        <f>ROUND(I188+L188+O188+R188+U188+X188+AA188+AD188+AG188+AJ188,2)</f>
        <v>0</v>
      </c>
      <c r="G188" s="24">
        <f>ROUND(J188+M188+P188+S188+V188+Y188+AB188+AE188+AH188+AK188,2)</f>
        <v>0</v>
      </c>
      <c r="H188" s="24">
        <f>ROUND(K188+N188+Q188+T188+W188+Z188+AC188+AF188+AI188+AL188,2)</f>
        <v>0</v>
      </c>
      <c r="I188" s="24">
        <f>IF(K187&gt;0,MIN(ROUND(I$6+IF(I$5=$C188,$E$5+$E188,0),2),ROUND(K187+J188,2)),0)</f>
        <v>0</v>
      </c>
      <c r="J188" s="24">
        <f>IF(K187&gt;0,ROUND(ROUND(K187*100,0)*ROUND(I$7*10000,0)/12000000,0)/100,0)</f>
        <v>0</v>
      </c>
      <c r="K188" s="24">
        <f>IF(K187&gt;0,ROUND(K187+J188-I188,2),0)</f>
        <v>0</v>
      </c>
      <c r="L188" s="24">
        <f>IF(N187&gt;0,MIN(ROUND(L$6+IF(L$5=$C188,$E$5+$E188,0),2),ROUND(N187+M188,2)),0)</f>
        <v>0</v>
      </c>
      <c r="M188" s="24">
        <f>IF(N187&gt;0,ROUND(ROUND(N187*100,0)*ROUND(L$7*10000,0)/12000000,0)/100,0)</f>
        <v>0</v>
      </c>
      <c r="N188" s="24">
        <f>IF(N187&gt;0,ROUND(N187+M188-L188,2),0)</f>
        <v>0</v>
      </c>
      <c r="O188" s="24">
        <f>IF(Q187&gt;0,MIN(ROUND(O$6+IF(O$5=$C188,$E$5+$E188,0),2),ROUND(Q187+P188,2)),0)</f>
        <v>0</v>
      </c>
      <c r="P188" s="24">
        <f>IF(Q187&gt;0,ROUND(ROUND(Q187*100,0)*ROUND(O$7*10000,0)/12000000,0)/100,0)</f>
        <v>0</v>
      </c>
      <c r="Q188" s="24">
        <f>IF(Q187&gt;0,ROUND(Q187+P188-O188,2),0)</f>
        <v>0</v>
      </c>
      <c r="R188" s="24">
        <f>IF(T187&gt;0,MIN(ROUND(R$6+IF(R$5=$C188,$E$5+$E188,0),2),ROUND(T187+S188,2)),0)</f>
        <v>0</v>
      </c>
      <c r="S188" s="24">
        <f>IF(T187&gt;0,ROUND(ROUND(T187*100,0)*ROUND(R$7*10000,0)/12000000,0)/100,0)</f>
        <v>0</v>
      </c>
      <c r="T188" s="24">
        <f>IF(T187&gt;0,ROUND(T187+S188-R188,2),0)</f>
        <v>0</v>
      </c>
      <c r="U188" s="24">
        <f>IF(W187&gt;0,MIN(ROUND(U$6+IF(U$5=$C188,$E$5+$E188,0),2),ROUND(W187+V188,2)),0)</f>
        <v>0</v>
      </c>
      <c r="V188" s="24">
        <f>IF(W187&gt;0,ROUND(ROUND(W187*100,0)*ROUND(U$7*10000,0)/12000000,0)/100,0)</f>
        <v>0</v>
      </c>
      <c r="W188" s="24">
        <f>IF(W187&gt;0,ROUND(W187+V188-U188,2),0)</f>
        <v>0</v>
      </c>
      <c r="X188" s="24">
        <f>IF(Z187&gt;0,MIN(ROUND(X$6+IF(X$5=$C188,$E$5+$E188,0),2),ROUND(Z187+Y188,2)),0)</f>
        <v>0</v>
      </c>
      <c r="Y188" s="24">
        <f>IF(Z187&gt;0,ROUND(ROUND(Z187*100,0)*ROUND(X$7*10000,0)/12000000,0)/100,0)</f>
        <v>0</v>
      </c>
      <c r="Z188" s="24">
        <f>IF(Z187&gt;0,ROUND(Z187+Y188-X188,2),0)</f>
        <v>0</v>
      </c>
      <c r="AA188" s="24">
        <f>IF(AC187&gt;0,MIN(ROUND(AA$6+IF(AA$5=$C188,$E$5+$E188,0),2),ROUND(AC187+AB188,2)),0)</f>
        <v>0</v>
      </c>
      <c r="AB188" s="24">
        <f>IF(AC187&gt;0,ROUND(ROUND(AC187*100,0)*ROUND(AA$7*10000,0)/12000000,0)/100,0)</f>
        <v>0</v>
      </c>
      <c r="AC188" s="24">
        <f>IF(AC187&gt;0,ROUND(AC187+AB188-AA188,2),0)</f>
        <v>0</v>
      </c>
      <c r="AD188" s="24">
        <f>IF(AF187&gt;0,MIN(ROUND(AD$6+IF(AD$5=$C188,$E$5+$E188,0),2),ROUND(AF187+AE188,2)),0)</f>
        <v>0</v>
      </c>
      <c r="AE188" s="24">
        <f>IF(AF187&gt;0,ROUND(ROUND(AF187*100,0)*ROUND(AD$7*10000,0)/12000000,0)/100,0)</f>
        <v>0</v>
      </c>
      <c r="AF188" s="24">
        <f>IF(AF187&gt;0,ROUND(AF187+AE188-AD188,2),0)</f>
        <v>0</v>
      </c>
      <c r="AG188" s="24">
        <f>IF(AI187&gt;0,MIN(ROUND(AG$6+IF(AG$5=$C188,$E$5+$E188,0),2),ROUND(AI187+AH188,2)),0)</f>
        <v>0</v>
      </c>
      <c r="AH188" s="24">
        <f>IF(AI187&gt;0,ROUND(ROUND(AI187*100,0)*ROUND(AG$7*10000,0)/12000000,0)/100,0)</f>
        <v>0</v>
      </c>
      <c r="AI188" s="24">
        <f>IF(AI187&gt;0,ROUND(AI187+AH188-AG188,2),0)</f>
        <v>0</v>
      </c>
      <c r="AJ188" s="24">
        <f>IF(AL187&gt;0,MIN(ROUND(AJ$6+IF(AJ$5=$C188,$E$5+$E188,0),2),ROUND(AL187+AK188,2)),0)</f>
        <v>0</v>
      </c>
      <c r="AK188" s="24">
        <f>IF(AL187&gt;0,ROUND(ROUND(AL187*100,0)*ROUND(AJ$7*10000,0)/12000000,0)/100,0)</f>
        <v>0</v>
      </c>
      <c r="AL188" s="24">
        <f>IF(AL187&gt;0,ROUND(AL187+AK188-AJ188,2),0)</f>
        <v>0</v>
      </c>
    </row>
    <row r="189" spans="1:38" x14ac:dyDescent="0.25">
      <c r="A189" s="17" t="str">
        <f>IF(F189&gt;0,179,"")</f>
        <v/>
      </c>
      <c r="B189" s="18" t="str">
        <f>IF(F189&gt;0,EDATE($E$6,179),"")</f>
        <v/>
      </c>
      <c r="C189" s="21">
        <f>IF(H188&gt;0,MIN(IF(K188&gt;0,I$5,99),IF(N188&gt;0,L$5,99),IF(Q188&gt;0,O$5,99),IF(T188&gt;0,R$5,99),IF(W188&gt;0,U$5,99),IF(Z188&gt;0,X$5,99),IF(AC188&gt;0,AA$5,99),IF(AF188&gt;0,AD$5,99),IF(AI188&gt;0,AG$5,99),IF(AL188&gt;0,AJ$5,99)),0)</f>
        <v>0</v>
      </c>
      <c r="D189" t="str">
        <f>IF(C189&gt;0,INDEX($I$4:$AL$4,1,MATCH(C189,$I$5:$AL$5,0)),"")</f>
        <v/>
      </c>
      <c r="E189" s="24">
        <f>ROUND(IF(AND(I$8&gt;0,K188=0),I$6,0)+IF(AND(L$8&gt;0,N188=0),L$6,0)+IF(AND(O$8&gt;0,Q188=0),O$6,0)+IF(AND(R$8&gt;0,T188=0),R$6,0)+IF(AND(U$8&gt;0,W188=0),U$6,0)+IF(AND(X$8&gt;0,Z188=0),X$6,0)+IF(AND(AA$8&gt;0,AC188=0),AA$6,0)+IF(AND(AD$8&gt;0,AF188=0),AD$6,0)+IF(AND(AG$8&gt;0,AI188=0),AG$6,0)+IF(AND(AJ$8&gt;0,AL188=0),AJ$6,0),2)</f>
        <v>330</v>
      </c>
      <c r="F189" s="24">
        <f>ROUND(I189+L189+O189+R189+U189+X189+AA189+AD189+AG189+AJ189,2)</f>
        <v>0</v>
      </c>
      <c r="G189" s="24">
        <f>ROUND(J189+M189+P189+S189+V189+Y189+AB189+AE189+AH189+AK189,2)</f>
        <v>0</v>
      </c>
      <c r="H189" s="24">
        <f>ROUND(K189+N189+Q189+T189+W189+Z189+AC189+AF189+AI189+AL189,2)</f>
        <v>0</v>
      </c>
      <c r="I189" s="24">
        <f>IF(K188&gt;0,MIN(ROUND(I$6+IF(I$5=$C189,$E$5+$E189,0),2),ROUND(K188+J189,2)),0)</f>
        <v>0</v>
      </c>
      <c r="J189" s="24">
        <f>IF(K188&gt;0,ROUND(ROUND(K188*100,0)*ROUND(I$7*10000,0)/12000000,0)/100,0)</f>
        <v>0</v>
      </c>
      <c r="K189" s="24">
        <f>IF(K188&gt;0,ROUND(K188+J189-I189,2),0)</f>
        <v>0</v>
      </c>
      <c r="L189" s="24">
        <f>IF(N188&gt;0,MIN(ROUND(L$6+IF(L$5=$C189,$E$5+$E189,0),2),ROUND(N188+M189,2)),0)</f>
        <v>0</v>
      </c>
      <c r="M189" s="24">
        <f>IF(N188&gt;0,ROUND(ROUND(N188*100,0)*ROUND(L$7*10000,0)/12000000,0)/100,0)</f>
        <v>0</v>
      </c>
      <c r="N189" s="24">
        <f>IF(N188&gt;0,ROUND(N188+M189-L189,2),0)</f>
        <v>0</v>
      </c>
      <c r="O189" s="24">
        <f>IF(Q188&gt;0,MIN(ROUND(O$6+IF(O$5=$C189,$E$5+$E189,0),2),ROUND(Q188+P189,2)),0)</f>
        <v>0</v>
      </c>
      <c r="P189" s="24">
        <f>IF(Q188&gt;0,ROUND(ROUND(Q188*100,0)*ROUND(O$7*10000,0)/12000000,0)/100,0)</f>
        <v>0</v>
      </c>
      <c r="Q189" s="24">
        <f>IF(Q188&gt;0,ROUND(Q188+P189-O189,2),0)</f>
        <v>0</v>
      </c>
      <c r="R189" s="24">
        <f>IF(T188&gt;0,MIN(ROUND(R$6+IF(R$5=$C189,$E$5+$E189,0),2),ROUND(T188+S189,2)),0)</f>
        <v>0</v>
      </c>
      <c r="S189" s="24">
        <f>IF(T188&gt;0,ROUND(ROUND(T188*100,0)*ROUND(R$7*10000,0)/12000000,0)/100,0)</f>
        <v>0</v>
      </c>
      <c r="T189" s="24">
        <f>IF(T188&gt;0,ROUND(T188+S189-R189,2),0)</f>
        <v>0</v>
      </c>
      <c r="U189" s="24">
        <f>IF(W188&gt;0,MIN(ROUND(U$6+IF(U$5=$C189,$E$5+$E189,0),2),ROUND(W188+V189,2)),0)</f>
        <v>0</v>
      </c>
      <c r="V189" s="24">
        <f>IF(W188&gt;0,ROUND(ROUND(W188*100,0)*ROUND(U$7*10000,0)/12000000,0)/100,0)</f>
        <v>0</v>
      </c>
      <c r="W189" s="24">
        <f>IF(W188&gt;0,ROUND(W188+V189-U189,2),0)</f>
        <v>0</v>
      </c>
      <c r="X189" s="24">
        <f>IF(Z188&gt;0,MIN(ROUND(X$6+IF(X$5=$C189,$E$5+$E189,0),2),ROUND(Z188+Y189,2)),0)</f>
        <v>0</v>
      </c>
      <c r="Y189" s="24">
        <f>IF(Z188&gt;0,ROUND(ROUND(Z188*100,0)*ROUND(X$7*10000,0)/12000000,0)/100,0)</f>
        <v>0</v>
      </c>
      <c r="Z189" s="24">
        <f>IF(Z188&gt;0,ROUND(Z188+Y189-X189,2),0)</f>
        <v>0</v>
      </c>
      <c r="AA189" s="24">
        <f>IF(AC188&gt;0,MIN(ROUND(AA$6+IF(AA$5=$C189,$E$5+$E189,0),2),ROUND(AC188+AB189,2)),0)</f>
        <v>0</v>
      </c>
      <c r="AB189" s="24">
        <f>IF(AC188&gt;0,ROUND(ROUND(AC188*100,0)*ROUND(AA$7*10000,0)/12000000,0)/100,0)</f>
        <v>0</v>
      </c>
      <c r="AC189" s="24">
        <f>IF(AC188&gt;0,ROUND(AC188+AB189-AA189,2),0)</f>
        <v>0</v>
      </c>
      <c r="AD189" s="24">
        <f>IF(AF188&gt;0,MIN(ROUND(AD$6+IF(AD$5=$C189,$E$5+$E189,0),2),ROUND(AF188+AE189,2)),0)</f>
        <v>0</v>
      </c>
      <c r="AE189" s="24">
        <f>IF(AF188&gt;0,ROUND(ROUND(AF188*100,0)*ROUND(AD$7*10000,0)/12000000,0)/100,0)</f>
        <v>0</v>
      </c>
      <c r="AF189" s="24">
        <f>IF(AF188&gt;0,ROUND(AF188+AE189-AD189,2),0)</f>
        <v>0</v>
      </c>
      <c r="AG189" s="24">
        <f>IF(AI188&gt;0,MIN(ROUND(AG$6+IF(AG$5=$C189,$E$5+$E189,0),2),ROUND(AI188+AH189,2)),0)</f>
        <v>0</v>
      </c>
      <c r="AH189" s="24">
        <f>IF(AI188&gt;0,ROUND(ROUND(AI188*100,0)*ROUND(AG$7*10000,0)/12000000,0)/100,0)</f>
        <v>0</v>
      </c>
      <c r="AI189" s="24">
        <f>IF(AI188&gt;0,ROUND(AI188+AH189-AG189,2),0)</f>
        <v>0</v>
      </c>
      <c r="AJ189" s="24">
        <f>IF(AL188&gt;0,MIN(ROUND(AJ$6+IF(AJ$5=$C189,$E$5+$E189,0),2),ROUND(AL188+AK189,2)),0)</f>
        <v>0</v>
      </c>
      <c r="AK189" s="24">
        <f>IF(AL188&gt;0,ROUND(ROUND(AL188*100,0)*ROUND(AJ$7*10000,0)/12000000,0)/100,0)</f>
        <v>0</v>
      </c>
      <c r="AL189" s="24">
        <f>IF(AL188&gt;0,ROUND(AL188+AK189-AJ189,2),0)</f>
        <v>0</v>
      </c>
    </row>
    <row r="190" spans="1:38" x14ac:dyDescent="0.25">
      <c r="A190" s="17" t="str">
        <f>IF(F190&gt;0,180,"")</f>
        <v/>
      </c>
      <c r="B190" s="18" t="str">
        <f>IF(F190&gt;0,EDATE($E$6,180),"")</f>
        <v/>
      </c>
      <c r="C190" s="21">
        <f>IF(H189&gt;0,MIN(IF(K189&gt;0,I$5,99),IF(N189&gt;0,L$5,99),IF(Q189&gt;0,O$5,99),IF(T189&gt;0,R$5,99),IF(W189&gt;0,U$5,99),IF(Z189&gt;0,X$5,99),IF(AC189&gt;0,AA$5,99),IF(AF189&gt;0,AD$5,99),IF(AI189&gt;0,AG$5,99),IF(AL189&gt;0,AJ$5,99)),0)</f>
        <v>0</v>
      </c>
      <c r="D190" t="str">
        <f>IF(C190&gt;0,INDEX($I$4:$AL$4,1,MATCH(C190,$I$5:$AL$5,0)),"")</f>
        <v/>
      </c>
      <c r="E190" s="24">
        <f>ROUND(IF(AND(I$8&gt;0,K189=0),I$6,0)+IF(AND(L$8&gt;0,N189=0),L$6,0)+IF(AND(O$8&gt;0,Q189=0),O$6,0)+IF(AND(R$8&gt;0,T189=0),R$6,0)+IF(AND(U$8&gt;0,W189=0),U$6,0)+IF(AND(X$8&gt;0,Z189=0),X$6,0)+IF(AND(AA$8&gt;0,AC189=0),AA$6,0)+IF(AND(AD$8&gt;0,AF189=0),AD$6,0)+IF(AND(AG$8&gt;0,AI189=0),AG$6,0)+IF(AND(AJ$8&gt;0,AL189=0),AJ$6,0),2)</f>
        <v>330</v>
      </c>
      <c r="F190" s="24">
        <f>ROUND(I190+L190+O190+R190+U190+X190+AA190+AD190+AG190+AJ190,2)</f>
        <v>0</v>
      </c>
      <c r="G190" s="24">
        <f>ROUND(J190+M190+P190+S190+V190+Y190+AB190+AE190+AH190+AK190,2)</f>
        <v>0</v>
      </c>
      <c r="H190" s="24">
        <f>ROUND(K190+N190+Q190+T190+W190+Z190+AC190+AF190+AI190+AL190,2)</f>
        <v>0</v>
      </c>
      <c r="I190" s="24">
        <f>IF(K189&gt;0,MIN(ROUND(I$6+IF(I$5=$C190,$E$5+$E190,0),2),ROUND(K189+J190,2)),0)</f>
        <v>0</v>
      </c>
      <c r="J190" s="24">
        <f>IF(K189&gt;0,ROUND(ROUND(K189*100,0)*ROUND(I$7*10000,0)/12000000,0)/100,0)</f>
        <v>0</v>
      </c>
      <c r="K190" s="24">
        <f>IF(K189&gt;0,ROUND(K189+J190-I190,2),0)</f>
        <v>0</v>
      </c>
      <c r="L190" s="24">
        <f>IF(N189&gt;0,MIN(ROUND(L$6+IF(L$5=$C190,$E$5+$E190,0),2),ROUND(N189+M190,2)),0)</f>
        <v>0</v>
      </c>
      <c r="M190" s="24">
        <f>IF(N189&gt;0,ROUND(ROUND(N189*100,0)*ROUND(L$7*10000,0)/12000000,0)/100,0)</f>
        <v>0</v>
      </c>
      <c r="N190" s="24">
        <f>IF(N189&gt;0,ROUND(N189+M190-L190,2),0)</f>
        <v>0</v>
      </c>
      <c r="O190" s="24">
        <f>IF(Q189&gt;0,MIN(ROUND(O$6+IF(O$5=$C190,$E$5+$E190,0),2),ROUND(Q189+P190,2)),0)</f>
        <v>0</v>
      </c>
      <c r="P190" s="24">
        <f>IF(Q189&gt;0,ROUND(ROUND(Q189*100,0)*ROUND(O$7*10000,0)/12000000,0)/100,0)</f>
        <v>0</v>
      </c>
      <c r="Q190" s="24">
        <f>IF(Q189&gt;0,ROUND(Q189+P190-O190,2),0)</f>
        <v>0</v>
      </c>
      <c r="R190" s="24">
        <f>IF(T189&gt;0,MIN(ROUND(R$6+IF(R$5=$C190,$E$5+$E190,0),2),ROUND(T189+S190,2)),0)</f>
        <v>0</v>
      </c>
      <c r="S190" s="24">
        <f>IF(T189&gt;0,ROUND(ROUND(T189*100,0)*ROUND(R$7*10000,0)/12000000,0)/100,0)</f>
        <v>0</v>
      </c>
      <c r="T190" s="24">
        <f>IF(T189&gt;0,ROUND(T189+S190-R190,2),0)</f>
        <v>0</v>
      </c>
      <c r="U190" s="24">
        <f>IF(W189&gt;0,MIN(ROUND(U$6+IF(U$5=$C190,$E$5+$E190,0),2),ROUND(W189+V190,2)),0)</f>
        <v>0</v>
      </c>
      <c r="V190" s="24">
        <f>IF(W189&gt;0,ROUND(ROUND(W189*100,0)*ROUND(U$7*10000,0)/12000000,0)/100,0)</f>
        <v>0</v>
      </c>
      <c r="W190" s="24">
        <f>IF(W189&gt;0,ROUND(W189+V190-U190,2),0)</f>
        <v>0</v>
      </c>
      <c r="X190" s="24">
        <f>IF(Z189&gt;0,MIN(ROUND(X$6+IF(X$5=$C190,$E$5+$E190,0),2),ROUND(Z189+Y190,2)),0)</f>
        <v>0</v>
      </c>
      <c r="Y190" s="24">
        <f>IF(Z189&gt;0,ROUND(ROUND(Z189*100,0)*ROUND(X$7*10000,0)/12000000,0)/100,0)</f>
        <v>0</v>
      </c>
      <c r="Z190" s="24">
        <f>IF(Z189&gt;0,ROUND(Z189+Y190-X190,2),0)</f>
        <v>0</v>
      </c>
      <c r="AA190" s="24">
        <f>IF(AC189&gt;0,MIN(ROUND(AA$6+IF(AA$5=$C190,$E$5+$E190,0),2),ROUND(AC189+AB190,2)),0)</f>
        <v>0</v>
      </c>
      <c r="AB190" s="24">
        <f>IF(AC189&gt;0,ROUND(ROUND(AC189*100,0)*ROUND(AA$7*10000,0)/12000000,0)/100,0)</f>
        <v>0</v>
      </c>
      <c r="AC190" s="24">
        <f>IF(AC189&gt;0,ROUND(AC189+AB190-AA190,2),0)</f>
        <v>0</v>
      </c>
      <c r="AD190" s="24">
        <f>IF(AF189&gt;0,MIN(ROUND(AD$6+IF(AD$5=$C190,$E$5+$E190,0),2),ROUND(AF189+AE190,2)),0)</f>
        <v>0</v>
      </c>
      <c r="AE190" s="24">
        <f>IF(AF189&gt;0,ROUND(ROUND(AF189*100,0)*ROUND(AD$7*10000,0)/12000000,0)/100,0)</f>
        <v>0</v>
      </c>
      <c r="AF190" s="24">
        <f>IF(AF189&gt;0,ROUND(AF189+AE190-AD190,2),0)</f>
        <v>0</v>
      </c>
      <c r="AG190" s="24">
        <f>IF(AI189&gt;0,MIN(ROUND(AG$6+IF(AG$5=$C190,$E$5+$E190,0),2),ROUND(AI189+AH190,2)),0)</f>
        <v>0</v>
      </c>
      <c r="AH190" s="24">
        <f>IF(AI189&gt;0,ROUND(ROUND(AI189*100,0)*ROUND(AG$7*10000,0)/12000000,0)/100,0)</f>
        <v>0</v>
      </c>
      <c r="AI190" s="24">
        <f>IF(AI189&gt;0,ROUND(AI189+AH190-AG190,2),0)</f>
        <v>0</v>
      </c>
      <c r="AJ190" s="24">
        <f>IF(AL189&gt;0,MIN(ROUND(AJ$6+IF(AJ$5=$C190,$E$5+$E190,0),2),ROUND(AL189+AK190,2)),0)</f>
        <v>0</v>
      </c>
      <c r="AK190" s="24">
        <f>IF(AL189&gt;0,ROUND(ROUND(AL189*100,0)*ROUND(AJ$7*10000,0)/12000000,0)/100,0)</f>
        <v>0</v>
      </c>
      <c r="AL190" s="24">
        <f>IF(AL189&gt;0,ROUND(AL189+AK190-AJ190,2),0)</f>
        <v>0</v>
      </c>
    </row>
    <row r="191" spans="1:38" x14ac:dyDescent="0.25">
      <c r="A191" s="17" t="str">
        <f>IF(F191&gt;0,181,"")</f>
        <v/>
      </c>
      <c r="B191" s="18" t="str">
        <f>IF(F191&gt;0,EDATE($E$6,181),"")</f>
        <v/>
      </c>
      <c r="C191" s="21">
        <f>IF(H190&gt;0,MIN(IF(K190&gt;0,I$5,99),IF(N190&gt;0,L$5,99),IF(Q190&gt;0,O$5,99),IF(T190&gt;0,R$5,99),IF(W190&gt;0,U$5,99),IF(Z190&gt;0,X$5,99),IF(AC190&gt;0,AA$5,99),IF(AF190&gt;0,AD$5,99),IF(AI190&gt;0,AG$5,99),IF(AL190&gt;0,AJ$5,99)),0)</f>
        <v>0</v>
      </c>
      <c r="D191" t="str">
        <f>IF(C191&gt;0,INDEX($I$4:$AL$4,1,MATCH(C191,$I$5:$AL$5,0)),"")</f>
        <v/>
      </c>
      <c r="E191" s="24">
        <f>ROUND(IF(AND(I$8&gt;0,K190=0),I$6,0)+IF(AND(L$8&gt;0,N190=0),L$6,0)+IF(AND(O$8&gt;0,Q190=0),O$6,0)+IF(AND(R$8&gt;0,T190=0),R$6,0)+IF(AND(U$8&gt;0,W190=0),U$6,0)+IF(AND(X$8&gt;0,Z190=0),X$6,0)+IF(AND(AA$8&gt;0,AC190=0),AA$6,0)+IF(AND(AD$8&gt;0,AF190=0),AD$6,0)+IF(AND(AG$8&gt;0,AI190=0),AG$6,0)+IF(AND(AJ$8&gt;0,AL190=0),AJ$6,0),2)</f>
        <v>330</v>
      </c>
      <c r="F191" s="24">
        <f>ROUND(I191+L191+O191+R191+U191+X191+AA191+AD191+AG191+AJ191,2)</f>
        <v>0</v>
      </c>
      <c r="G191" s="24">
        <f>ROUND(J191+M191+P191+S191+V191+Y191+AB191+AE191+AH191+AK191,2)</f>
        <v>0</v>
      </c>
      <c r="H191" s="24">
        <f>ROUND(K191+N191+Q191+T191+W191+Z191+AC191+AF191+AI191+AL191,2)</f>
        <v>0</v>
      </c>
      <c r="I191" s="24">
        <f>IF(K190&gt;0,MIN(ROUND(I$6+IF(I$5=$C191,$E$5+$E191,0),2),ROUND(K190+J191,2)),0)</f>
        <v>0</v>
      </c>
      <c r="J191" s="24">
        <f>IF(K190&gt;0,ROUND(ROUND(K190*100,0)*ROUND(I$7*10000,0)/12000000,0)/100,0)</f>
        <v>0</v>
      </c>
      <c r="K191" s="24">
        <f>IF(K190&gt;0,ROUND(K190+J191-I191,2),0)</f>
        <v>0</v>
      </c>
      <c r="L191" s="24">
        <f>IF(N190&gt;0,MIN(ROUND(L$6+IF(L$5=$C191,$E$5+$E191,0),2),ROUND(N190+M191,2)),0)</f>
        <v>0</v>
      </c>
      <c r="M191" s="24">
        <f>IF(N190&gt;0,ROUND(ROUND(N190*100,0)*ROUND(L$7*10000,0)/12000000,0)/100,0)</f>
        <v>0</v>
      </c>
      <c r="N191" s="24">
        <f>IF(N190&gt;0,ROUND(N190+M191-L191,2),0)</f>
        <v>0</v>
      </c>
      <c r="O191" s="24">
        <f>IF(Q190&gt;0,MIN(ROUND(O$6+IF(O$5=$C191,$E$5+$E191,0),2),ROUND(Q190+P191,2)),0)</f>
        <v>0</v>
      </c>
      <c r="P191" s="24">
        <f>IF(Q190&gt;0,ROUND(ROUND(Q190*100,0)*ROUND(O$7*10000,0)/12000000,0)/100,0)</f>
        <v>0</v>
      </c>
      <c r="Q191" s="24">
        <f>IF(Q190&gt;0,ROUND(Q190+P191-O191,2),0)</f>
        <v>0</v>
      </c>
      <c r="R191" s="24">
        <f>IF(T190&gt;0,MIN(ROUND(R$6+IF(R$5=$C191,$E$5+$E191,0),2),ROUND(T190+S191,2)),0)</f>
        <v>0</v>
      </c>
      <c r="S191" s="24">
        <f>IF(T190&gt;0,ROUND(ROUND(T190*100,0)*ROUND(R$7*10000,0)/12000000,0)/100,0)</f>
        <v>0</v>
      </c>
      <c r="T191" s="24">
        <f>IF(T190&gt;0,ROUND(T190+S191-R191,2),0)</f>
        <v>0</v>
      </c>
      <c r="U191" s="24">
        <f>IF(W190&gt;0,MIN(ROUND(U$6+IF(U$5=$C191,$E$5+$E191,0),2),ROUND(W190+V191,2)),0)</f>
        <v>0</v>
      </c>
      <c r="V191" s="24">
        <f>IF(W190&gt;0,ROUND(ROUND(W190*100,0)*ROUND(U$7*10000,0)/12000000,0)/100,0)</f>
        <v>0</v>
      </c>
      <c r="W191" s="24">
        <f>IF(W190&gt;0,ROUND(W190+V191-U191,2),0)</f>
        <v>0</v>
      </c>
      <c r="X191" s="24">
        <f>IF(Z190&gt;0,MIN(ROUND(X$6+IF(X$5=$C191,$E$5+$E191,0),2),ROUND(Z190+Y191,2)),0)</f>
        <v>0</v>
      </c>
      <c r="Y191" s="24">
        <f>IF(Z190&gt;0,ROUND(ROUND(Z190*100,0)*ROUND(X$7*10000,0)/12000000,0)/100,0)</f>
        <v>0</v>
      </c>
      <c r="Z191" s="24">
        <f>IF(Z190&gt;0,ROUND(Z190+Y191-X191,2),0)</f>
        <v>0</v>
      </c>
      <c r="AA191" s="24">
        <f>IF(AC190&gt;0,MIN(ROUND(AA$6+IF(AA$5=$C191,$E$5+$E191,0),2),ROUND(AC190+AB191,2)),0)</f>
        <v>0</v>
      </c>
      <c r="AB191" s="24">
        <f>IF(AC190&gt;0,ROUND(ROUND(AC190*100,0)*ROUND(AA$7*10000,0)/12000000,0)/100,0)</f>
        <v>0</v>
      </c>
      <c r="AC191" s="24">
        <f>IF(AC190&gt;0,ROUND(AC190+AB191-AA191,2),0)</f>
        <v>0</v>
      </c>
      <c r="AD191" s="24">
        <f>IF(AF190&gt;0,MIN(ROUND(AD$6+IF(AD$5=$C191,$E$5+$E191,0),2),ROUND(AF190+AE191,2)),0)</f>
        <v>0</v>
      </c>
      <c r="AE191" s="24">
        <f>IF(AF190&gt;0,ROUND(ROUND(AF190*100,0)*ROUND(AD$7*10000,0)/12000000,0)/100,0)</f>
        <v>0</v>
      </c>
      <c r="AF191" s="24">
        <f>IF(AF190&gt;0,ROUND(AF190+AE191-AD191,2),0)</f>
        <v>0</v>
      </c>
      <c r="AG191" s="24">
        <f>IF(AI190&gt;0,MIN(ROUND(AG$6+IF(AG$5=$C191,$E$5+$E191,0),2),ROUND(AI190+AH191,2)),0)</f>
        <v>0</v>
      </c>
      <c r="AH191" s="24">
        <f>IF(AI190&gt;0,ROUND(ROUND(AI190*100,0)*ROUND(AG$7*10000,0)/12000000,0)/100,0)</f>
        <v>0</v>
      </c>
      <c r="AI191" s="24">
        <f>IF(AI190&gt;0,ROUND(AI190+AH191-AG191,2),0)</f>
        <v>0</v>
      </c>
      <c r="AJ191" s="24">
        <f>IF(AL190&gt;0,MIN(ROUND(AJ$6+IF(AJ$5=$C191,$E$5+$E191,0),2),ROUND(AL190+AK191,2)),0)</f>
        <v>0</v>
      </c>
      <c r="AK191" s="24">
        <f>IF(AL190&gt;0,ROUND(ROUND(AL190*100,0)*ROUND(AJ$7*10000,0)/12000000,0)/100,0)</f>
        <v>0</v>
      </c>
      <c r="AL191" s="24">
        <f>IF(AL190&gt;0,ROUND(AL190+AK191-AJ191,2),0)</f>
        <v>0</v>
      </c>
    </row>
    <row r="192" spans="1:38" x14ac:dyDescent="0.25">
      <c r="A192" s="17" t="str">
        <f>IF(F192&gt;0,182,"")</f>
        <v/>
      </c>
      <c r="B192" s="18" t="str">
        <f>IF(F192&gt;0,EDATE($E$6,182),"")</f>
        <v/>
      </c>
      <c r="C192" s="21">
        <f>IF(H191&gt;0,MIN(IF(K191&gt;0,I$5,99),IF(N191&gt;0,L$5,99),IF(Q191&gt;0,O$5,99),IF(T191&gt;0,R$5,99),IF(W191&gt;0,U$5,99),IF(Z191&gt;0,X$5,99),IF(AC191&gt;0,AA$5,99),IF(AF191&gt;0,AD$5,99),IF(AI191&gt;0,AG$5,99),IF(AL191&gt;0,AJ$5,99)),0)</f>
        <v>0</v>
      </c>
      <c r="D192" t="str">
        <f>IF(C192&gt;0,INDEX($I$4:$AL$4,1,MATCH(C192,$I$5:$AL$5,0)),"")</f>
        <v/>
      </c>
      <c r="E192" s="24">
        <f>ROUND(IF(AND(I$8&gt;0,K191=0),I$6,0)+IF(AND(L$8&gt;0,N191=0),L$6,0)+IF(AND(O$8&gt;0,Q191=0),O$6,0)+IF(AND(R$8&gt;0,T191=0),R$6,0)+IF(AND(U$8&gt;0,W191=0),U$6,0)+IF(AND(X$8&gt;0,Z191=0),X$6,0)+IF(AND(AA$8&gt;0,AC191=0),AA$6,0)+IF(AND(AD$8&gt;0,AF191=0),AD$6,0)+IF(AND(AG$8&gt;0,AI191=0),AG$6,0)+IF(AND(AJ$8&gt;0,AL191=0),AJ$6,0),2)</f>
        <v>330</v>
      </c>
      <c r="F192" s="24">
        <f>ROUND(I192+L192+O192+R192+U192+X192+AA192+AD192+AG192+AJ192,2)</f>
        <v>0</v>
      </c>
      <c r="G192" s="24">
        <f>ROUND(J192+M192+P192+S192+V192+Y192+AB192+AE192+AH192+AK192,2)</f>
        <v>0</v>
      </c>
      <c r="H192" s="24">
        <f>ROUND(K192+N192+Q192+T192+W192+Z192+AC192+AF192+AI192+AL192,2)</f>
        <v>0</v>
      </c>
      <c r="I192" s="24">
        <f>IF(K191&gt;0,MIN(ROUND(I$6+IF(I$5=$C192,$E$5+$E192,0),2),ROUND(K191+J192,2)),0)</f>
        <v>0</v>
      </c>
      <c r="J192" s="24">
        <f>IF(K191&gt;0,ROUND(ROUND(K191*100,0)*ROUND(I$7*10000,0)/12000000,0)/100,0)</f>
        <v>0</v>
      </c>
      <c r="K192" s="24">
        <f>IF(K191&gt;0,ROUND(K191+J192-I192,2),0)</f>
        <v>0</v>
      </c>
      <c r="L192" s="24">
        <f>IF(N191&gt;0,MIN(ROUND(L$6+IF(L$5=$C192,$E$5+$E192,0),2),ROUND(N191+M192,2)),0)</f>
        <v>0</v>
      </c>
      <c r="M192" s="24">
        <f>IF(N191&gt;0,ROUND(ROUND(N191*100,0)*ROUND(L$7*10000,0)/12000000,0)/100,0)</f>
        <v>0</v>
      </c>
      <c r="N192" s="24">
        <f>IF(N191&gt;0,ROUND(N191+M192-L192,2),0)</f>
        <v>0</v>
      </c>
      <c r="O192" s="24">
        <f>IF(Q191&gt;0,MIN(ROUND(O$6+IF(O$5=$C192,$E$5+$E192,0),2),ROUND(Q191+P192,2)),0)</f>
        <v>0</v>
      </c>
      <c r="P192" s="24">
        <f>IF(Q191&gt;0,ROUND(ROUND(Q191*100,0)*ROUND(O$7*10000,0)/12000000,0)/100,0)</f>
        <v>0</v>
      </c>
      <c r="Q192" s="24">
        <f>IF(Q191&gt;0,ROUND(Q191+P192-O192,2),0)</f>
        <v>0</v>
      </c>
      <c r="R192" s="24">
        <f>IF(T191&gt;0,MIN(ROUND(R$6+IF(R$5=$C192,$E$5+$E192,0),2),ROUND(T191+S192,2)),0)</f>
        <v>0</v>
      </c>
      <c r="S192" s="24">
        <f>IF(T191&gt;0,ROUND(ROUND(T191*100,0)*ROUND(R$7*10000,0)/12000000,0)/100,0)</f>
        <v>0</v>
      </c>
      <c r="T192" s="24">
        <f>IF(T191&gt;0,ROUND(T191+S192-R192,2),0)</f>
        <v>0</v>
      </c>
      <c r="U192" s="24">
        <f>IF(W191&gt;0,MIN(ROUND(U$6+IF(U$5=$C192,$E$5+$E192,0),2),ROUND(W191+V192,2)),0)</f>
        <v>0</v>
      </c>
      <c r="V192" s="24">
        <f>IF(W191&gt;0,ROUND(ROUND(W191*100,0)*ROUND(U$7*10000,0)/12000000,0)/100,0)</f>
        <v>0</v>
      </c>
      <c r="W192" s="24">
        <f>IF(W191&gt;0,ROUND(W191+V192-U192,2),0)</f>
        <v>0</v>
      </c>
      <c r="X192" s="24">
        <f>IF(Z191&gt;0,MIN(ROUND(X$6+IF(X$5=$C192,$E$5+$E192,0),2),ROUND(Z191+Y192,2)),0)</f>
        <v>0</v>
      </c>
      <c r="Y192" s="24">
        <f>IF(Z191&gt;0,ROUND(ROUND(Z191*100,0)*ROUND(X$7*10000,0)/12000000,0)/100,0)</f>
        <v>0</v>
      </c>
      <c r="Z192" s="24">
        <f>IF(Z191&gt;0,ROUND(Z191+Y192-X192,2),0)</f>
        <v>0</v>
      </c>
      <c r="AA192" s="24">
        <f>IF(AC191&gt;0,MIN(ROUND(AA$6+IF(AA$5=$C192,$E$5+$E192,0),2),ROUND(AC191+AB192,2)),0)</f>
        <v>0</v>
      </c>
      <c r="AB192" s="24">
        <f>IF(AC191&gt;0,ROUND(ROUND(AC191*100,0)*ROUND(AA$7*10000,0)/12000000,0)/100,0)</f>
        <v>0</v>
      </c>
      <c r="AC192" s="24">
        <f>IF(AC191&gt;0,ROUND(AC191+AB192-AA192,2),0)</f>
        <v>0</v>
      </c>
      <c r="AD192" s="24">
        <f>IF(AF191&gt;0,MIN(ROUND(AD$6+IF(AD$5=$C192,$E$5+$E192,0),2),ROUND(AF191+AE192,2)),0)</f>
        <v>0</v>
      </c>
      <c r="AE192" s="24">
        <f>IF(AF191&gt;0,ROUND(ROUND(AF191*100,0)*ROUND(AD$7*10000,0)/12000000,0)/100,0)</f>
        <v>0</v>
      </c>
      <c r="AF192" s="24">
        <f>IF(AF191&gt;0,ROUND(AF191+AE192-AD192,2),0)</f>
        <v>0</v>
      </c>
      <c r="AG192" s="24">
        <f>IF(AI191&gt;0,MIN(ROUND(AG$6+IF(AG$5=$C192,$E$5+$E192,0),2),ROUND(AI191+AH192,2)),0)</f>
        <v>0</v>
      </c>
      <c r="AH192" s="24">
        <f>IF(AI191&gt;0,ROUND(ROUND(AI191*100,0)*ROUND(AG$7*10000,0)/12000000,0)/100,0)</f>
        <v>0</v>
      </c>
      <c r="AI192" s="24">
        <f>IF(AI191&gt;0,ROUND(AI191+AH192-AG192,2),0)</f>
        <v>0</v>
      </c>
      <c r="AJ192" s="24">
        <f>IF(AL191&gt;0,MIN(ROUND(AJ$6+IF(AJ$5=$C192,$E$5+$E192,0),2),ROUND(AL191+AK192,2)),0)</f>
        <v>0</v>
      </c>
      <c r="AK192" s="24">
        <f>IF(AL191&gt;0,ROUND(ROUND(AL191*100,0)*ROUND(AJ$7*10000,0)/12000000,0)/100,0)</f>
        <v>0</v>
      </c>
      <c r="AL192" s="24">
        <f>IF(AL191&gt;0,ROUND(AL191+AK192-AJ192,2),0)</f>
        <v>0</v>
      </c>
    </row>
    <row r="193" spans="1:38" x14ac:dyDescent="0.25">
      <c r="A193" s="17" t="str">
        <f>IF(F193&gt;0,183,"")</f>
        <v/>
      </c>
      <c r="B193" s="18" t="str">
        <f>IF(F193&gt;0,EDATE($E$6,183),"")</f>
        <v/>
      </c>
      <c r="C193" s="21">
        <f>IF(H192&gt;0,MIN(IF(K192&gt;0,I$5,99),IF(N192&gt;0,L$5,99),IF(Q192&gt;0,O$5,99),IF(T192&gt;0,R$5,99),IF(W192&gt;0,U$5,99),IF(Z192&gt;0,X$5,99),IF(AC192&gt;0,AA$5,99),IF(AF192&gt;0,AD$5,99),IF(AI192&gt;0,AG$5,99),IF(AL192&gt;0,AJ$5,99)),0)</f>
        <v>0</v>
      </c>
      <c r="D193" t="str">
        <f>IF(C193&gt;0,INDEX($I$4:$AL$4,1,MATCH(C193,$I$5:$AL$5,0)),"")</f>
        <v/>
      </c>
      <c r="E193" s="24">
        <f>ROUND(IF(AND(I$8&gt;0,K192=0),I$6,0)+IF(AND(L$8&gt;0,N192=0),L$6,0)+IF(AND(O$8&gt;0,Q192=0),O$6,0)+IF(AND(R$8&gt;0,T192=0),R$6,0)+IF(AND(U$8&gt;0,W192=0),U$6,0)+IF(AND(X$8&gt;0,Z192=0),X$6,0)+IF(AND(AA$8&gt;0,AC192=0),AA$6,0)+IF(AND(AD$8&gt;0,AF192=0),AD$6,0)+IF(AND(AG$8&gt;0,AI192=0),AG$6,0)+IF(AND(AJ$8&gt;0,AL192=0),AJ$6,0),2)</f>
        <v>330</v>
      </c>
      <c r="F193" s="24">
        <f>ROUND(I193+L193+O193+R193+U193+X193+AA193+AD193+AG193+AJ193,2)</f>
        <v>0</v>
      </c>
      <c r="G193" s="24">
        <f>ROUND(J193+M193+P193+S193+V193+Y193+AB193+AE193+AH193+AK193,2)</f>
        <v>0</v>
      </c>
      <c r="H193" s="24">
        <f>ROUND(K193+N193+Q193+T193+W193+Z193+AC193+AF193+AI193+AL193,2)</f>
        <v>0</v>
      </c>
      <c r="I193" s="24">
        <f>IF(K192&gt;0,MIN(ROUND(I$6+IF(I$5=$C193,$E$5+$E193,0),2),ROUND(K192+J193,2)),0)</f>
        <v>0</v>
      </c>
      <c r="J193" s="24">
        <f>IF(K192&gt;0,ROUND(ROUND(K192*100,0)*ROUND(I$7*10000,0)/12000000,0)/100,0)</f>
        <v>0</v>
      </c>
      <c r="K193" s="24">
        <f>IF(K192&gt;0,ROUND(K192+J193-I193,2),0)</f>
        <v>0</v>
      </c>
      <c r="L193" s="24">
        <f>IF(N192&gt;0,MIN(ROUND(L$6+IF(L$5=$C193,$E$5+$E193,0),2),ROUND(N192+M193,2)),0)</f>
        <v>0</v>
      </c>
      <c r="M193" s="24">
        <f>IF(N192&gt;0,ROUND(ROUND(N192*100,0)*ROUND(L$7*10000,0)/12000000,0)/100,0)</f>
        <v>0</v>
      </c>
      <c r="N193" s="24">
        <f>IF(N192&gt;0,ROUND(N192+M193-L193,2),0)</f>
        <v>0</v>
      </c>
      <c r="O193" s="24">
        <f>IF(Q192&gt;0,MIN(ROUND(O$6+IF(O$5=$C193,$E$5+$E193,0),2),ROUND(Q192+P193,2)),0)</f>
        <v>0</v>
      </c>
      <c r="P193" s="24">
        <f>IF(Q192&gt;0,ROUND(ROUND(Q192*100,0)*ROUND(O$7*10000,0)/12000000,0)/100,0)</f>
        <v>0</v>
      </c>
      <c r="Q193" s="24">
        <f>IF(Q192&gt;0,ROUND(Q192+P193-O193,2),0)</f>
        <v>0</v>
      </c>
      <c r="R193" s="24">
        <f>IF(T192&gt;0,MIN(ROUND(R$6+IF(R$5=$C193,$E$5+$E193,0),2),ROUND(T192+S193,2)),0)</f>
        <v>0</v>
      </c>
      <c r="S193" s="24">
        <f>IF(T192&gt;0,ROUND(ROUND(T192*100,0)*ROUND(R$7*10000,0)/12000000,0)/100,0)</f>
        <v>0</v>
      </c>
      <c r="T193" s="24">
        <f>IF(T192&gt;0,ROUND(T192+S193-R193,2),0)</f>
        <v>0</v>
      </c>
      <c r="U193" s="24">
        <f>IF(W192&gt;0,MIN(ROUND(U$6+IF(U$5=$C193,$E$5+$E193,0),2),ROUND(W192+V193,2)),0)</f>
        <v>0</v>
      </c>
      <c r="V193" s="24">
        <f>IF(W192&gt;0,ROUND(ROUND(W192*100,0)*ROUND(U$7*10000,0)/12000000,0)/100,0)</f>
        <v>0</v>
      </c>
      <c r="W193" s="24">
        <f>IF(W192&gt;0,ROUND(W192+V193-U193,2),0)</f>
        <v>0</v>
      </c>
      <c r="X193" s="24">
        <f>IF(Z192&gt;0,MIN(ROUND(X$6+IF(X$5=$C193,$E$5+$E193,0),2),ROUND(Z192+Y193,2)),0)</f>
        <v>0</v>
      </c>
      <c r="Y193" s="24">
        <f>IF(Z192&gt;0,ROUND(ROUND(Z192*100,0)*ROUND(X$7*10000,0)/12000000,0)/100,0)</f>
        <v>0</v>
      </c>
      <c r="Z193" s="24">
        <f>IF(Z192&gt;0,ROUND(Z192+Y193-X193,2),0)</f>
        <v>0</v>
      </c>
      <c r="AA193" s="24">
        <f>IF(AC192&gt;0,MIN(ROUND(AA$6+IF(AA$5=$C193,$E$5+$E193,0),2),ROUND(AC192+AB193,2)),0)</f>
        <v>0</v>
      </c>
      <c r="AB193" s="24">
        <f>IF(AC192&gt;0,ROUND(ROUND(AC192*100,0)*ROUND(AA$7*10000,0)/12000000,0)/100,0)</f>
        <v>0</v>
      </c>
      <c r="AC193" s="24">
        <f>IF(AC192&gt;0,ROUND(AC192+AB193-AA193,2),0)</f>
        <v>0</v>
      </c>
      <c r="AD193" s="24">
        <f>IF(AF192&gt;0,MIN(ROUND(AD$6+IF(AD$5=$C193,$E$5+$E193,0),2),ROUND(AF192+AE193,2)),0)</f>
        <v>0</v>
      </c>
      <c r="AE193" s="24">
        <f>IF(AF192&gt;0,ROUND(ROUND(AF192*100,0)*ROUND(AD$7*10000,0)/12000000,0)/100,0)</f>
        <v>0</v>
      </c>
      <c r="AF193" s="24">
        <f>IF(AF192&gt;0,ROUND(AF192+AE193-AD193,2),0)</f>
        <v>0</v>
      </c>
      <c r="AG193" s="24">
        <f>IF(AI192&gt;0,MIN(ROUND(AG$6+IF(AG$5=$C193,$E$5+$E193,0),2),ROUND(AI192+AH193,2)),0)</f>
        <v>0</v>
      </c>
      <c r="AH193" s="24">
        <f>IF(AI192&gt;0,ROUND(ROUND(AI192*100,0)*ROUND(AG$7*10000,0)/12000000,0)/100,0)</f>
        <v>0</v>
      </c>
      <c r="AI193" s="24">
        <f>IF(AI192&gt;0,ROUND(AI192+AH193-AG193,2),0)</f>
        <v>0</v>
      </c>
      <c r="AJ193" s="24">
        <f>IF(AL192&gt;0,MIN(ROUND(AJ$6+IF(AJ$5=$C193,$E$5+$E193,0),2),ROUND(AL192+AK193,2)),0)</f>
        <v>0</v>
      </c>
      <c r="AK193" s="24">
        <f>IF(AL192&gt;0,ROUND(ROUND(AL192*100,0)*ROUND(AJ$7*10000,0)/12000000,0)/100,0)</f>
        <v>0</v>
      </c>
      <c r="AL193" s="24">
        <f>IF(AL192&gt;0,ROUND(AL192+AK193-AJ193,2),0)</f>
        <v>0</v>
      </c>
    </row>
    <row r="194" spans="1:38" x14ac:dyDescent="0.25">
      <c r="A194" s="17" t="str">
        <f>IF(F194&gt;0,184,"")</f>
        <v/>
      </c>
      <c r="B194" s="18" t="str">
        <f>IF(F194&gt;0,EDATE($E$6,184),"")</f>
        <v/>
      </c>
      <c r="C194" s="21">
        <f>IF(H193&gt;0,MIN(IF(K193&gt;0,I$5,99),IF(N193&gt;0,L$5,99),IF(Q193&gt;0,O$5,99),IF(T193&gt;0,R$5,99),IF(W193&gt;0,U$5,99),IF(Z193&gt;0,X$5,99),IF(AC193&gt;0,AA$5,99),IF(AF193&gt;0,AD$5,99),IF(AI193&gt;0,AG$5,99),IF(AL193&gt;0,AJ$5,99)),0)</f>
        <v>0</v>
      </c>
      <c r="D194" t="str">
        <f>IF(C194&gt;0,INDEX($I$4:$AL$4,1,MATCH(C194,$I$5:$AL$5,0)),"")</f>
        <v/>
      </c>
      <c r="E194" s="24">
        <f>ROUND(IF(AND(I$8&gt;0,K193=0),I$6,0)+IF(AND(L$8&gt;0,N193=0),L$6,0)+IF(AND(O$8&gt;0,Q193=0),O$6,0)+IF(AND(R$8&gt;0,T193=0),R$6,0)+IF(AND(U$8&gt;0,W193=0),U$6,0)+IF(AND(X$8&gt;0,Z193=0),X$6,0)+IF(AND(AA$8&gt;0,AC193=0),AA$6,0)+IF(AND(AD$8&gt;0,AF193=0),AD$6,0)+IF(AND(AG$8&gt;0,AI193=0),AG$6,0)+IF(AND(AJ$8&gt;0,AL193=0),AJ$6,0),2)</f>
        <v>330</v>
      </c>
      <c r="F194" s="24">
        <f>ROUND(I194+L194+O194+R194+U194+X194+AA194+AD194+AG194+AJ194,2)</f>
        <v>0</v>
      </c>
      <c r="G194" s="24">
        <f>ROUND(J194+M194+P194+S194+V194+Y194+AB194+AE194+AH194+AK194,2)</f>
        <v>0</v>
      </c>
      <c r="H194" s="24">
        <f>ROUND(K194+N194+Q194+T194+W194+Z194+AC194+AF194+AI194+AL194,2)</f>
        <v>0</v>
      </c>
      <c r="I194" s="24">
        <f>IF(K193&gt;0,MIN(ROUND(I$6+IF(I$5=$C194,$E$5+$E194,0),2),ROUND(K193+J194,2)),0)</f>
        <v>0</v>
      </c>
      <c r="J194" s="24">
        <f>IF(K193&gt;0,ROUND(ROUND(K193*100,0)*ROUND(I$7*10000,0)/12000000,0)/100,0)</f>
        <v>0</v>
      </c>
      <c r="K194" s="24">
        <f>IF(K193&gt;0,ROUND(K193+J194-I194,2),0)</f>
        <v>0</v>
      </c>
      <c r="L194" s="24">
        <f>IF(N193&gt;0,MIN(ROUND(L$6+IF(L$5=$C194,$E$5+$E194,0),2),ROUND(N193+M194,2)),0)</f>
        <v>0</v>
      </c>
      <c r="M194" s="24">
        <f>IF(N193&gt;0,ROUND(ROUND(N193*100,0)*ROUND(L$7*10000,0)/12000000,0)/100,0)</f>
        <v>0</v>
      </c>
      <c r="N194" s="24">
        <f>IF(N193&gt;0,ROUND(N193+M194-L194,2),0)</f>
        <v>0</v>
      </c>
      <c r="O194" s="24">
        <f>IF(Q193&gt;0,MIN(ROUND(O$6+IF(O$5=$C194,$E$5+$E194,0),2),ROUND(Q193+P194,2)),0)</f>
        <v>0</v>
      </c>
      <c r="P194" s="24">
        <f>IF(Q193&gt;0,ROUND(ROUND(Q193*100,0)*ROUND(O$7*10000,0)/12000000,0)/100,0)</f>
        <v>0</v>
      </c>
      <c r="Q194" s="24">
        <f>IF(Q193&gt;0,ROUND(Q193+P194-O194,2),0)</f>
        <v>0</v>
      </c>
      <c r="R194" s="24">
        <f>IF(T193&gt;0,MIN(ROUND(R$6+IF(R$5=$C194,$E$5+$E194,0),2),ROUND(T193+S194,2)),0)</f>
        <v>0</v>
      </c>
      <c r="S194" s="24">
        <f>IF(T193&gt;0,ROUND(ROUND(T193*100,0)*ROUND(R$7*10000,0)/12000000,0)/100,0)</f>
        <v>0</v>
      </c>
      <c r="T194" s="24">
        <f>IF(T193&gt;0,ROUND(T193+S194-R194,2),0)</f>
        <v>0</v>
      </c>
      <c r="U194" s="24">
        <f>IF(W193&gt;0,MIN(ROUND(U$6+IF(U$5=$C194,$E$5+$E194,0),2),ROUND(W193+V194,2)),0)</f>
        <v>0</v>
      </c>
      <c r="V194" s="24">
        <f>IF(W193&gt;0,ROUND(ROUND(W193*100,0)*ROUND(U$7*10000,0)/12000000,0)/100,0)</f>
        <v>0</v>
      </c>
      <c r="W194" s="24">
        <f>IF(W193&gt;0,ROUND(W193+V194-U194,2),0)</f>
        <v>0</v>
      </c>
      <c r="X194" s="24">
        <f>IF(Z193&gt;0,MIN(ROUND(X$6+IF(X$5=$C194,$E$5+$E194,0),2),ROUND(Z193+Y194,2)),0)</f>
        <v>0</v>
      </c>
      <c r="Y194" s="24">
        <f>IF(Z193&gt;0,ROUND(ROUND(Z193*100,0)*ROUND(X$7*10000,0)/12000000,0)/100,0)</f>
        <v>0</v>
      </c>
      <c r="Z194" s="24">
        <f>IF(Z193&gt;0,ROUND(Z193+Y194-X194,2),0)</f>
        <v>0</v>
      </c>
      <c r="AA194" s="24">
        <f>IF(AC193&gt;0,MIN(ROUND(AA$6+IF(AA$5=$C194,$E$5+$E194,0),2),ROUND(AC193+AB194,2)),0)</f>
        <v>0</v>
      </c>
      <c r="AB194" s="24">
        <f>IF(AC193&gt;0,ROUND(ROUND(AC193*100,0)*ROUND(AA$7*10000,0)/12000000,0)/100,0)</f>
        <v>0</v>
      </c>
      <c r="AC194" s="24">
        <f>IF(AC193&gt;0,ROUND(AC193+AB194-AA194,2),0)</f>
        <v>0</v>
      </c>
      <c r="AD194" s="24">
        <f>IF(AF193&gt;0,MIN(ROUND(AD$6+IF(AD$5=$C194,$E$5+$E194,0),2),ROUND(AF193+AE194,2)),0)</f>
        <v>0</v>
      </c>
      <c r="AE194" s="24">
        <f>IF(AF193&gt;0,ROUND(ROUND(AF193*100,0)*ROUND(AD$7*10000,0)/12000000,0)/100,0)</f>
        <v>0</v>
      </c>
      <c r="AF194" s="24">
        <f>IF(AF193&gt;0,ROUND(AF193+AE194-AD194,2),0)</f>
        <v>0</v>
      </c>
      <c r="AG194" s="24">
        <f>IF(AI193&gt;0,MIN(ROUND(AG$6+IF(AG$5=$C194,$E$5+$E194,0),2),ROUND(AI193+AH194,2)),0)</f>
        <v>0</v>
      </c>
      <c r="AH194" s="24">
        <f>IF(AI193&gt;0,ROUND(ROUND(AI193*100,0)*ROUND(AG$7*10000,0)/12000000,0)/100,0)</f>
        <v>0</v>
      </c>
      <c r="AI194" s="24">
        <f>IF(AI193&gt;0,ROUND(AI193+AH194-AG194,2),0)</f>
        <v>0</v>
      </c>
      <c r="AJ194" s="24">
        <f>IF(AL193&gt;0,MIN(ROUND(AJ$6+IF(AJ$5=$C194,$E$5+$E194,0),2),ROUND(AL193+AK194,2)),0)</f>
        <v>0</v>
      </c>
      <c r="AK194" s="24">
        <f>IF(AL193&gt;0,ROUND(ROUND(AL193*100,0)*ROUND(AJ$7*10000,0)/12000000,0)/100,0)</f>
        <v>0</v>
      </c>
      <c r="AL194" s="24">
        <f>IF(AL193&gt;0,ROUND(AL193+AK194-AJ194,2),0)</f>
        <v>0</v>
      </c>
    </row>
    <row r="195" spans="1:38" x14ac:dyDescent="0.25">
      <c r="A195" s="17" t="str">
        <f>IF(F195&gt;0,185,"")</f>
        <v/>
      </c>
      <c r="B195" s="18" t="str">
        <f>IF(F195&gt;0,EDATE($E$6,185),"")</f>
        <v/>
      </c>
      <c r="C195" s="21">
        <f>IF(H194&gt;0,MIN(IF(K194&gt;0,I$5,99),IF(N194&gt;0,L$5,99),IF(Q194&gt;0,O$5,99),IF(T194&gt;0,R$5,99),IF(W194&gt;0,U$5,99),IF(Z194&gt;0,X$5,99),IF(AC194&gt;0,AA$5,99),IF(AF194&gt;0,AD$5,99),IF(AI194&gt;0,AG$5,99),IF(AL194&gt;0,AJ$5,99)),0)</f>
        <v>0</v>
      </c>
      <c r="D195" t="str">
        <f>IF(C195&gt;0,INDEX($I$4:$AL$4,1,MATCH(C195,$I$5:$AL$5,0)),"")</f>
        <v/>
      </c>
      <c r="E195" s="24">
        <f>ROUND(IF(AND(I$8&gt;0,K194=0),I$6,0)+IF(AND(L$8&gt;0,N194=0),L$6,0)+IF(AND(O$8&gt;0,Q194=0),O$6,0)+IF(AND(R$8&gt;0,T194=0),R$6,0)+IF(AND(U$8&gt;0,W194=0),U$6,0)+IF(AND(X$8&gt;0,Z194=0),X$6,0)+IF(AND(AA$8&gt;0,AC194=0),AA$6,0)+IF(AND(AD$8&gt;0,AF194=0),AD$6,0)+IF(AND(AG$8&gt;0,AI194=0),AG$6,0)+IF(AND(AJ$8&gt;0,AL194=0),AJ$6,0),2)</f>
        <v>330</v>
      </c>
      <c r="F195" s="24">
        <f>ROUND(I195+L195+O195+R195+U195+X195+AA195+AD195+AG195+AJ195,2)</f>
        <v>0</v>
      </c>
      <c r="G195" s="24">
        <f>ROUND(J195+M195+P195+S195+V195+Y195+AB195+AE195+AH195+AK195,2)</f>
        <v>0</v>
      </c>
      <c r="H195" s="24">
        <f>ROUND(K195+N195+Q195+T195+W195+Z195+AC195+AF195+AI195+AL195,2)</f>
        <v>0</v>
      </c>
      <c r="I195" s="24">
        <f>IF(K194&gt;0,MIN(ROUND(I$6+IF(I$5=$C195,$E$5+$E195,0),2),ROUND(K194+J195,2)),0)</f>
        <v>0</v>
      </c>
      <c r="J195" s="24">
        <f>IF(K194&gt;0,ROUND(ROUND(K194*100,0)*ROUND(I$7*10000,0)/12000000,0)/100,0)</f>
        <v>0</v>
      </c>
      <c r="K195" s="24">
        <f>IF(K194&gt;0,ROUND(K194+J195-I195,2),0)</f>
        <v>0</v>
      </c>
      <c r="L195" s="24">
        <f>IF(N194&gt;0,MIN(ROUND(L$6+IF(L$5=$C195,$E$5+$E195,0),2),ROUND(N194+M195,2)),0)</f>
        <v>0</v>
      </c>
      <c r="M195" s="24">
        <f>IF(N194&gt;0,ROUND(ROUND(N194*100,0)*ROUND(L$7*10000,0)/12000000,0)/100,0)</f>
        <v>0</v>
      </c>
      <c r="N195" s="24">
        <f>IF(N194&gt;0,ROUND(N194+M195-L195,2),0)</f>
        <v>0</v>
      </c>
      <c r="O195" s="24">
        <f>IF(Q194&gt;0,MIN(ROUND(O$6+IF(O$5=$C195,$E$5+$E195,0),2),ROUND(Q194+P195,2)),0)</f>
        <v>0</v>
      </c>
      <c r="P195" s="24">
        <f>IF(Q194&gt;0,ROUND(ROUND(Q194*100,0)*ROUND(O$7*10000,0)/12000000,0)/100,0)</f>
        <v>0</v>
      </c>
      <c r="Q195" s="24">
        <f>IF(Q194&gt;0,ROUND(Q194+P195-O195,2),0)</f>
        <v>0</v>
      </c>
      <c r="R195" s="24">
        <f>IF(T194&gt;0,MIN(ROUND(R$6+IF(R$5=$C195,$E$5+$E195,0),2),ROUND(T194+S195,2)),0)</f>
        <v>0</v>
      </c>
      <c r="S195" s="24">
        <f>IF(T194&gt;0,ROUND(ROUND(T194*100,0)*ROUND(R$7*10000,0)/12000000,0)/100,0)</f>
        <v>0</v>
      </c>
      <c r="T195" s="24">
        <f>IF(T194&gt;0,ROUND(T194+S195-R195,2),0)</f>
        <v>0</v>
      </c>
      <c r="U195" s="24">
        <f>IF(W194&gt;0,MIN(ROUND(U$6+IF(U$5=$C195,$E$5+$E195,0),2),ROUND(W194+V195,2)),0)</f>
        <v>0</v>
      </c>
      <c r="V195" s="24">
        <f>IF(W194&gt;0,ROUND(ROUND(W194*100,0)*ROUND(U$7*10000,0)/12000000,0)/100,0)</f>
        <v>0</v>
      </c>
      <c r="W195" s="24">
        <f>IF(W194&gt;0,ROUND(W194+V195-U195,2),0)</f>
        <v>0</v>
      </c>
      <c r="X195" s="24">
        <f>IF(Z194&gt;0,MIN(ROUND(X$6+IF(X$5=$C195,$E$5+$E195,0),2),ROUND(Z194+Y195,2)),0)</f>
        <v>0</v>
      </c>
      <c r="Y195" s="24">
        <f>IF(Z194&gt;0,ROUND(ROUND(Z194*100,0)*ROUND(X$7*10000,0)/12000000,0)/100,0)</f>
        <v>0</v>
      </c>
      <c r="Z195" s="24">
        <f>IF(Z194&gt;0,ROUND(Z194+Y195-X195,2),0)</f>
        <v>0</v>
      </c>
      <c r="AA195" s="24">
        <f>IF(AC194&gt;0,MIN(ROUND(AA$6+IF(AA$5=$C195,$E$5+$E195,0),2),ROUND(AC194+AB195,2)),0)</f>
        <v>0</v>
      </c>
      <c r="AB195" s="24">
        <f>IF(AC194&gt;0,ROUND(ROUND(AC194*100,0)*ROUND(AA$7*10000,0)/12000000,0)/100,0)</f>
        <v>0</v>
      </c>
      <c r="AC195" s="24">
        <f>IF(AC194&gt;0,ROUND(AC194+AB195-AA195,2),0)</f>
        <v>0</v>
      </c>
      <c r="AD195" s="24">
        <f>IF(AF194&gt;0,MIN(ROUND(AD$6+IF(AD$5=$C195,$E$5+$E195,0),2),ROUND(AF194+AE195,2)),0)</f>
        <v>0</v>
      </c>
      <c r="AE195" s="24">
        <f>IF(AF194&gt;0,ROUND(ROUND(AF194*100,0)*ROUND(AD$7*10000,0)/12000000,0)/100,0)</f>
        <v>0</v>
      </c>
      <c r="AF195" s="24">
        <f>IF(AF194&gt;0,ROUND(AF194+AE195-AD195,2),0)</f>
        <v>0</v>
      </c>
      <c r="AG195" s="24">
        <f>IF(AI194&gt;0,MIN(ROUND(AG$6+IF(AG$5=$C195,$E$5+$E195,0),2),ROUND(AI194+AH195,2)),0)</f>
        <v>0</v>
      </c>
      <c r="AH195" s="24">
        <f>IF(AI194&gt;0,ROUND(ROUND(AI194*100,0)*ROUND(AG$7*10000,0)/12000000,0)/100,0)</f>
        <v>0</v>
      </c>
      <c r="AI195" s="24">
        <f>IF(AI194&gt;0,ROUND(AI194+AH195-AG195,2),0)</f>
        <v>0</v>
      </c>
      <c r="AJ195" s="24">
        <f>IF(AL194&gt;0,MIN(ROUND(AJ$6+IF(AJ$5=$C195,$E$5+$E195,0),2),ROUND(AL194+AK195,2)),0)</f>
        <v>0</v>
      </c>
      <c r="AK195" s="24">
        <f>IF(AL194&gt;0,ROUND(ROUND(AL194*100,0)*ROUND(AJ$7*10000,0)/12000000,0)/100,0)</f>
        <v>0</v>
      </c>
      <c r="AL195" s="24">
        <f>IF(AL194&gt;0,ROUND(AL194+AK195-AJ195,2),0)</f>
        <v>0</v>
      </c>
    </row>
    <row r="196" spans="1:38" x14ac:dyDescent="0.25">
      <c r="A196" s="17" t="str">
        <f>IF(F196&gt;0,186,"")</f>
        <v/>
      </c>
      <c r="B196" s="18" t="str">
        <f>IF(F196&gt;0,EDATE($E$6,186),"")</f>
        <v/>
      </c>
      <c r="C196" s="21">
        <f>IF(H195&gt;0,MIN(IF(K195&gt;0,I$5,99),IF(N195&gt;0,L$5,99),IF(Q195&gt;0,O$5,99),IF(T195&gt;0,R$5,99),IF(W195&gt;0,U$5,99),IF(Z195&gt;0,X$5,99),IF(AC195&gt;0,AA$5,99),IF(AF195&gt;0,AD$5,99),IF(AI195&gt;0,AG$5,99),IF(AL195&gt;0,AJ$5,99)),0)</f>
        <v>0</v>
      </c>
      <c r="D196" t="str">
        <f>IF(C196&gt;0,INDEX($I$4:$AL$4,1,MATCH(C196,$I$5:$AL$5,0)),"")</f>
        <v/>
      </c>
      <c r="E196" s="24">
        <f>ROUND(IF(AND(I$8&gt;0,K195=0),I$6,0)+IF(AND(L$8&gt;0,N195=0),L$6,0)+IF(AND(O$8&gt;0,Q195=0),O$6,0)+IF(AND(R$8&gt;0,T195=0),R$6,0)+IF(AND(U$8&gt;0,W195=0),U$6,0)+IF(AND(X$8&gt;0,Z195=0),X$6,0)+IF(AND(AA$8&gt;0,AC195=0),AA$6,0)+IF(AND(AD$8&gt;0,AF195=0),AD$6,0)+IF(AND(AG$8&gt;0,AI195=0),AG$6,0)+IF(AND(AJ$8&gt;0,AL195=0),AJ$6,0),2)</f>
        <v>330</v>
      </c>
      <c r="F196" s="24">
        <f>ROUND(I196+L196+O196+R196+U196+X196+AA196+AD196+AG196+AJ196,2)</f>
        <v>0</v>
      </c>
      <c r="G196" s="24">
        <f>ROUND(J196+M196+P196+S196+V196+Y196+AB196+AE196+AH196+AK196,2)</f>
        <v>0</v>
      </c>
      <c r="H196" s="24">
        <f>ROUND(K196+N196+Q196+T196+W196+Z196+AC196+AF196+AI196+AL196,2)</f>
        <v>0</v>
      </c>
      <c r="I196" s="24">
        <f>IF(K195&gt;0,MIN(ROUND(I$6+IF(I$5=$C196,$E$5+$E196,0),2),ROUND(K195+J196,2)),0)</f>
        <v>0</v>
      </c>
      <c r="J196" s="24">
        <f>IF(K195&gt;0,ROUND(ROUND(K195*100,0)*ROUND(I$7*10000,0)/12000000,0)/100,0)</f>
        <v>0</v>
      </c>
      <c r="K196" s="24">
        <f>IF(K195&gt;0,ROUND(K195+J196-I196,2),0)</f>
        <v>0</v>
      </c>
      <c r="L196" s="24">
        <f>IF(N195&gt;0,MIN(ROUND(L$6+IF(L$5=$C196,$E$5+$E196,0),2),ROUND(N195+M196,2)),0)</f>
        <v>0</v>
      </c>
      <c r="M196" s="24">
        <f>IF(N195&gt;0,ROUND(ROUND(N195*100,0)*ROUND(L$7*10000,0)/12000000,0)/100,0)</f>
        <v>0</v>
      </c>
      <c r="N196" s="24">
        <f>IF(N195&gt;0,ROUND(N195+M196-L196,2),0)</f>
        <v>0</v>
      </c>
      <c r="O196" s="24">
        <f>IF(Q195&gt;0,MIN(ROUND(O$6+IF(O$5=$C196,$E$5+$E196,0),2),ROUND(Q195+P196,2)),0)</f>
        <v>0</v>
      </c>
      <c r="P196" s="24">
        <f>IF(Q195&gt;0,ROUND(ROUND(Q195*100,0)*ROUND(O$7*10000,0)/12000000,0)/100,0)</f>
        <v>0</v>
      </c>
      <c r="Q196" s="24">
        <f>IF(Q195&gt;0,ROUND(Q195+P196-O196,2),0)</f>
        <v>0</v>
      </c>
      <c r="R196" s="24">
        <f>IF(T195&gt;0,MIN(ROUND(R$6+IF(R$5=$C196,$E$5+$E196,0),2),ROUND(T195+S196,2)),0)</f>
        <v>0</v>
      </c>
      <c r="S196" s="24">
        <f>IF(T195&gt;0,ROUND(ROUND(T195*100,0)*ROUND(R$7*10000,0)/12000000,0)/100,0)</f>
        <v>0</v>
      </c>
      <c r="T196" s="24">
        <f>IF(T195&gt;0,ROUND(T195+S196-R196,2),0)</f>
        <v>0</v>
      </c>
      <c r="U196" s="24">
        <f>IF(W195&gt;0,MIN(ROUND(U$6+IF(U$5=$C196,$E$5+$E196,0),2),ROUND(W195+V196,2)),0)</f>
        <v>0</v>
      </c>
      <c r="V196" s="24">
        <f>IF(W195&gt;0,ROUND(ROUND(W195*100,0)*ROUND(U$7*10000,0)/12000000,0)/100,0)</f>
        <v>0</v>
      </c>
      <c r="W196" s="24">
        <f>IF(W195&gt;0,ROUND(W195+V196-U196,2),0)</f>
        <v>0</v>
      </c>
      <c r="X196" s="24">
        <f>IF(Z195&gt;0,MIN(ROUND(X$6+IF(X$5=$C196,$E$5+$E196,0),2),ROUND(Z195+Y196,2)),0)</f>
        <v>0</v>
      </c>
      <c r="Y196" s="24">
        <f>IF(Z195&gt;0,ROUND(ROUND(Z195*100,0)*ROUND(X$7*10000,0)/12000000,0)/100,0)</f>
        <v>0</v>
      </c>
      <c r="Z196" s="24">
        <f>IF(Z195&gt;0,ROUND(Z195+Y196-X196,2),0)</f>
        <v>0</v>
      </c>
      <c r="AA196" s="24">
        <f>IF(AC195&gt;0,MIN(ROUND(AA$6+IF(AA$5=$C196,$E$5+$E196,0),2),ROUND(AC195+AB196,2)),0)</f>
        <v>0</v>
      </c>
      <c r="AB196" s="24">
        <f>IF(AC195&gt;0,ROUND(ROUND(AC195*100,0)*ROUND(AA$7*10000,0)/12000000,0)/100,0)</f>
        <v>0</v>
      </c>
      <c r="AC196" s="24">
        <f>IF(AC195&gt;0,ROUND(AC195+AB196-AA196,2),0)</f>
        <v>0</v>
      </c>
      <c r="AD196" s="24">
        <f>IF(AF195&gt;0,MIN(ROUND(AD$6+IF(AD$5=$C196,$E$5+$E196,0),2),ROUND(AF195+AE196,2)),0)</f>
        <v>0</v>
      </c>
      <c r="AE196" s="24">
        <f>IF(AF195&gt;0,ROUND(ROUND(AF195*100,0)*ROUND(AD$7*10000,0)/12000000,0)/100,0)</f>
        <v>0</v>
      </c>
      <c r="AF196" s="24">
        <f>IF(AF195&gt;0,ROUND(AF195+AE196-AD196,2),0)</f>
        <v>0</v>
      </c>
      <c r="AG196" s="24">
        <f>IF(AI195&gt;0,MIN(ROUND(AG$6+IF(AG$5=$C196,$E$5+$E196,0),2),ROUND(AI195+AH196,2)),0)</f>
        <v>0</v>
      </c>
      <c r="AH196" s="24">
        <f>IF(AI195&gt;0,ROUND(ROUND(AI195*100,0)*ROUND(AG$7*10000,0)/12000000,0)/100,0)</f>
        <v>0</v>
      </c>
      <c r="AI196" s="24">
        <f>IF(AI195&gt;0,ROUND(AI195+AH196-AG196,2),0)</f>
        <v>0</v>
      </c>
      <c r="AJ196" s="24">
        <f>IF(AL195&gt;0,MIN(ROUND(AJ$6+IF(AJ$5=$C196,$E$5+$E196,0),2),ROUND(AL195+AK196,2)),0)</f>
        <v>0</v>
      </c>
      <c r="AK196" s="24">
        <f>IF(AL195&gt;0,ROUND(ROUND(AL195*100,0)*ROUND(AJ$7*10000,0)/12000000,0)/100,0)</f>
        <v>0</v>
      </c>
      <c r="AL196" s="24">
        <f>IF(AL195&gt;0,ROUND(AL195+AK196-AJ196,2),0)</f>
        <v>0</v>
      </c>
    </row>
    <row r="197" spans="1:38" x14ac:dyDescent="0.25">
      <c r="A197" s="17" t="str">
        <f>IF(F197&gt;0,187,"")</f>
        <v/>
      </c>
      <c r="B197" s="18" t="str">
        <f>IF(F197&gt;0,EDATE($E$6,187),"")</f>
        <v/>
      </c>
      <c r="C197" s="21">
        <f>IF(H196&gt;0,MIN(IF(K196&gt;0,I$5,99),IF(N196&gt;0,L$5,99),IF(Q196&gt;0,O$5,99),IF(T196&gt;0,R$5,99),IF(W196&gt;0,U$5,99),IF(Z196&gt;0,X$5,99),IF(AC196&gt;0,AA$5,99),IF(AF196&gt;0,AD$5,99),IF(AI196&gt;0,AG$5,99),IF(AL196&gt;0,AJ$5,99)),0)</f>
        <v>0</v>
      </c>
      <c r="D197" t="str">
        <f>IF(C197&gt;0,INDEX($I$4:$AL$4,1,MATCH(C197,$I$5:$AL$5,0)),"")</f>
        <v/>
      </c>
      <c r="E197" s="24">
        <f>ROUND(IF(AND(I$8&gt;0,K196=0),I$6,0)+IF(AND(L$8&gt;0,N196=0),L$6,0)+IF(AND(O$8&gt;0,Q196=0),O$6,0)+IF(AND(R$8&gt;0,T196=0),R$6,0)+IF(AND(U$8&gt;0,W196=0),U$6,0)+IF(AND(X$8&gt;0,Z196=0),X$6,0)+IF(AND(AA$8&gt;0,AC196=0),AA$6,0)+IF(AND(AD$8&gt;0,AF196=0),AD$6,0)+IF(AND(AG$8&gt;0,AI196=0),AG$6,0)+IF(AND(AJ$8&gt;0,AL196=0),AJ$6,0),2)</f>
        <v>330</v>
      </c>
      <c r="F197" s="24">
        <f>ROUND(I197+L197+O197+R197+U197+X197+AA197+AD197+AG197+AJ197,2)</f>
        <v>0</v>
      </c>
      <c r="G197" s="24">
        <f>ROUND(J197+M197+P197+S197+V197+Y197+AB197+AE197+AH197+AK197,2)</f>
        <v>0</v>
      </c>
      <c r="H197" s="24">
        <f>ROUND(K197+N197+Q197+T197+W197+Z197+AC197+AF197+AI197+AL197,2)</f>
        <v>0</v>
      </c>
      <c r="I197" s="24">
        <f>IF(K196&gt;0,MIN(ROUND(I$6+IF(I$5=$C197,$E$5+$E197,0),2),ROUND(K196+J197,2)),0)</f>
        <v>0</v>
      </c>
      <c r="J197" s="24">
        <f>IF(K196&gt;0,ROUND(ROUND(K196*100,0)*ROUND(I$7*10000,0)/12000000,0)/100,0)</f>
        <v>0</v>
      </c>
      <c r="K197" s="24">
        <f>IF(K196&gt;0,ROUND(K196+J197-I197,2),0)</f>
        <v>0</v>
      </c>
      <c r="L197" s="24">
        <f>IF(N196&gt;0,MIN(ROUND(L$6+IF(L$5=$C197,$E$5+$E197,0),2),ROUND(N196+M197,2)),0)</f>
        <v>0</v>
      </c>
      <c r="M197" s="24">
        <f>IF(N196&gt;0,ROUND(ROUND(N196*100,0)*ROUND(L$7*10000,0)/12000000,0)/100,0)</f>
        <v>0</v>
      </c>
      <c r="N197" s="24">
        <f>IF(N196&gt;0,ROUND(N196+M197-L197,2),0)</f>
        <v>0</v>
      </c>
      <c r="O197" s="24">
        <f>IF(Q196&gt;0,MIN(ROUND(O$6+IF(O$5=$C197,$E$5+$E197,0),2),ROUND(Q196+P197,2)),0)</f>
        <v>0</v>
      </c>
      <c r="P197" s="24">
        <f>IF(Q196&gt;0,ROUND(ROUND(Q196*100,0)*ROUND(O$7*10000,0)/12000000,0)/100,0)</f>
        <v>0</v>
      </c>
      <c r="Q197" s="24">
        <f>IF(Q196&gt;0,ROUND(Q196+P197-O197,2),0)</f>
        <v>0</v>
      </c>
      <c r="R197" s="24">
        <f>IF(T196&gt;0,MIN(ROUND(R$6+IF(R$5=$C197,$E$5+$E197,0),2),ROUND(T196+S197,2)),0)</f>
        <v>0</v>
      </c>
      <c r="S197" s="24">
        <f>IF(T196&gt;0,ROUND(ROUND(T196*100,0)*ROUND(R$7*10000,0)/12000000,0)/100,0)</f>
        <v>0</v>
      </c>
      <c r="T197" s="24">
        <f>IF(T196&gt;0,ROUND(T196+S197-R197,2),0)</f>
        <v>0</v>
      </c>
      <c r="U197" s="24">
        <f>IF(W196&gt;0,MIN(ROUND(U$6+IF(U$5=$C197,$E$5+$E197,0),2),ROUND(W196+V197,2)),0)</f>
        <v>0</v>
      </c>
      <c r="V197" s="24">
        <f>IF(W196&gt;0,ROUND(ROUND(W196*100,0)*ROUND(U$7*10000,0)/12000000,0)/100,0)</f>
        <v>0</v>
      </c>
      <c r="W197" s="24">
        <f>IF(W196&gt;0,ROUND(W196+V197-U197,2),0)</f>
        <v>0</v>
      </c>
      <c r="X197" s="24">
        <f>IF(Z196&gt;0,MIN(ROUND(X$6+IF(X$5=$C197,$E$5+$E197,0),2),ROUND(Z196+Y197,2)),0)</f>
        <v>0</v>
      </c>
      <c r="Y197" s="24">
        <f>IF(Z196&gt;0,ROUND(ROUND(Z196*100,0)*ROUND(X$7*10000,0)/12000000,0)/100,0)</f>
        <v>0</v>
      </c>
      <c r="Z197" s="24">
        <f>IF(Z196&gt;0,ROUND(Z196+Y197-X197,2),0)</f>
        <v>0</v>
      </c>
      <c r="AA197" s="24">
        <f>IF(AC196&gt;0,MIN(ROUND(AA$6+IF(AA$5=$C197,$E$5+$E197,0),2),ROUND(AC196+AB197,2)),0)</f>
        <v>0</v>
      </c>
      <c r="AB197" s="24">
        <f>IF(AC196&gt;0,ROUND(ROUND(AC196*100,0)*ROUND(AA$7*10000,0)/12000000,0)/100,0)</f>
        <v>0</v>
      </c>
      <c r="AC197" s="24">
        <f>IF(AC196&gt;0,ROUND(AC196+AB197-AA197,2),0)</f>
        <v>0</v>
      </c>
      <c r="AD197" s="24">
        <f>IF(AF196&gt;0,MIN(ROUND(AD$6+IF(AD$5=$C197,$E$5+$E197,0),2),ROUND(AF196+AE197,2)),0)</f>
        <v>0</v>
      </c>
      <c r="AE197" s="24">
        <f>IF(AF196&gt;0,ROUND(ROUND(AF196*100,0)*ROUND(AD$7*10000,0)/12000000,0)/100,0)</f>
        <v>0</v>
      </c>
      <c r="AF197" s="24">
        <f>IF(AF196&gt;0,ROUND(AF196+AE197-AD197,2),0)</f>
        <v>0</v>
      </c>
      <c r="AG197" s="24">
        <f>IF(AI196&gt;0,MIN(ROUND(AG$6+IF(AG$5=$C197,$E$5+$E197,0),2),ROUND(AI196+AH197,2)),0)</f>
        <v>0</v>
      </c>
      <c r="AH197" s="24">
        <f>IF(AI196&gt;0,ROUND(ROUND(AI196*100,0)*ROUND(AG$7*10000,0)/12000000,0)/100,0)</f>
        <v>0</v>
      </c>
      <c r="AI197" s="24">
        <f>IF(AI196&gt;0,ROUND(AI196+AH197-AG197,2),0)</f>
        <v>0</v>
      </c>
      <c r="AJ197" s="24">
        <f>IF(AL196&gt;0,MIN(ROUND(AJ$6+IF(AJ$5=$C197,$E$5+$E197,0),2),ROUND(AL196+AK197,2)),0)</f>
        <v>0</v>
      </c>
      <c r="AK197" s="24">
        <f>IF(AL196&gt;0,ROUND(ROUND(AL196*100,0)*ROUND(AJ$7*10000,0)/12000000,0)/100,0)</f>
        <v>0</v>
      </c>
      <c r="AL197" s="24">
        <f>IF(AL196&gt;0,ROUND(AL196+AK197-AJ197,2),0)</f>
        <v>0</v>
      </c>
    </row>
    <row r="198" spans="1:38" x14ac:dyDescent="0.25">
      <c r="A198" s="17" t="str">
        <f>IF(F198&gt;0,188,"")</f>
        <v/>
      </c>
      <c r="B198" s="18" t="str">
        <f>IF(F198&gt;0,EDATE($E$6,188),"")</f>
        <v/>
      </c>
      <c r="C198" s="21">
        <f>IF(H197&gt;0,MIN(IF(K197&gt;0,I$5,99),IF(N197&gt;0,L$5,99),IF(Q197&gt;0,O$5,99),IF(T197&gt;0,R$5,99),IF(W197&gt;0,U$5,99),IF(Z197&gt;0,X$5,99),IF(AC197&gt;0,AA$5,99),IF(AF197&gt;0,AD$5,99),IF(AI197&gt;0,AG$5,99),IF(AL197&gt;0,AJ$5,99)),0)</f>
        <v>0</v>
      </c>
      <c r="D198" t="str">
        <f>IF(C198&gt;0,INDEX($I$4:$AL$4,1,MATCH(C198,$I$5:$AL$5,0)),"")</f>
        <v/>
      </c>
      <c r="E198" s="24">
        <f>ROUND(IF(AND(I$8&gt;0,K197=0),I$6,0)+IF(AND(L$8&gt;0,N197=0),L$6,0)+IF(AND(O$8&gt;0,Q197=0),O$6,0)+IF(AND(R$8&gt;0,T197=0),R$6,0)+IF(AND(U$8&gt;0,W197=0),U$6,0)+IF(AND(X$8&gt;0,Z197=0),X$6,0)+IF(AND(AA$8&gt;0,AC197=0),AA$6,0)+IF(AND(AD$8&gt;0,AF197=0),AD$6,0)+IF(AND(AG$8&gt;0,AI197=0),AG$6,0)+IF(AND(AJ$8&gt;0,AL197=0),AJ$6,0),2)</f>
        <v>330</v>
      </c>
      <c r="F198" s="24">
        <f>ROUND(I198+L198+O198+R198+U198+X198+AA198+AD198+AG198+AJ198,2)</f>
        <v>0</v>
      </c>
      <c r="G198" s="24">
        <f>ROUND(J198+M198+P198+S198+V198+Y198+AB198+AE198+AH198+AK198,2)</f>
        <v>0</v>
      </c>
      <c r="H198" s="24">
        <f>ROUND(K198+N198+Q198+T198+W198+Z198+AC198+AF198+AI198+AL198,2)</f>
        <v>0</v>
      </c>
      <c r="I198" s="24">
        <f>IF(K197&gt;0,MIN(ROUND(I$6+IF(I$5=$C198,$E$5+$E198,0),2),ROUND(K197+J198,2)),0)</f>
        <v>0</v>
      </c>
      <c r="J198" s="24">
        <f>IF(K197&gt;0,ROUND(ROUND(K197*100,0)*ROUND(I$7*10000,0)/12000000,0)/100,0)</f>
        <v>0</v>
      </c>
      <c r="K198" s="24">
        <f>IF(K197&gt;0,ROUND(K197+J198-I198,2),0)</f>
        <v>0</v>
      </c>
      <c r="L198" s="24">
        <f>IF(N197&gt;0,MIN(ROUND(L$6+IF(L$5=$C198,$E$5+$E198,0),2),ROUND(N197+M198,2)),0)</f>
        <v>0</v>
      </c>
      <c r="M198" s="24">
        <f>IF(N197&gt;0,ROUND(ROUND(N197*100,0)*ROUND(L$7*10000,0)/12000000,0)/100,0)</f>
        <v>0</v>
      </c>
      <c r="N198" s="24">
        <f>IF(N197&gt;0,ROUND(N197+M198-L198,2),0)</f>
        <v>0</v>
      </c>
      <c r="O198" s="24">
        <f>IF(Q197&gt;0,MIN(ROUND(O$6+IF(O$5=$C198,$E$5+$E198,0),2),ROUND(Q197+P198,2)),0)</f>
        <v>0</v>
      </c>
      <c r="P198" s="24">
        <f>IF(Q197&gt;0,ROUND(ROUND(Q197*100,0)*ROUND(O$7*10000,0)/12000000,0)/100,0)</f>
        <v>0</v>
      </c>
      <c r="Q198" s="24">
        <f>IF(Q197&gt;0,ROUND(Q197+P198-O198,2),0)</f>
        <v>0</v>
      </c>
      <c r="R198" s="24">
        <f>IF(T197&gt;0,MIN(ROUND(R$6+IF(R$5=$C198,$E$5+$E198,0),2),ROUND(T197+S198,2)),0)</f>
        <v>0</v>
      </c>
      <c r="S198" s="24">
        <f>IF(T197&gt;0,ROUND(ROUND(T197*100,0)*ROUND(R$7*10000,0)/12000000,0)/100,0)</f>
        <v>0</v>
      </c>
      <c r="T198" s="24">
        <f>IF(T197&gt;0,ROUND(T197+S198-R198,2),0)</f>
        <v>0</v>
      </c>
      <c r="U198" s="24">
        <f>IF(W197&gt;0,MIN(ROUND(U$6+IF(U$5=$C198,$E$5+$E198,0),2),ROUND(W197+V198,2)),0)</f>
        <v>0</v>
      </c>
      <c r="V198" s="24">
        <f>IF(W197&gt;0,ROUND(ROUND(W197*100,0)*ROUND(U$7*10000,0)/12000000,0)/100,0)</f>
        <v>0</v>
      </c>
      <c r="W198" s="24">
        <f>IF(W197&gt;0,ROUND(W197+V198-U198,2),0)</f>
        <v>0</v>
      </c>
      <c r="X198" s="24">
        <f>IF(Z197&gt;0,MIN(ROUND(X$6+IF(X$5=$C198,$E$5+$E198,0),2),ROUND(Z197+Y198,2)),0)</f>
        <v>0</v>
      </c>
      <c r="Y198" s="24">
        <f>IF(Z197&gt;0,ROUND(ROUND(Z197*100,0)*ROUND(X$7*10000,0)/12000000,0)/100,0)</f>
        <v>0</v>
      </c>
      <c r="Z198" s="24">
        <f>IF(Z197&gt;0,ROUND(Z197+Y198-X198,2),0)</f>
        <v>0</v>
      </c>
      <c r="AA198" s="24">
        <f>IF(AC197&gt;0,MIN(ROUND(AA$6+IF(AA$5=$C198,$E$5+$E198,0),2),ROUND(AC197+AB198,2)),0)</f>
        <v>0</v>
      </c>
      <c r="AB198" s="24">
        <f>IF(AC197&gt;0,ROUND(ROUND(AC197*100,0)*ROUND(AA$7*10000,0)/12000000,0)/100,0)</f>
        <v>0</v>
      </c>
      <c r="AC198" s="24">
        <f>IF(AC197&gt;0,ROUND(AC197+AB198-AA198,2),0)</f>
        <v>0</v>
      </c>
      <c r="AD198" s="24">
        <f>IF(AF197&gt;0,MIN(ROUND(AD$6+IF(AD$5=$C198,$E$5+$E198,0),2),ROUND(AF197+AE198,2)),0)</f>
        <v>0</v>
      </c>
      <c r="AE198" s="24">
        <f>IF(AF197&gt;0,ROUND(ROUND(AF197*100,0)*ROUND(AD$7*10000,0)/12000000,0)/100,0)</f>
        <v>0</v>
      </c>
      <c r="AF198" s="24">
        <f>IF(AF197&gt;0,ROUND(AF197+AE198-AD198,2),0)</f>
        <v>0</v>
      </c>
      <c r="AG198" s="24">
        <f>IF(AI197&gt;0,MIN(ROUND(AG$6+IF(AG$5=$C198,$E$5+$E198,0),2),ROUND(AI197+AH198,2)),0)</f>
        <v>0</v>
      </c>
      <c r="AH198" s="24">
        <f>IF(AI197&gt;0,ROUND(ROUND(AI197*100,0)*ROUND(AG$7*10000,0)/12000000,0)/100,0)</f>
        <v>0</v>
      </c>
      <c r="AI198" s="24">
        <f>IF(AI197&gt;0,ROUND(AI197+AH198-AG198,2),0)</f>
        <v>0</v>
      </c>
      <c r="AJ198" s="24">
        <f>IF(AL197&gt;0,MIN(ROUND(AJ$6+IF(AJ$5=$C198,$E$5+$E198,0),2),ROUND(AL197+AK198,2)),0)</f>
        <v>0</v>
      </c>
      <c r="AK198" s="24">
        <f>IF(AL197&gt;0,ROUND(ROUND(AL197*100,0)*ROUND(AJ$7*10000,0)/12000000,0)/100,0)</f>
        <v>0</v>
      </c>
      <c r="AL198" s="24">
        <f>IF(AL197&gt;0,ROUND(AL197+AK198-AJ198,2),0)</f>
        <v>0</v>
      </c>
    </row>
    <row r="199" spans="1:38" x14ac:dyDescent="0.25">
      <c r="A199" s="17" t="str">
        <f>IF(F199&gt;0,189,"")</f>
        <v/>
      </c>
      <c r="B199" s="18" t="str">
        <f>IF(F199&gt;0,EDATE($E$6,189),"")</f>
        <v/>
      </c>
      <c r="C199" s="21">
        <f>IF(H198&gt;0,MIN(IF(K198&gt;0,I$5,99),IF(N198&gt;0,L$5,99),IF(Q198&gt;0,O$5,99),IF(T198&gt;0,R$5,99),IF(W198&gt;0,U$5,99),IF(Z198&gt;0,X$5,99),IF(AC198&gt;0,AA$5,99),IF(AF198&gt;0,AD$5,99),IF(AI198&gt;0,AG$5,99),IF(AL198&gt;0,AJ$5,99)),0)</f>
        <v>0</v>
      </c>
      <c r="D199" t="str">
        <f>IF(C199&gt;0,INDEX($I$4:$AL$4,1,MATCH(C199,$I$5:$AL$5,0)),"")</f>
        <v/>
      </c>
      <c r="E199" s="24">
        <f>ROUND(IF(AND(I$8&gt;0,K198=0),I$6,0)+IF(AND(L$8&gt;0,N198=0),L$6,0)+IF(AND(O$8&gt;0,Q198=0),O$6,0)+IF(AND(R$8&gt;0,T198=0),R$6,0)+IF(AND(U$8&gt;0,W198=0),U$6,0)+IF(AND(X$8&gt;0,Z198=0),X$6,0)+IF(AND(AA$8&gt;0,AC198=0),AA$6,0)+IF(AND(AD$8&gt;0,AF198=0),AD$6,0)+IF(AND(AG$8&gt;0,AI198=0),AG$6,0)+IF(AND(AJ$8&gt;0,AL198=0),AJ$6,0),2)</f>
        <v>330</v>
      </c>
      <c r="F199" s="24">
        <f>ROUND(I199+L199+O199+R199+U199+X199+AA199+AD199+AG199+AJ199,2)</f>
        <v>0</v>
      </c>
      <c r="G199" s="24">
        <f>ROUND(J199+M199+P199+S199+V199+Y199+AB199+AE199+AH199+AK199,2)</f>
        <v>0</v>
      </c>
      <c r="H199" s="24">
        <f>ROUND(K199+N199+Q199+T199+W199+Z199+AC199+AF199+AI199+AL199,2)</f>
        <v>0</v>
      </c>
      <c r="I199" s="24">
        <f>IF(K198&gt;0,MIN(ROUND(I$6+IF(I$5=$C199,$E$5+$E199,0),2),ROUND(K198+J199,2)),0)</f>
        <v>0</v>
      </c>
      <c r="J199" s="24">
        <f>IF(K198&gt;0,ROUND(ROUND(K198*100,0)*ROUND(I$7*10000,0)/12000000,0)/100,0)</f>
        <v>0</v>
      </c>
      <c r="K199" s="24">
        <f>IF(K198&gt;0,ROUND(K198+J199-I199,2),0)</f>
        <v>0</v>
      </c>
      <c r="L199" s="24">
        <f>IF(N198&gt;0,MIN(ROUND(L$6+IF(L$5=$C199,$E$5+$E199,0),2),ROUND(N198+M199,2)),0)</f>
        <v>0</v>
      </c>
      <c r="M199" s="24">
        <f>IF(N198&gt;0,ROUND(ROUND(N198*100,0)*ROUND(L$7*10000,0)/12000000,0)/100,0)</f>
        <v>0</v>
      </c>
      <c r="N199" s="24">
        <f>IF(N198&gt;0,ROUND(N198+M199-L199,2),0)</f>
        <v>0</v>
      </c>
      <c r="O199" s="24">
        <f>IF(Q198&gt;0,MIN(ROUND(O$6+IF(O$5=$C199,$E$5+$E199,0),2),ROUND(Q198+P199,2)),0)</f>
        <v>0</v>
      </c>
      <c r="P199" s="24">
        <f>IF(Q198&gt;0,ROUND(ROUND(Q198*100,0)*ROUND(O$7*10000,0)/12000000,0)/100,0)</f>
        <v>0</v>
      </c>
      <c r="Q199" s="24">
        <f>IF(Q198&gt;0,ROUND(Q198+P199-O199,2),0)</f>
        <v>0</v>
      </c>
      <c r="R199" s="24">
        <f>IF(T198&gt;0,MIN(ROUND(R$6+IF(R$5=$C199,$E$5+$E199,0),2),ROUND(T198+S199,2)),0)</f>
        <v>0</v>
      </c>
      <c r="S199" s="24">
        <f>IF(T198&gt;0,ROUND(ROUND(T198*100,0)*ROUND(R$7*10000,0)/12000000,0)/100,0)</f>
        <v>0</v>
      </c>
      <c r="T199" s="24">
        <f>IF(T198&gt;0,ROUND(T198+S199-R199,2),0)</f>
        <v>0</v>
      </c>
      <c r="U199" s="24">
        <f>IF(W198&gt;0,MIN(ROUND(U$6+IF(U$5=$C199,$E$5+$E199,0),2),ROUND(W198+V199,2)),0)</f>
        <v>0</v>
      </c>
      <c r="V199" s="24">
        <f>IF(W198&gt;0,ROUND(ROUND(W198*100,0)*ROUND(U$7*10000,0)/12000000,0)/100,0)</f>
        <v>0</v>
      </c>
      <c r="W199" s="24">
        <f>IF(W198&gt;0,ROUND(W198+V199-U199,2),0)</f>
        <v>0</v>
      </c>
      <c r="X199" s="24">
        <f>IF(Z198&gt;0,MIN(ROUND(X$6+IF(X$5=$C199,$E$5+$E199,0),2),ROUND(Z198+Y199,2)),0)</f>
        <v>0</v>
      </c>
      <c r="Y199" s="24">
        <f>IF(Z198&gt;0,ROUND(ROUND(Z198*100,0)*ROUND(X$7*10000,0)/12000000,0)/100,0)</f>
        <v>0</v>
      </c>
      <c r="Z199" s="24">
        <f>IF(Z198&gt;0,ROUND(Z198+Y199-X199,2),0)</f>
        <v>0</v>
      </c>
      <c r="AA199" s="24">
        <f>IF(AC198&gt;0,MIN(ROUND(AA$6+IF(AA$5=$C199,$E$5+$E199,0),2),ROUND(AC198+AB199,2)),0)</f>
        <v>0</v>
      </c>
      <c r="AB199" s="24">
        <f>IF(AC198&gt;0,ROUND(ROUND(AC198*100,0)*ROUND(AA$7*10000,0)/12000000,0)/100,0)</f>
        <v>0</v>
      </c>
      <c r="AC199" s="24">
        <f>IF(AC198&gt;0,ROUND(AC198+AB199-AA199,2),0)</f>
        <v>0</v>
      </c>
      <c r="AD199" s="24">
        <f>IF(AF198&gt;0,MIN(ROUND(AD$6+IF(AD$5=$C199,$E$5+$E199,0),2),ROUND(AF198+AE199,2)),0)</f>
        <v>0</v>
      </c>
      <c r="AE199" s="24">
        <f>IF(AF198&gt;0,ROUND(ROUND(AF198*100,0)*ROUND(AD$7*10000,0)/12000000,0)/100,0)</f>
        <v>0</v>
      </c>
      <c r="AF199" s="24">
        <f>IF(AF198&gt;0,ROUND(AF198+AE199-AD199,2),0)</f>
        <v>0</v>
      </c>
      <c r="AG199" s="24">
        <f>IF(AI198&gt;0,MIN(ROUND(AG$6+IF(AG$5=$C199,$E$5+$E199,0),2),ROUND(AI198+AH199,2)),0)</f>
        <v>0</v>
      </c>
      <c r="AH199" s="24">
        <f>IF(AI198&gt;0,ROUND(ROUND(AI198*100,0)*ROUND(AG$7*10000,0)/12000000,0)/100,0)</f>
        <v>0</v>
      </c>
      <c r="AI199" s="24">
        <f>IF(AI198&gt;0,ROUND(AI198+AH199-AG199,2),0)</f>
        <v>0</v>
      </c>
      <c r="AJ199" s="24">
        <f>IF(AL198&gt;0,MIN(ROUND(AJ$6+IF(AJ$5=$C199,$E$5+$E199,0),2),ROUND(AL198+AK199,2)),0)</f>
        <v>0</v>
      </c>
      <c r="AK199" s="24">
        <f>IF(AL198&gt;0,ROUND(ROUND(AL198*100,0)*ROUND(AJ$7*10000,0)/12000000,0)/100,0)</f>
        <v>0</v>
      </c>
      <c r="AL199" s="24">
        <f>IF(AL198&gt;0,ROUND(AL198+AK199-AJ199,2),0)</f>
        <v>0</v>
      </c>
    </row>
    <row r="200" spans="1:38" x14ac:dyDescent="0.25">
      <c r="A200" s="17" t="str">
        <f>IF(F200&gt;0,190,"")</f>
        <v/>
      </c>
      <c r="B200" s="18" t="str">
        <f>IF(F200&gt;0,EDATE($E$6,190),"")</f>
        <v/>
      </c>
      <c r="C200" s="21">
        <f>IF(H199&gt;0,MIN(IF(K199&gt;0,I$5,99),IF(N199&gt;0,L$5,99),IF(Q199&gt;0,O$5,99),IF(T199&gt;0,R$5,99),IF(W199&gt;0,U$5,99),IF(Z199&gt;0,X$5,99),IF(AC199&gt;0,AA$5,99),IF(AF199&gt;0,AD$5,99),IF(AI199&gt;0,AG$5,99),IF(AL199&gt;0,AJ$5,99)),0)</f>
        <v>0</v>
      </c>
      <c r="D200" t="str">
        <f>IF(C200&gt;0,INDEX($I$4:$AL$4,1,MATCH(C200,$I$5:$AL$5,0)),"")</f>
        <v/>
      </c>
      <c r="E200" s="24">
        <f>ROUND(IF(AND(I$8&gt;0,K199=0),I$6,0)+IF(AND(L$8&gt;0,N199=0),L$6,0)+IF(AND(O$8&gt;0,Q199=0),O$6,0)+IF(AND(R$8&gt;0,T199=0),R$6,0)+IF(AND(U$8&gt;0,W199=0),U$6,0)+IF(AND(X$8&gt;0,Z199=0),X$6,0)+IF(AND(AA$8&gt;0,AC199=0),AA$6,0)+IF(AND(AD$8&gt;0,AF199=0),AD$6,0)+IF(AND(AG$8&gt;0,AI199=0),AG$6,0)+IF(AND(AJ$8&gt;0,AL199=0),AJ$6,0),2)</f>
        <v>330</v>
      </c>
      <c r="F200" s="24">
        <f>ROUND(I200+L200+O200+R200+U200+X200+AA200+AD200+AG200+AJ200,2)</f>
        <v>0</v>
      </c>
      <c r="G200" s="24">
        <f>ROUND(J200+M200+P200+S200+V200+Y200+AB200+AE200+AH200+AK200,2)</f>
        <v>0</v>
      </c>
      <c r="H200" s="24">
        <f>ROUND(K200+N200+Q200+T200+W200+Z200+AC200+AF200+AI200+AL200,2)</f>
        <v>0</v>
      </c>
      <c r="I200" s="24">
        <f>IF(K199&gt;0,MIN(ROUND(I$6+IF(I$5=$C200,$E$5+$E200,0),2),ROUND(K199+J200,2)),0)</f>
        <v>0</v>
      </c>
      <c r="J200" s="24">
        <f>IF(K199&gt;0,ROUND(ROUND(K199*100,0)*ROUND(I$7*10000,0)/12000000,0)/100,0)</f>
        <v>0</v>
      </c>
      <c r="K200" s="24">
        <f>IF(K199&gt;0,ROUND(K199+J200-I200,2),0)</f>
        <v>0</v>
      </c>
      <c r="L200" s="24">
        <f>IF(N199&gt;0,MIN(ROUND(L$6+IF(L$5=$C200,$E$5+$E200,0),2),ROUND(N199+M200,2)),0)</f>
        <v>0</v>
      </c>
      <c r="M200" s="24">
        <f>IF(N199&gt;0,ROUND(ROUND(N199*100,0)*ROUND(L$7*10000,0)/12000000,0)/100,0)</f>
        <v>0</v>
      </c>
      <c r="N200" s="24">
        <f>IF(N199&gt;0,ROUND(N199+M200-L200,2),0)</f>
        <v>0</v>
      </c>
      <c r="O200" s="24">
        <f>IF(Q199&gt;0,MIN(ROUND(O$6+IF(O$5=$C200,$E$5+$E200,0),2),ROUND(Q199+P200,2)),0)</f>
        <v>0</v>
      </c>
      <c r="P200" s="24">
        <f>IF(Q199&gt;0,ROUND(ROUND(Q199*100,0)*ROUND(O$7*10000,0)/12000000,0)/100,0)</f>
        <v>0</v>
      </c>
      <c r="Q200" s="24">
        <f>IF(Q199&gt;0,ROUND(Q199+P200-O200,2),0)</f>
        <v>0</v>
      </c>
      <c r="R200" s="24">
        <f>IF(T199&gt;0,MIN(ROUND(R$6+IF(R$5=$C200,$E$5+$E200,0),2),ROUND(T199+S200,2)),0)</f>
        <v>0</v>
      </c>
      <c r="S200" s="24">
        <f>IF(T199&gt;0,ROUND(ROUND(T199*100,0)*ROUND(R$7*10000,0)/12000000,0)/100,0)</f>
        <v>0</v>
      </c>
      <c r="T200" s="24">
        <f>IF(T199&gt;0,ROUND(T199+S200-R200,2),0)</f>
        <v>0</v>
      </c>
      <c r="U200" s="24">
        <f>IF(W199&gt;0,MIN(ROUND(U$6+IF(U$5=$C200,$E$5+$E200,0),2),ROUND(W199+V200,2)),0)</f>
        <v>0</v>
      </c>
      <c r="V200" s="24">
        <f>IF(W199&gt;0,ROUND(ROUND(W199*100,0)*ROUND(U$7*10000,0)/12000000,0)/100,0)</f>
        <v>0</v>
      </c>
      <c r="W200" s="24">
        <f>IF(W199&gt;0,ROUND(W199+V200-U200,2),0)</f>
        <v>0</v>
      </c>
      <c r="X200" s="24">
        <f>IF(Z199&gt;0,MIN(ROUND(X$6+IF(X$5=$C200,$E$5+$E200,0),2),ROUND(Z199+Y200,2)),0)</f>
        <v>0</v>
      </c>
      <c r="Y200" s="24">
        <f>IF(Z199&gt;0,ROUND(ROUND(Z199*100,0)*ROUND(X$7*10000,0)/12000000,0)/100,0)</f>
        <v>0</v>
      </c>
      <c r="Z200" s="24">
        <f>IF(Z199&gt;0,ROUND(Z199+Y200-X200,2),0)</f>
        <v>0</v>
      </c>
      <c r="AA200" s="24">
        <f>IF(AC199&gt;0,MIN(ROUND(AA$6+IF(AA$5=$C200,$E$5+$E200,0),2),ROUND(AC199+AB200,2)),0)</f>
        <v>0</v>
      </c>
      <c r="AB200" s="24">
        <f>IF(AC199&gt;0,ROUND(ROUND(AC199*100,0)*ROUND(AA$7*10000,0)/12000000,0)/100,0)</f>
        <v>0</v>
      </c>
      <c r="AC200" s="24">
        <f>IF(AC199&gt;0,ROUND(AC199+AB200-AA200,2),0)</f>
        <v>0</v>
      </c>
      <c r="AD200" s="24">
        <f>IF(AF199&gt;0,MIN(ROUND(AD$6+IF(AD$5=$C200,$E$5+$E200,0),2),ROUND(AF199+AE200,2)),0)</f>
        <v>0</v>
      </c>
      <c r="AE200" s="24">
        <f>IF(AF199&gt;0,ROUND(ROUND(AF199*100,0)*ROUND(AD$7*10000,0)/12000000,0)/100,0)</f>
        <v>0</v>
      </c>
      <c r="AF200" s="24">
        <f>IF(AF199&gt;0,ROUND(AF199+AE200-AD200,2),0)</f>
        <v>0</v>
      </c>
      <c r="AG200" s="24">
        <f>IF(AI199&gt;0,MIN(ROUND(AG$6+IF(AG$5=$C200,$E$5+$E200,0),2),ROUND(AI199+AH200,2)),0)</f>
        <v>0</v>
      </c>
      <c r="AH200" s="24">
        <f>IF(AI199&gt;0,ROUND(ROUND(AI199*100,0)*ROUND(AG$7*10000,0)/12000000,0)/100,0)</f>
        <v>0</v>
      </c>
      <c r="AI200" s="24">
        <f>IF(AI199&gt;0,ROUND(AI199+AH200-AG200,2),0)</f>
        <v>0</v>
      </c>
      <c r="AJ200" s="24">
        <f>IF(AL199&gt;0,MIN(ROUND(AJ$6+IF(AJ$5=$C200,$E$5+$E200,0),2),ROUND(AL199+AK200,2)),0)</f>
        <v>0</v>
      </c>
      <c r="AK200" s="24">
        <f>IF(AL199&gt;0,ROUND(ROUND(AL199*100,0)*ROUND(AJ$7*10000,0)/12000000,0)/100,0)</f>
        <v>0</v>
      </c>
      <c r="AL200" s="24">
        <f>IF(AL199&gt;0,ROUND(AL199+AK200-AJ200,2),0)</f>
        <v>0</v>
      </c>
    </row>
    <row r="201" spans="1:38" x14ac:dyDescent="0.25">
      <c r="A201" s="17" t="str">
        <f>IF(F201&gt;0,191,"")</f>
        <v/>
      </c>
      <c r="B201" s="18" t="str">
        <f>IF(F201&gt;0,EDATE($E$6,191),"")</f>
        <v/>
      </c>
      <c r="C201" s="21">
        <f>IF(H200&gt;0,MIN(IF(K200&gt;0,I$5,99),IF(N200&gt;0,L$5,99),IF(Q200&gt;0,O$5,99),IF(T200&gt;0,R$5,99),IF(W200&gt;0,U$5,99),IF(Z200&gt;0,X$5,99),IF(AC200&gt;0,AA$5,99),IF(AF200&gt;0,AD$5,99),IF(AI200&gt;0,AG$5,99),IF(AL200&gt;0,AJ$5,99)),0)</f>
        <v>0</v>
      </c>
      <c r="D201" t="str">
        <f>IF(C201&gt;0,INDEX($I$4:$AL$4,1,MATCH(C201,$I$5:$AL$5,0)),"")</f>
        <v/>
      </c>
      <c r="E201" s="24">
        <f>ROUND(IF(AND(I$8&gt;0,K200=0),I$6,0)+IF(AND(L$8&gt;0,N200=0),L$6,0)+IF(AND(O$8&gt;0,Q200=0),O$6,0)+IF(AND(R$8&gt;0,T200=0),R$6,0)+IF(AND(U$8&gt;0,W200=0),U$6,0)+IF(AND(X$8&gt;0,Z200=0),X$6,0)+IF(AND(AA$8&gt;0,AC200=0),AA$6,0)+IF(AND(AD$8&gt;0,AF200=0),AD$6,0)+IF(AND(AG$8&gt;0,AI200=0),AG$6,0)+IF(AND(AJ$8&gt;0,AL200=0),AJ$6,0),2)</f>
        <v>330</v>
      </c>
      <c r="F201" s="24">
        <f>ROUND(I201+L201+O201+R201+U201+X201+AA201+AD201+AG201+AJ201,2)</f>
        <v>0</v>
      </c>
      <c r="G201" s="24">
        <f>ROUND(J201+M201+P201+S201+V201+Y201+AB201+AE201+AH201+AK201,2)</f>
        <v>0</v>
      </c>
      <c r="H201" s="24">
        <f>ROUND(K201+N201+Q201+T201+W201+Z201+AC201+AF201+AI201+AL201,2)</f>
        <v>0</v>
      </c>
      <c r="I201" s="24">
        <f>IF(K200&gt;0,MIN(ROUND(I$6+IF(I$5=$C201,$E$5+$E201,0),2),ROUND(K200+J201,2)),0)</f>
        <v>0</v>
      </c>
      <c r="J201" s="24">
        <f>IF(K200&gt;0,ROUND(ROUND(K200*100,0)*ROUND(I$7*10000,0)/12000000,0)/100,0)</f>
        <v>0</v>
      </c>
      <c r="K201" s="24">
        <f>IF(K200&gt;0,ROUND(K200+J201-I201,2),0)</f>
        <v>0</v>
      </c>
      <c r="L201" s="24">
        <f>IF(N200&gt;0,MIN(ROUND(L$6+IF(L$5=$C201,$E$5+$E201,0),2),ROUND(N200+M201,2)),0)</f>
        <v>0</v>
      </c>
      <c r="M201" s="24">
        <f>IF(N200&gt;0,ROUND(ROUND(N200*100,0)*ROUND(L$7*10000,0)/12000000,0)/100,0)</f>
        <v>0</v>
      </c>
      <c r="N201" s="24">
        <f>IF(N200&gt;0,ROUND(N200+M201-L201,2),0)</f>
        <v>0</v>
      </c>
      <c r="O201" s="24">
        <f>IF(Q200&gt;0,MIN(ROUND(O$6+IF(O$5=$C201,$E$5+$E201,0),2),ROUND(Q200+P201,2)),0)</f>
        <v>0</v>
      </c>
      <c r="P201" s="24">
        <f>IF(Q200&gt;0,ROUND(ROUND(Q200*100,0)*ROUND(O$7*10000,0)/12000000,0)/100,0)</f>
        <v>0</v>
      </c>
      <c r="Q201" s="24">
        <f>IF(Q200&gt;0,ROUND(Q200+P201-O201,2),0)</f>
        <v>0</v>
      </c>
      <c r="R201" s="24">
        <f>IF(T200&gt;0,MIN(ROUND(R$6+IF(R$5=$C201,$E$5+$E201,0),2),ROUND(T200+S201,2)),0)</f>
        <v>0</v>
      </c>
      <c r="S201" s="24">
        <f>IF(T200&gt;0,ROUND(ROUND(T200*100,0)*ROUND(R$7*10000,0)/12000000,0)/100,0)</f>
        <v>0</v>
      </c>
      <c r="T201" s="24">
        <f>IF(T200&gt;0,ROUND(T200+S201-R201,2),0)</f>
        <v>0</v>
      </c>
      <c r="U201" s="24">
        <f>IF(W200&gt;0,MIN(ROUND(U$6+IF(U$5=$C201,$E$5+$E201,0),2),ROUND(W200+V201,2)),0)</f>
        <v>0</v>
      </c>
      <c r="V201" s="24">
        <f>IF(W200&gt;0,ROUND(ROUND(W200*100,0)*ROUND(U$7*10000,0)/12000000,0)/100,0)</f>
        <v>0</v>
      </c>
      <c r="W201" s="24">
        <f>IF(W200&gt;0,ROUND(W200+V201-U201,2),0)</f>
        <v>0</v>
      </c>
      <c r="X201" s="24">
        <f>IF(Z200&gt;0,MIN(ROUND(X$6+IF(X$5=$C201,$E$5+$E201,0),2),ROUND(Z200+Y201,2)),0)</f>
        <v>0</v>
      </c>
      <c r="Y201" s="24">
        <f>IF(Z200&gt;0,ROUND(ROUND(Z200*100,0)*ROUND(X$7*10000,0)/12000000,0)/100,0)</f>
        <v>0</v>
      </c>
      <c r="Z201" s="24">
        <f>IF(Z200&gt;0,ROUND(Z200+Y201-X201,2),0)</f>
        <v>0</v>
      </c>
      <c r="AA201" s="24">
        <f>IF(AC200&gt;0,MIN(ROUND(AA$6+IF(AA$5=$C201,$E$5+$E201,0),2),ROUND(AC200+AB201,2)),0)</f>
        <v>0</v>
      </c>
      <c r="AB201" s="24">
        <f>IF(AC200&gt;0,ROUND(ROUND(AC200*100,0)*ROUND(AA$7*10000,0)/12000000,0)/100,0)</f>
        <v>0</v>
      </c>
      <c r="AC201" s="24">
        <f>IF(AC200&gt;0,ROUND(AC200+AB201-AA201,2),0)</f>
        <v>0</v>
      </c>
      <c r="AD201" s="24">
        <f>IF(AF200&gt;0,MIN(ROUND(AD$6+IF(AD$5=$C201,$E$5+$E201,0),2),ROUND(AF200+AE201,2)),0)</f>
        <v>0</v>
      </c>
      <c r="AE201" s="24">
        <f>IF(AF200&gt;0,ROUND(ROUND(AF200*100,0)*ROUND(AD$7*10000,0)/12000000,0)/100,0)</f>
        <v>0</v>
      </c>
      <c r="AF201" s="24">
        <f>IF(AF200&gt;0,ROUND(AF200+AE201-AD201,2),0)</f>
        <v>0</v>
      </c>
      <c r="AG201" s="24">
        <f>IF(AI200&gt;0,MIN(ROUND(AG$6+IF(AG$5=$C201,$E$5+$E201,0),2),ROUND(AI200+AH201,2)),0)</f>
        <v>0</v>
      </c>
      <c r="AH201" s="24">
        <f>IF(AI200&gt;0,ROUND(ROUND(AI200*100,0)*ROUND(AG$7*10000,0)/12000000,0)/100,0)</f>
        <v>0</v>
      </c>
      <c r="AI201" s="24">
        <f>IF(AI200&gt;0,ROUND(AI200+AH201-AG201,2),0)</f>
        <v>0</v>
      </c>
      <c r="AJ201" s="24">
        <f>IF(AL200&gt;0,MIN(ROUND(AJ$6+IF(AJ$5=$C201,$E$5+$E201,0),2),ROUND(AL200+AK201,2)),0)</f>
        <v>0</v>
      </c>
      <c r="AK201" s="24">
        <f>IF(AL200&gt;0,ROUND(ROUND(AL200*100,0)*ROUND(AJ$7*10000,0)/12000000,0)/100,0)</f>
        <v>0</v>
      </c>
      <c r="AL201" s="24">
        <f>IF(AL200&gt;0,ROUND(AL200+AK201-AJ201,2),0)</f>
        <v>0</v>
      </c>
    </row>
    <row r="202" spans="1:38" x14ac:dyDescent="0.25">
      <c r="A202" s="17" t="str">
        <f>IF(F202&gt;0,192,"")</f>
        <v/>
      </c>
      <c r="B202" s="18" t="str">
        <f>IF(F202&gt;0,EDATE($E$6,192),"")</f>
        <v/>
      </c>
      <c r="C202" s="21">
        <f>IF(H201&gt;0,MIN(IF(K201&gt;0,I$5,99),IF(N201&gt;0,L$5,99),IF(Q201&gt;0,O$5,99),IF(T201&gt;0,R$5,99),IF(W201&gt;0,U$5,99),IF(Z201&gt;0,X$5,99),IF(AC201&gt;0,AA$5,99),IF(AF201&gt;0,AD$5,99),IF(AI201&gt;0,AG$5,99),IF(AL201&gt;0,AJ$5,99)),0)</f>
        <v>0</v>
      </c>
      <c r="D202" t="str">
        <f>IF(C202&gt;0,INDEX($I$4:$AL$4,1,MATCH(C202,$I$5:$AL$5,0)),"")</f>
        <v/>
      </c>
      <c r="E202" s="24">
        <f>ROUND(IF(AND(I$8&gt;0,K201=0),I$6,0)+IF(AND(L$8&gt;0,N201=0),L$6,0)+IF(AND(O$8&gt;0,Q201=0),O$6,0)+IF(AND(R$8&gt;0,T201=0),R$6,0)+IF(AND(U$8&gt;0,W201=0),U$6,0)+IF(AND(X$8&gt;0,Z201=0),X$6,0)+IF(AND(AA$8&gt;0,AC201=0),AA$6,0)+IF(AND(AD$8&gt;0,AF201=0),AD$6,0)+IF(AND(AG$8&gt;0,AI201=0),AG$6,0)+IF(AND(AJ$8&gt;0,AL201=0),AJ$6,0),2)</f>
        <v>330</v>
      </c>
      <c r="F202" s="24">
        <f>ROUND(I202+L202+O202+R202+U202+X202+AA202+AD202+AG202+AJ202,2)</f>
        <v>0</v>
      </c>
      <c r="G202" s="24">
        <f>ROUND(J202+M202+P202+S202+V202+Y202+AB202+AE202+AH202+AK202,2)</f>
        <v>0</v>
      </c>
      <c r="H202" s="24">
        <f>ROUND(K202+N202+Q202+T202+W202+Z202+AC202+AF202+AI202+AL202,2)</f>
        <v>0</v>
      </c>
      <c r="I202" s="24">
        <f>IF(K201&gt;0,MIN(ROUND(I$6+IF(I$5=$C202,$E$5+$E202,0),2),ROUND(K201+J202,2)),0)</f>
        <v>0</v>
      </c>
      <c r="J202" s="24">
        <f>IF(K201&gt;0,ROUND(ROUND(K201*100,0)*ROUND(I$7*10000,0)/12000000,0)/100,0)</f>
        <v>0</v>
      </c>
      <c r="K202" s="24">
        <f>IF(K201&gt;0,ROUND(K201+J202-I202,2),0)</f>
        <v>0</v>
      </c>
      <c r="L202" s="24">
        <f>IF(N201&gt;0,MIN(ROUND(L$6+IF(L$5=$C202,$E$5+$E202,0),2),ROUND(N201+M202,2)),0)</f>
        <v>0</v>
      </c>
      <c r="M202" s="24">
        <f>IF(N201&gt;0,ROUND(ROUND(N201*100,0)*ROUND(L$7*10000,0)/12000000,0)/100,0)</f>
        <v>0</v>
      </c>
      <c r="N202" s="24">
        <f>IF(N201&gt;0,ROUND(N201+M202-L202,2),0)</f>
        <v>0</v>
      </c>
      <c r="O202" s="24">
        <f>IF(Q201&gt;0,MIN(ROUND(O$6+IF(O$5=$C202,$E$5+$E202,0),2),ROUND(Q201+P202,2)),0)</f>
        <v>0</v>
      </c>
      <c r="P202" s="24">
        <f>IF(Q201&gt;0,ROUND(ROUND(Q201*100,0)*ROUND(O$7*10000,0)/12000000,0)/100,0)</f>
        <v>0</v>
      </c>
      <c r="Q202" s="24">
        <f>IF(Q201&gt;0,ROUND(Q201+P202-O202,2),0)</f>
        <v>0</v>
      </c>
      <c r="R202" s="24">
        <f>IF(T201&gt;0,MIN(ROUND(R$6+IF(R$5=$C202,$E$5+$E202,0),2),ROUND(T201+S202,2)),0)</f>
        <v>0</v>
      </c>
      <c r="S202" s="24">
        <f>IF(T201&gt;0,ROUND(ROUND(T201*100,0)*ROUND(R$7*10000,0)/12000000,0)/100,0)</f>
        <v>0</v>
      </c>
      <c r="T202" s="24">
        <f>IF(T201&gt;0,ROUND(T201+S202-R202,2),0)</f>
        <v>0</v>
      </c>
      <c r="U202" s="24">
        <f>IF(W201&gt;0,MIN(ROUND(U$6+IF(U$5=$C202,$E$5+$E202,0),2),ROUND(W201+V202,2)),0)</f>
        <v>0</v>
      </c>
      <c r="V202" s="24">
        <f>IF(W201&gt;0,ROUND(ROUND(W201*100,0)*ROUND(U$7*10000,0)/12000000,0)/100,0)</f>
        <v>0</v>
      </c>
      <c r="W202" s="24">
        <f>IF(W201&gt;0,ROUND(W201+V202-U202,2),0)</f>
        <v>0</v>
      </c>
      <c r="X202" s="24">
        <f>IF(Z201&gt;0,MIN(ROUND(X$6+IF(X$5=$C202,$E$5+$E202,0),2),ROUND(Z201+Y202,2)),0)</f>
        <v>0</v>
      </c>
      <c r="Y202" s="24">
        <f>IF(Z201&gt;0,ROUND(ROUND(Z201*100,0)*ROUND(X$7*10000,0)/12000000,0)/100,0)</f>
        <v>0</v>
      </c>
      <c r="Z202" s="24">
        <f>IF(Z201&gt;0,ROUND(Z201+Y202-X202,2),0)</f>
        <v>0</v>
      </c>
      <c r="AA202" s="24">
        <f>IF(AC201&gt;0,MIN(ROUND(AA$6+IF(AA$5=$C202,$E$5+$E202,0),2),ROUND(AC201+AB202,2)),0)</f>
        <v>0</v>
      </c>
      <c r="AB202" s="24">
        <f>IF(AC201&gt;0,ROUND(ROUND(AC201*100,0)*ROUND(AA$7*10000,0)/12000000,0)/100,0)</f>
        <v>0</v>
      </c>
      <c r="AC202" s="24">
        <f>IF(AC201&gt;0,ROUND(AC201+AB202-AA202,2),0)</f>
        <v>0</v>
      </c>
      <c r="AD202" s="24">
        <f>IF(AF201&gt;0,MIN(ROUND(AD$6+IF(AD$5=$C202,$E$5+$E202,0),2),ROUND(AF201+AE202,2)),0)</f>
        <v>0</v>
      </c>
      <c r="AE202" s="24">
        <f>IF(AF201&gt;0,ROUND(ROUND(AF201*100,0)*ROUND(AD$7*10000,0)/12000000,0)/100,0)</f>
        <v>0</v>
      </c>
      <c r="AF202" s="24">
        <f>IF(AF201&gt;0,ROUND(AF201+AE202-AD202,2),0)</f>
        <v>0</v>
      </c>
      <c r="AG202" s="24">
        <f>IF(AI201&gt;0,MIN(ROUND(AG$6+IF(AG$5=$C202,$E$5+$E202,0),2),ROUND(AI201+AH202,2)),0)</f>
        <v>0</v>
      </c>
      <c r="AH202" s="24">
        <f>IF(AI201&gt;0,ROUND(ROUND(AI201*100,0)*ROUND(AG$7*10000,0)/12000000,0)/100,0)</f>
        <v>0</v>
      </c>
      <c r="AI202" s="24">
        <f>IF(AI201&gt;0,ROUND(AI201+AH202-AG202,2),0)</f>
        <v>0</v>
      </c>
      <c r="AJ202" s="24">
        <f>IF(AL201&gt;0,MIN(ROUND(AJ$6+IF(AJ$5=$C202,$E$5+$E202,0),2),ROUND(AL201+AK202,2)),0)</f>
        <v>0</v>
      </c>
      <c r="AK202" s="24">
        <f>IF(AL201&gt;0,ROUND(ROUND(AL201*100,0)*ROUND(AJ$7*10000,0)/12000000,0)/100,0)</f>
        <v>0</v>
      </c>
      <c r="AL202" s="24">
        <f>IF(AL201&gt;0,ROUND(AL201+AK202-AJ202,2),0)</f>
        <v>0</v>
      </c>
    </row>
    <row r="203" spans="1:38" x14ac:dyDescent="0.25">
      <c r="A203" s="17" t="str">
        <f>IF(F203&gt;0,193,"")</f>
        <v/>
      </c>
      <c r="B203" s="18" t="str">
        <f>IF(F203&gt;0,EDATE($E$6,193),"")</f>
        <v/>
      </c>
      <c r="C203" s="21">
        <f>IF(H202&gt;0,MIN(IF(K202&gt;0,I$5,99),IF(N202&gt;0,L$5,99),IF(Q202&gt;0,O$5,99),IF(T202&gt;0,R$5,99),IF(W202&gt;0,U$5,99),IF(Z202&gt;0,X$5,99),IF(AC202&gt;0,AA$5,99),IF(AF202&gt;0,AD$5,99),IF(AI202&gt;0,AG$5,99),IF(AL202&gt;0,AJ$5,99)),0)</f>
        <v>0</v>
      </c>
      <c r="D203" t="str">
        <f>IF(C203&gt;0,INDEX($I$4:$AL$4,1,MATCH(C203,$I$5:$AL$5,0)),"")</f>
        <v/>
      </c>
      <c r="E203" s="24">
        <f>ROUND(IF(AND(I$8&gt;0,K202=0),I$6,0)+IF(AND(L$8&gt;0,N202=0),L$6,0)+IF(AND(O$8&gt;0,Q202=0),O$6,0)+IF(AND(R$8&gt;0,T202=0),R$6,0)+IF(AND(U$8&gt;0,W202=0),U$6,0)+IF(AND(X$8&gt;0,Z202=0),X$6,0)+IF(AND(AA$8&gt;0,AC202=0),AA$6,0)+IF(AND(AD$8&gt;0,AF202=0),AD$6,0)+IF(AND(AG$8&gt;0,AI202=0),AG$6,0)+IF(AND(AJ$8&gt;0,AL202=0),AJ$6,0),2)</f>
        <v>330</v>
      </c>
      <c r="F203" s="24">
        <f>ROUND(I203+L203+O203+R203+U203+X203+AA203+AD203+AG203+AJ203,2)</f>
        <v>0</v>
      </c>
      <c r="G203" s="24">
        <f>ROUND(J203+M203+P203+S203+V203+Y203+AB203+AE203+AH203+AK203,2)</f>
        <v>0</v>
      </c>
      <c r="H203" s="24">
        <f>ROUND(K203+N203+Q203+T203+W203+Z203+AC203+AF203+AI203+AL203,2)</f>
        <v>0</v>
      </c>
      <c r="I203" s="24">
        <f>IF(K202&gt;0,MIN(ROUND(I$6+IF(I$5=$C203,$E$5+$E203,0),2),ROUND(K202+J203,2)),0)</f>
        <v>0</v>
      </c>
      <c r="J203" s="24">
        <f>IF(K202&gt;0,ROUND(ROUND(K202*100,0)*ROUND(I$7*10000,0)/12000000,0)/100,0)</f>
        <v>0</v>
      </c>
      <c r="K203" s="24">
        <f>IF(K202&gt;0,ROUND(K202+J203-I203,2),0)</f>
        <v>0</v>
      </c>
      <c r="L203" s="24">
        <f>IF(N202&gt;0,MIN(ROUND(L$6+IF(L$5=$C203,$E$5+$E203,0),2),ROUND(N202+M203,2)),0)</f>
        <v>0</v>
      </c>
      <c r="M203" s="24">
        <f>IF(N202&gt;0,ROUND(ROUND(N202*100,0)*ROUND(L$7*10000,0)/12000000,0)/100,0)</f>
        <v>0</v>
      </c>
      <c r="N203" s="24">
        <f>IF(N202&gt;0,ROUND(N202+M203-L203,2),0)</f>
        <v>0</v>
      </c>
      <c r="O203" s="24">
        <f>IF(Q202&gt;0,MIN(ROUND(O$6+IF(O$5=$C203,$E$5+$E203,0),2),ROUND(Q202+P203,2)),0)</f>
        <v>0</v>
      </c>
      <c r="P203" s="24">
        <f>IF(Q202&gt;0,ROUND(ROUND(Q202*100,0)*ROUND(O$7*10000,0)/12000000,0)/100,0)</f>
        <v>0</v>
      </c>
      <c r="Q203" s="24">
        <f>IF(Q202&gt;0,ROUND(Q202+P203-O203,2),0)</f>
        <v>0</v>
      </c>
      <c r="R203" s="24">
        <f>IF(T202&gt;0,MIN(ROUND(R$6+IF(R$5=$C203,$E$5+$E203,0),2),ROUND(T202+S203,2)),0)</f>
        <v>0</v>
      </c>
      <c r="S203" s="24">
        <f>IF(T202&gt;0,ROUND(ROUND(T202*100,0)*ROUND(R$7*10000,0)/12000000,0)/100,0)</f>
        <v>0</v>
      </c>
      <c r="T203" s="24">
        <f>IF(T202&gt;0,ROUND(T202+S203-R203,2),0)</f>
        <v>0</v>
      </c>
      <c r="U203" s="24">
        <f>IF(W202&gt;0,MIN(ROUND(U$6+IF(U$5=$C203,$E$5+$E203,0),2),ROUND(W202+V203,2)),0)</f>
        <v>0</v>
      </c>
      <c r="V203" s="24">
        <f>IF(W202&gt;0,ROUND(ROUND(W202*100,0)*ROUND(U$7*10000,0)/12000000,0)/100,0)</f>
        <v>0</v>
      </c>
      <c r="W203" s="24">
        <f>IF(W202&gt;0,ROUND(W202+V203-U203,2),0)</f>
        <v>0</v>
      </c>
      <c r="X203" s="24">
        <f>IF(Z202&gt;0,MIN(ROUND(X$6+IF(X$5=$C203,$E$5+$E203,0),2),ROUND(Z202+Y203,2)),0)</f>
        <v>0</v>
      </c>
      <c r="Y203" s="24">
        <f>IF(Z202&gt;0,ROUND(ROUND(Z202*100,0)*ROUND(X$7*10000,0)/12000000,0)/100,0)</f>
        <v>0</v>
      </c>
      <c r="Z203" s="24">
        <f>IF(Z202&gt;0,ROUND(Z202+Y203-X203,2),0)</f>
        <v>0</v>
      </c>
      <c r="AA203" s="24">
        <f>IF(AC202&gt;0,MIN(ROUND(AA$6+IF(AA$5=$C203,$E$5+$E203,0),2),ROUND(AC202+AB203,2)),0)</f>
        <v>0</v>
      </c>
      <c r="AB203" s="24">
        <f>IF(AC202&gt;0,ROUND(ROUND(AC202*100,0)*ROUND(AA$7*10000,0)/12000000,0)/100,0)</f>
        <v>0</v>
      </c>
      <c r="AC203" s="24">
        <f>IF(AC202&gt;0,ROUND(AC202+AB203-AA203,2),0)</f>
        <v>0</v>
      </c>
      <c r="AD203" s="24">
        <f>IF(AF202&gt;0,MIN(ROUND(AD$6+IF(AD$5=$C203,$E$5+$E203,0),2),ROUND(AF202+AE203,2)),0)</f>
        <v>0</v>
      </c>
      <c r="AE203" s="24">
        <f>IF(AF202&gt;0,ROUND(ROUND(AF202*100,0)*ROUND(AD$7*10000,0)/12000000,0)/100,0)</f>
        <v>0</v>
      </c>
      <c r="AF203" s="24">
        <f>IF(AF202&gt;0,ROUND(AF202+AE203-AD203,2),0)</f>
        <v>0</v>
      </c>
      <c r="AG203" s="24">
        <f>IF(AI202&gt;0,MIN(ROUND(AG$6+IF(AG$5=$C203,$E$5+$E203,0),2),ROUND(AI202+AH203,2)),0)</f>
        <v>0</v>
      </c>
      <c r="AH203" s="24">
        <f>IF(AI202&gt;0,ROUND(ROUND(AI202*100,0)*ROUND(AG$7*10000,0)/12000000,0)/100,0)</f>
        <v>0</v>
      </c>
      <c r="AI203" s="24">
        <f>IF(AI202&gt;0,ROUND(AI202+AH203-AG203,2),0)</f>
        <v>0</v>
      </c>
      <c r="AJ203" s="24">
        <f>IF(AL202&gt;0,MIN(ROUND(AJ$6+IF(AJ$5=$C203,$E$5+$E203,0),2),ROUND(AL202+AK203,2)),0)</f>
        <v>0</v>
      </c>
      <c r="AK203" s="24">
        <f>IF(AL202&gt;0,ROUND(ROUND(AL202*100,0)*ROUND(AJ$7*10000,0)/12000000,0)/100,0)</f>
        <v>0</v>
      </c>
      <c r="AL203" s="24">
        <f>IF(AL202&gt;0,ROUND(AL202+AK203-AJ203,2),0)</f>
        <v>0</v>
      </c>
    </row>
    <row r="204" spans="1:38" x14ac:dyDescent="0.25">
      <c r="A204" s="17" t="str">
        <f>IF(F204&gt;0,194,"")</f>
        <v/>
      </c>
      <c r="B204" s="18" t="str">
        <f>IF(F204&gt;0,EDATE($E$6,194),"")</f>
        <v/>
      </c>
      <c r="C204" s="21">
        <f>IF(H203&gt;0,MIN(IF(K203&gt;0,I$5,99),IF(N203&gt;0,L$5,99),IF(Q203&gt;0,O$5,99),IF(T203&gt;0,R$5,99),IF(W203&gt;0,U$5,99),IF(Z203&gt;0,X$5,99),IF(AC203&gt;0,AA$5,99),IF(AF203&gt;0,AD$5,99),IF(AI203&gt;0,AG$5,99),IF(AL203&gt;0,AJ$5,99)),0)</f>
        <v>0</v>
      </c>
      <c r="D204" t="str">
        <f>IF(C204&gt;0,INDEX($I$4:$AL$4,1,MATCH(C204,$I$5:$AL$5,0)),"")</f>
        <v/>
      </c>
      <c r="E204" s="24">
        <f>ROUND(IF(AND(I$8&gt;0,K203=0),I$6,0)+IF(AND(L$8&gt;0,N203=0),L$6,0)+IF(AND(O$8&gt;0,Q203=0),O$6,0)+IF(AND(R$8&gt;0,T203=0),R$6,0)+IF(AND(U$8&gt;0,W203=0),U$6,0)+IF(AND(X$8&gt;0,Z203=0),X$6,0)+IF(AND(AA$8&gt;0,AC203=0),AA$6,0)+IF(AND(AD$8&gt;0,AF203=0),AD$6,0)+IF(AND(AG$8&gt;0,AI203=0),AG$6,0)+IF(AND(AJ$8&gt;0,AL203=0),AJ$6,0),2)</f>
        <v>330</v>
      </c>
      <c r="F204" s="24">
        <f>ROUND(I204+L204+O204+R204+U204+X204+AA204+AD204+AG204+AJ204,2)</f>
        <v>0</v>
      </c>
      <c r="G204" s="24">
        <f>ROUND(J204+M204+P204+S204+V204+Y204+AB204+AE204+AH204+AK204,2)</f>
        <v>0</v>
      </c>
      <c r="H204" s="24">
        <f>ROUND(K204+N204+Q204+T204+W204+Z204+AC204+AF204+AI204+AL204,2)</f>
        <v>0</v>
      </c>
      <c r="I204" s="24">
        <f>IF(K203&gt;0,MIN(ROUND(I$6+IF(I$5=$C204,$E$5+$E204,0),2),ROUND(K203+J204,2)),0)</f>
        <v>0</v>
      </c>
      <c r="J204" s="24">
        <f>IF(K203&gt;0,ROUND(ROUND(K203*100,0)*ROUND(I$7*10000,0)/12000000,0)/100,0)</f>
        <v>0</v>
      </c>
      <c r="K204" s="24">
        <f>IF(K203&gt;0,ROUND(K203+J204-I204,2),0)</f>
        <v>0</v>
      </c>
      <c r="L204" s="24">
        <f>IF(N203&gt;0,MIN(ROUND(L$6+IF(L$5=$C204,$E$5+$E204,0),2),ROUND(N203+M204,2)),0)</f>
        <v>0</v>
      </c>
      <c r="M204" s="24">
        <f>IF(N203&gt;0,ROUND(ROUND(N203*100,0)*ROUND(L$7*10000,0)/12000000,0)/100,0)</f>
        <v>0</v>
      </c>
      <c r="N204" s="24">
        <f>IF(N203&gt;0,ROUND(N203+M204-L204,2),0)</f>
        <v>0</v>
      </c>
      <c r="O204" s="24">
        <f>IF(Q203&gt;0,MIN(ROUND(O$6+IF(O$5=$C204,$E$5+$E204,0),2),ROUND(Q203+P204,2)),0)</f>
        <v>0</v>
      </c>
      <c r="P204" s="24">
        <f>IF(Q203&gt;0,ROUND(ROUND(Q203*100,0)*ROUND(O$7*10000,0)/12000000,0)/100,0)</f>
        <v>0</v>
      </c>
      <c r="Q204" s="24">
        <f>IF(Q203&gt;0,ROUND(Q203+P204-O204,2),0)</f>
        <v>0</v>
      </c>
      <c r="R204" s="24">
        <f>IF(T203&gt;0,MIN(ROUND(R$6+IF(R$5=$C204,$E$5+$E204,0),2),ROUND(T203+S204,2)),0)</f>
        <v>0</v>
      </c>
      <c r="S204" s="24">
        <f>IF(T203&gt;0,ROUND(ROUND(T203*100,0)*ROUND(R$7*10000,0)/12000000,0)/100,0)</f>
        <v>0</v>
      </c>
      <c r="T204" s="24">
        <f>IF(T203&gt;0,ROUND(T203+S204-R204,2),0)</f>
        <v>0</v>
      </c>
      <c r="U204" s="24">
        <f>IF(W203&gt;0,MIN(ROUND(U$6+IF(U$5=$C204,$E$5+$E204,0),2),ROUND(W203+V204,2)),0)</f>
        <v>0</v>
      </c>
      <c r="V204" s="24">
        <f>IF(W203&gt;0,ROUND(ROUND(W203*100,0)*ROUND(U$7*10000,0)/12000000,0)/100,0)</f>
        <v>0</v>
      </c>
      <c r="W204" s="24">
        <f>IF(W203&gt;0,ROUND(W203+V204-U204,2),0)</f>
        <v>0</v>
      </c>
      <c r="X204" s="24">
        <f>IF(Z203&gt;0,MIN(ROUND(X$6+IF(X$5=$C204,$E$5+$E204,0),2),ROUND(Z203+Y204,2)),0)</f>
        <v>0</v>
      </c>
      <c r="Y204" s="24">
        <f>IF(Z203&gt;0,ROUND(ROUND(Z203*100,0)*ROUND(X$7*10000,0)/12000000,0)/100,0)</f>
        <v>0</v>
      </c>
      <c r="Z204" s="24">
        <f>IF(Z203&gt;0,ROUND(Z203+Y204-X204,2),0)</f>
        <v>0</v>
      </c>
      <c r="AA204" s="24">
        <f>IF(AC203&gt;0,MIN(ROUND(AA$6+IF(AA$5=$C204,$E$5+$E204,0),2),ROUND(AC203+AB204,2)),0)</f>
        <v>0</v>
      </c>
      <c r="AB204" s="24">
        <f>IF(AC203&gt;0,ROUND(ROUND(AC203*100,0)*ROUND(AA$7*10000,0)/12000000,0)/100,0)</f>
        <v>0</v>
      </c>
      <c r="AC204" s="24">
        <f>IF(AC203&gt;0,ROUND(AC203+AB204-AA204,2),0)</f>
        <v>0</v>
      </c>
      <c r="AD204" s="24">
        <f>IF(AF203&gt;0,MIN(ROUND(AD$6+IF(AD$5=$C204,$E$5+$E204,0),2),ROUND(AF203+AE204,2)),0)</f>
        <v>0</v>
      </c>
      <c r="AE204" s="24">
        <f>IF(AF203&gt;0,ROUND(ROUND(AF203*100,0)*ROUND(AD$7*10000,0)/12000000,0)/100,0)</f>
        <v>0</v>
      </c>
      <c r="AF204" s="24">
        <f>IF(AF203&gt;0,ROUND(AF203+AE204-AD204,2),0)</f>
        <v>0</v>
      </c>
      <c r="AG204" s="24">
        <f>IF(AI203&gt;0,MIN(ROUND(AG$6+IF(AG$5=$C204,$E$5+$E204,0),2),ROUND(AI203+AH204,2)),0)</f>
        <v>0</v>
      </c>
      <c r="AH204" s="24">
        <f>IF(AI203&gt;0,ROUND(ROUND(AI203*100,0)*ROUND(AG$7*10000,0)/12000000,0)/100,0)</f>
        <v>0</v>
      </c>
      <c r="AI204" s="24">
        <f>IF(AI203&gt;0,ROUND(AI203+AH204-AG204,2),0)</f>
        <v>0</v>
      </c>
      <c r="AJ204" s="24">
        <f>IF(AL203&gt;0,MIN(ROUND(AJ$6+IF(AJ$5=$C204,$E$5+$E204,0),2),ROUND(AL203+AK204,2)),0)</f>
        <v>0</v>
      </c>
      <c r="AK204" s="24">
        <f>IF(AL203&gt;0,ROUND(ROUND(AL203*100,0)*ROUND(AJ$7*10000,0)/12000000,0)/100,0)</f>
        <v>0</v>
      </c>
      <c r="AL204" s="24">
        <f>IF(AL203&gt;0,ROUND(AL203+AK204-AJ204,2),0)</f>
        <v>0</v>
      </c>
    </row>
    <row r="205" spans="1:38" x14ac:dyDescent="0.25">
      <c r="A205" s="17" t="str">
        <f>IF(F205&gt;0,195,"")</f>
        <v/>
      </c>
      <c r="B205" s="18" t="str">
        <f>IF(F205&gt;0,EDATE($E$6,195),"")</f>
        <v/>
      </c>
      <c r="C205" s="21">
        <f>IF(H204&gt;0,MIN(IF(K204&gt;0,I$5,99),IF(N204&gt;0,L$5,99),IF(Q204&gt;0,O$5,99),IF(T204&gt;0,R$5,99),IF(W204&gt;0,U$5,99),IF(Z204&gt;0,X$5,99),IF(AC204&gt;0,AA$5,99),IF(AF204&gt;0,AD$5,99),IF(AI204&gt;0,AG$5,99),IF(AL204&gt;0,AJ$5,99)),0)</f>
        <v>0</v>
      </c>
      <c r="D205" t="str">
        <f>IF(C205&gt;0,INDEX($I$4:$AL$4,1,MATCH(C205,$I$5:$AL$5,0)),"")</f>
        <v/>
      </c>
      <c r="E205" s="24">
        <f>ROUND(IF(AND(I$8&gt;0,K204=0),I$6,0)+IF(AND(L$8&gt;0,N204=0),L$6,0)+IF(AND(O$8&gt;0,Q204=0),O$6,0)+IF(AND(R$8&gt;0,T204=0),R$6,0)+IF(AND(U$8&gt;0,W204=0),U$6,0)+IF(AND(X$8&gt;0,Z204=0),X$6,0)+IF(AND(AA$8&gt;0,AC204=0),AA$6,0)+IF(AND(AD$8&gt;0,AF204=0),AD$6,0)+IF(AND(AG$8&gt;0,AI204=0),AG$6,0)+IF(AND(AJ$8&gt;0,AL204=0),AJ$6,0),2)</f>
        <v>330</v>
      </c>
      <c r="F205" s="24">
        <f>ROUND(I205+L205+O205+R205+U205+X205+AA205+AD205+AG205+AJ205,2)</f>
        <v>0</v>
      </c>
      <c r="G205" s="24">
        <f>ROUND(J205+M205+P205+S205+V205+Y205+AB205+AE205+AH205+AK205,2)</f>
        <v>0</v>
      </c>
      <c r="H205" s="24">
        <f>ROUND(K205+N205+Q205+T205+W205+Z205+AC205+AF205+AI205+AL205,2)</f>
        <v>0</v>
      </c>
      <c r="I205" s="24">
        <f>IF(K204&gt;0,MIN(ROUND(I$6+IF(I$5=$C205,$E$5+$E205,0),2),ROUND(K204+J205,2)),0)</f>
        <v>0</v>
      </c>
      <c r="J205" s="24">
        <f>IF(K204&gt;0,ROUND(ROUND(K204*100,0)*ROUND(I$7*10000,0)/12000000,0)/100,0)</f>
        <v>0</v>
      </c>
      <c r="K205" s="24">
        <f>IF(K204&gt;0,ROUND(K204+J205-I205,2),0)</f>
        <v>0</v>
      </c>
      <c r="L205" s="24">
        <f>IF(N204&gt;0,MIN(ROUND(L$6+IF(L$5=$C205,$E$5+$E205,0),2),ROUND(N204+M205,2)),0)</f>
        <v>0</v>
      </c>
      <c r="M205" s="24">
        <f>IF(N204&gt;0,ROUND(ROUND(N204*100,0)*ROUND(L$7*10000,0)/12000000,0)/100,0)</f>
        <v>0</v>
      </c>
      <c r="N205" s="24">
        <f>IF(N204&gt;0,ROUND(N204+M205-L205,2),0)</f>
        <v>0</v>
      </c>
      <c r="O205" s="24">
        <f>IF(Q204&gt;0,MIN(ROUND(O$6+IF(O$5=$C205,$E$5+$E205,0),2),ROUND(Q204+P205,2)),0)</f>
        <v>0</v>
      </c>
      <c r="P205" s="24">
        <f>IF(Q204&gt;0,ROUND(ROUND(Q204*100,0)*ROUND(O$7*10000,0)/12000000,0)/100,0)</f>
        <v>0</v>
      </c>
      <c r="Q205" s="24">
        <f>IF(Q204&gt;0,ROUND(Q204+P205-O205,2),0)</f>
        <v>0</v>
      </c>
      <c r="R205" s="24">
        <f>IF(T204&gt;0,MIN(ROUND(R$6+IF(R$5=$C205,$E$5+$E205,0),2),ROUND(T204+S205,2)),0)</f>
        <v>0</v>
      </c>
      <c r="S205" s="24">
        <f>IF(T204&gt;0,ROUND(ROUND(T204*100,0)*ROUND(R$7*10000,0)/12000000,0)/100,0)</f>
        <v>0</v>
      </c>
      <c r="T205" s="24">
        <f>IF(T204&gt;0,ROUND(T204+S205-R205,2),0)</f>
        <v>0</v>
      </c>
      <c r="U205" s="24">
        <f>IF(W204&gt;0,MIN(ROUND(U$6+IF(U$5=$C205,$E$5+$E205,0),2),ROUND(W204+V205,2)),0)</f>
        <v>0</v>
      </c>
      <c r="V205" s="24">
        <f>IF(W204&gt;0,ROUND(ROUND(W204*100,0)*ROUND(U$7*10000,0)/12000000,0)/100,0)</f>
        <v>0</v>
      </c>
      <c r="W205" s="24">
        <f>IF(W204&gt;0,ROUND(W204+V205-U205,2),0)</f>
        <v>0</v>
      </c>
      <c r="X205" s="24">
        <f>IF(Z204&gt;0,MIN(ROUND(X$6+IF(X$5=$C205,$E$5+$E205,0),2),ROUND(Z204+Y205,2)),0)</f>
        <v>0</v>
      </c>
      <c r="Y205" s="24">
        <f>IF(Z204&gt;0,ROUND(ROUND(Z204*100,0)*ROUND(X$7*10000,0)/12000000,0)/100,0)</f>
        <v>0</v>
      </c>
      <c r="Z205" s="24">
        <f>IF(Z204&gt;0,ROUND(Z204+Y205-X205,2),0)</f>
        <v>0</v>
      </c>
      <c r="AA205" s="24">
        <f>IF(AC204&gt;0,MIN(ROUND(AA$6+IF(AA$5=$C205,$E$5+$E205,0),2),ROUND(AC204+AB205,2)),0)</f>
        <v>0</v>
      </c>
      <c r="AB205" s="24">
        <f>IF(AC204&gt;0,ROUND(ROUND(AC204*100,0)*ROUND(AA$7*10000,0)/12000000,0)/100,0)</f>
        <v>0</v>
      </c>
      <c r="AC205" s="24">
        <f>IF(AC204&gt;0,ROUND(AC204+AB205-AA205,2),0)</f>
        <v>0</v>
      </c>
      <c r="AD205" s="24">
        <f>IF(AF204&gt;0,MIN(ROUND(AD$6+IF(AD$5=$C205,$E$5+$E205,0),2),ROUND(AF204+AE205,2)),0)</f>
        <v>0</v>
      </c>
      <c r="AE205" s="24">
        <f>IF(AF204&gt;0,ROUND(ROUND(AF204*100,0)*ROUND(AD$7*10000,0)/12000000,0)/100,0)</f>
        <v>0</v>
      </c>
      <c r="AF205" s="24">
        <f>IF(AF204&gt;0,ROUND(AF204+AE205-AD205,2),0)</f>
        <v>0</v>
      </c>
      <c r="AG205" s="24">
        <f>IF(AI204&gt;0,MIN(ROUND(AG$6+IF(AG$5=$C205,$E$5+$E205,0),2),ROUND(AI204+AH205,2)),0)</f>
        <v>0</v>
      </c>
      <c r="AH205" s="24">
        <f>IF(AI204&gt;0,ROUND(ROUND(AI204*100,0)*ROUND(AG$7*10000,0)/12000000,0)/100,0)</f>
        <v>0</v>
      </c>
      <c r="AI205" s="24">
        <f>IF(AI204&gt;0,ROUND(AI204+AH205-AG205,2),0)</f>
        <v>0</v>
      </c>
      <c r="AJ205" s="24">
        <f>IF(AL204&gt;0,MIN(ROUND(AJ$6+IF(AJ$5=$C205,$E$5+$E205,0),2),ROUND(AL204+AK205,2)),0)</f>
        <v>0</v>
      </c>
      <c r="AK205" s="24">
        <f>IF(AL204&gt;0,ROUND(ROUND(AL204*100,0)*ROUND(AJ$7*10000,0)/12000000,0)/100,0)</f>
        <v>0</v>
      </c>
      <c r="AL205" s="24">
        <f>IF(AL204&gt;0,ROUND(AL204+AK205-AJ205,2),0)</f>
        <v>0</v>
      </c>
    </row>
    <row r="206" spans="1:38" x14ac:dyDescent="0.25">
      <c r="A206" s="17" t="str">
        <f>IF(F206&gt;0,196,"")</f>
        <v/>
      </c>
      <c r="B206" s="18" t="str">
        <f>IF(F206&gt;0,EDATE($E$6,196),"")</f>
        <v/>
      </c>
      <c r="C206" s="21">
        <f>IF(H205&gt;0,MIN(IF(K205&gt;0,I$5,99),IF(N205&gt;0,L$5,99),IF(Q205&gt;0,O$5,99),IF(T205&gt;0,R$5,99),IF(W205&gt;0,U$5,99),IF(Z205&gt;0,X$5,99),IF(AC205&gt;0,AA$5,99),IF(AF205&gt;0,AD$5,99),IF(AI205&gt;0,AG$5,99),IF(AL205&gt;0,AJ$5,99)),0)</f>
        <v>0</v>
      </c>
      <c r="D206" t="str">
        <f>IF(C206&gt;0,INDEX($I$4:$AL$4,1,MATCH(C206,$I$5:$AL$5,0)),"")</f>
        <v/>
      </c>
      <c r="E206" s="24">
        <f>ROUND(IF(AND(I$8&gt;0,K205=0),I$6,0)+IF(AND(L$8&gt;0,N205=0),L$6,0)+IF(AND(O$8&gt;0,Q205=0),O$6,0)+IF(AND(R$8&gt;0,T205=0),R$6,0)+IF(AND(U$8&gt;0,W205=0),U$6,0)+IF(AND(X$8&gt;0,Z205=0),X$6,0)+IF(AND(AA$8&gt;0,AC205=0),AA$6,0)+IF(AND(AD$8&gt;0,AF205=0),AD$6,0)+IF(AND(AG$8&gt;0,AI205=0),AG$6,0)+IF(AND(AJ$8&gt;0,AL205=0),AJ$6,0),2)</f>
        <v>330</v>
      </c>
      <c r="F206" s="24">
        <f>ROUND(I206+L206+O206+R206+U206+X206+AA206+AD206+AG206+AJ206,2)</f>
        <v>0</v>
      </c>
      <c r="G206" s="24">
        <f>ROUND(J206+M206+P206+S206+V206+Y206+AB206+AE206+AH206+AK206,2)</f>
        <v>0</v>
      </c>
      <c r="H206" s="24">
        <f>ROUND(K206+N206+Q206+T206+W206+Z206+AC206+AF206+AI206+AL206,2)</f>
        <v>0</v>
      </c>
      <c r="I206" s="24">
        <f>IF(K205&gt;0,MIN(ROUND(I$6+IF(I$5=$C206,$E$5+$E206,0),2),ROUND(K205+J206,2)),0)</f>
        <v>0</v>
      </c>
      <c r="J206" s="24">
        <f>IF(K205&gt;0,ROUND(ROUND(K205*100,0)*ROUND(I$7*10000,0)/12000000,0)/100,0)</f>
        <v>0</v>
      </c>
      <c r="K206" s="24">
        <f>IF(K205&gt;0,ROUND(K205+J206-I206,2),0)</f>
        <v>0</v>
      </c>
      <c r="L206" s="24">
        <f>IF(N205&gt;0,MIN(ROUND(L$6+IF(L$5=$C206,$E$5+$E206,0),2),ROUND(N205+M206,2)),0)</f>
        <v>0</v>
      </c>
      <c r="M206" s="24">
        <f>IF(N205&gt;0,ROUND(ROUND(N205*100,0)*ROUND(L$7*10000,0)/12000000,0)/100,0)</f>
        <v>0</v>
      </c>
      <c r="N206" s="24">
        <f>IF(N205&gt;0,ROUND(N205+M206-L206,2),0)</f>
        <v>0</v>
      </c>
      <c r="O206" s="24">
        <f>IF(Q205&gt;0,MIN(ROUND(O$6+IF(O$5=$C206,$E$5+$E206,0),2),ROUND(Q205+P206,2)),0)</f>
        <v>0</v>
      </c>
      <c r="P206" s="24">
        <f>IF(Q205&gt;0,ROUND(ROUND(Q205*100,0)*ROUND(O$7*10000,0)/12000000,0)/100,0)</f>
        <v>0</v>
      </c>
      <c r="Q206" s="24">
        <f>IF(Q205&gt;0,ROUND(Q205+P206-O206,2),0)</f>
        <v>0</v>
      </c>
      <c r="R206" s="24">
        <f>IF(T205&gt;0,MIN(ROUND(R$6+IF(R$5=$C206,$E$5+$E206,0),2),ROUND(T205+S206,2)),0)</f>
        <v>0</v>
      </c>
      <c r="S206" s="24">
        <f>IF(T205&gt;0,ROUND(ROUND(T205*100,0)*ROUND(R$7*10000,0)/12000000,0)/100,0)</f>
        <v>0</v>
      </c>
      <c r="T206" s="24">
        <f>IF(T205&gt;0,ROUND(T205+S206-R206,2),0)</f>
        <v>0</v>
      </c>
      <c r="U206" s="24">
        <f>IF(W205&gt;0,MIN(ROUND(U$6+IF(U$5=$C206,$E$5+$E206,0),2),ROUND(W205+V206,2)),0)</f>
        <v>0</v>
      </c>
      <c r="V206" s="24">
        <f>IF(W205&gt;0,ROUND(ROUND(W205*100,0)*ROUND(U$7*10000,0)/12000000,0)/100,0)</f>
        <v>0</v>
      </c>
      <c r="W206" s="24">
        <f>IF(W205&gt;0,ROUND(W205+V206-U206,2),0)</f>
        <v>0</v>
      </c>
      <c r="X206" s="24">
        <f>IF(Z205&gt;0,MIN(ROUND(X$6+IF(X$5=$C206,$E$5+$E206,0),2),ROUND(Z205+Y206,2)),0)</f>
        <v>0</v>
      </c>
      <c r="Y206" s="24">
        <f>IF(Z205&gt;0,ROUND(ROUND(Z205*100,0)*ROUND(X$7*10000,0)/12000000,0)/100,0)</f>
        <v>0</v>
      </c>
      <c r="Z206" s="24">
        <f>IF(Z205&gt;0,ROUND(Z205+Y206-X206,2),0)</f>
        <v>0</v>
      </c>
      <c r="AA206" s="24">
        <f>IF(AC205&gt;0,MIN(ROUND(AA$6+IF(AA$5=$C206,$E$5+$E206,0),2),ROUND(AC205+AB206,2)),0)</f>
        <v>0</v>
      </c>
      <c r="AB206" s="24">
        <f>IF(AC205&gt;0,ROUND(ROUND(AC205*100,0)*ROUND(AA$7*10000,0)/12000000,0)/100,0)</f>
        <v>0</v>
      </c>
      <c r="AC206" s="24">
        <f>IF(AC205&gt;0,ROUND(AC205+AB206-AA206,2),0)</f>
        <v>0</v>
      </c>
      <c r="AD206" s="24">
        <f>IF(AF205&gt;0,MIN(ROUND(AD$6+IF(AD$5=$C206,$E$5+$E206,0),2),ROUND(AF205+AE206,2)),0)</f>
        <v>0</v>
      </c>
      <c r="AE206" s="24">
        <f>IF(AF205&gt;0,ROUND(ROUND(AF205*100,0)*ROUND(AD$7*10000,0)/12000000,0)/100,0)</f>
        <v>0</v>
      </c>
      <c r="AF206" s="24">
        <f>IF(AF205&gt;0,ROUND(AF205+AE206-AD206,2),0)</f>
        <v>0</v>
      </c>
      <c r="AG206" s="24">
        <f>IF(AI205&gt;0,MIN(ROUND(AG$6+IF(AG$5=$C206,$E$5+$E206,0),2),ROUND(AI205+AH206,2)),0)</f>
        <v>0</v>
      </c>
      <c r="AH206" s="24">
        <f>IF(AI205&gt;0,ROUND(ROUND(AI205*100,0)*ROUND(AG$7*10000,0)/12000000,0)/100,0)</f>
        <v>0</v>
      </c>
      <c r="AI206" s="24">
        <f>IF(AI205&gt;0,ROUND(AI205+AH206-AG206,2),0)</f>
        <v>0</v>
      </c>
      <c r="AJ206" s="24">
        <f>IF(AL205&gt;0,MIN(ROUND(AJ$6+IF(AJ$5=$C206,$E$5+$E206,0),2),ROUND(AL205+AK206,2)),0)</f>
        <v>0</v>
      </c>
      <c r="AK206" s="24">
        <f>IF(AL205&gt;0,ROUND(ROUND(AL205*100,0)*ROUND(AJ$7*10000,0)/12000000,0)/100,0)</f>
        <v>0</v>
      </c>
      <c r="AL206" s="24">
        <f>IF(AL205&gt;0,ROUND(AL205+AK206-AJ206,2),0)</f>
        <v>0</v>
      </c>
    </row>
    <row r="207" spans="1:38" x14ac:dyDescent="0.25">
      <c r="A207" s="17" t="str">
        <f>IF(F207&gt;0,197,"")</f>
        <v/>
      </c>
      <c r="B207" s="18" t="str">
        <f>IF(F207&gt;0,EDATE($E$6,197),"")</f>
        <v/>
      </c>
      <c r="C207" s="21">
        <f>IF(H206&gt;0,MIN(IF(K206&gt;0,I$5,99),IF(N206&gt;0,L$5,99),IF(Q206&gt;0,O$5,99),IF(T206&gt;0,R$5,99),IF(W206&gt;0,U$5,99),IF(Z206&gt;0,X$5,99),IF(AC206&gt;0,AA$5,99),IF(AF206&gt;0,AD$5,99),IF(AI206&gt;0,AG$5,99),IF(AL206&gt;0,AJ$5,99)),0)</f>
        <v>0</v>
      </c>
      <c r="D207" t="str">
        <f>IF(C207&gt;0,INDEX($I$4:$AL$4,1,MATCH(C207,$I$5:$AL$5,0)),"")</f>
        <v/>
      </c>
      <c r="E207" s="24">
        <f>ROUND(IF(AND(I$8&gt;0,K206=0),I$6,0)+IF(AND(L$8&gt;0,N206=0),L$6,0)+IF(AND(O$8&gt;0,Q206=0),O$6,0)+IF(AND(R$8&gt;0,T206=0),R$6,0)+IF(AND(U$8&gt;0,W206=0),U$6,0)+IF(AND(X$8&gt;0,Z206=0),X$6,0)+IF(AND(AA$8&gt;0,AC206=0),AA$6,0)+IF(AND(AD$8&gt;0,AF206=0),AD$6,0)+IF(AND(AG$8&gt;0,AI206=0),AG$6,0)+IF(AND(AJ$8&gt;0,AL206=0),AJ$6,0),2)</f>
        <v>330</v>
      </c>
      <c r="F207" s="24">
        <f>ROUND(I207+L207+O207+R207+U207+X207+AA207+AD207+AG207+AJ207,2)</f>
        <v>0</v>
      </c>
      <c r="G207" s="24">
        <f>ROUND(J207+M207+P207+S207+V207+Y207+AB207+AE207+AH207+AK207,2)</f>
        <v>0</v>
      </c>
      <c r="H207" s="24">
        <f>ROUND(K207+N207+Q207+T207+W207+Z207+AC207+AF207+AI207+AL207,2)</f>
        <v>0</v>
      </c>
      <c r="I207" s="24">
        <f>IF(K206&gt;0,MIN(ROUND(I$6+IF(I$5=$C207,$E$5+$E207,0),2),ROUND(K206+J207,2)),0)</f>
        <v>0</v>
      </c>
      <c r="J207" s="24">
        <f>IF(K206&gt;0,ROUND(ROUND(K206*100,0)*ROUND(I$7*10000,0)/12000000,0)/100,0)</f>
        <v>0</v>
      </c>
      <c r="K207" s="24">
        <f>IF(K206&gt;0,ROUND(K206+J207-I207,2),0)</f>
        <v>0</v>
      </c>
      <c r="L207" s="24">
        <f>IF(N206&gt;0,MIN(ROUND(L$6+IF(L$5=$C207,$E$5+$E207,0),2),ROUND(N206+M207,2)),0)</f>
        <v>0</v>
      </c>
      <c r="M207" s="24">
        <f>IF(N206&gt;0,ROUND(ROUND(N206*100,0)*ROUND(L$7*10000,0)/12000000,0)/100,0)</f>
        <v>0</v>
      </c>
      <c r="N207" s="24">
        <f>IF(N206&gt;0,ROUND(N206+M207-L207,2),0)</f>
        <v>0</v>
      </c>
      <c r="O207" s="24">
        <f>IF(Q206&gt;0,MIN(ROUND(O$6+IF(O$5=$C207,$E$5+$E207,0),2),ROUND(Q206+P207,2)),0)</f>
        <v>0</v>
      </c>
      <c r="P207" s="24">
        <f>IF(Q206&gt;0,ROUND(ROUND(Q206*100,0)*ROUND(O$7*10000,0)/12000000,0)/100,0)</f>
        <v>0</v>
      </c>
      <c r="Q207" s="24">
        <f>IF(Q206&gt;0,ROUND(Q206+P207-O207,2),0)</f>
        <v>0</v>
      </c>
      <c r="R207" s="24">
        <f>IF(T206&gt;0,MIN(ROUND(R$6+IF(R$5=$C207,$E$5+$E207,0),2),ROUND(T206+S207,2)),0)</f>
        <v>0</v>
      </c>
      <c r="S207" s="24">
        <f>IF(T206&gt;0,ROUND(ROUND(T206*100,0)*ROUND(R$7*10000,0)/12000000,0)/100,0)</f>
        <v>0</v>
      </c>
      <c r="T207" s="24">
        <f>IF(T206&gt;0,ROUND(T206+S207-R207,2),0)</f>
        <v>0</v>
      </c>
      <c r="U207" s="24">
        <f>IF(W206&gt;0,MIN(ROUND(U$6+IF(U$5=$C207,$E$5+$E207,0),2),ROUND(W206+V207,2)),0)</f>
        <v>0</v>
      </c>
      <c r="V207" s="24">
        <f>IF(W206&gt;0,ROUND(ROUND(W206*100,0)*ROUND(U$7*10000,0)/12000000,0)/100,0)</f>
        <v>0</v>
      </c>
      <c r="W207" s="24">
        <f>IF(W206&gt;0,ROUND(W206+V207-U207,2),0)</f>
        <v>0</v>
      </c>
      <c r="X207" s="24">
        <f>IF(Z206&gt;0,MIN(ROUND(X$6+IF(X$5=$C207,$E$5+$E207,0),2),ROUND(Z206+Y207,2)),0)</f>
        <v>0</v>
      </c>
      <c r="Y207" s="24">
        <f>IF(Z206&gt;0,ROUND(ROUND(Z206*100,0)*ROUND(X$7*10000,0)/12000000,0)/100,0)</f>
        <v>0</v>
      </c>
      <c r="Z207" s="24">
        <f>IF(Z206&gt;0,ROUND(Z206+Y207-X207,2),0)</f>
        <v>0</v>
      </c>
      <c r="AA207" s="24">
        <f>IF(AC206&gt;0,MIN(ROUND(AA$6+IF(AA$5=$C207,$E$5+$E207,0),2),ROUND(AC206+AB207,2)),0)</f>
        <v>0</v>
      </c>
      <c r="AB207" s="24">
        <f>IF(AC206&gt;0,ROUND(ROUND(AC206*100,0)*ROUND(AA$7*10000,0)/12000000,0)/100,0)</f>
        <v>0</v>
      </c>
      <c r="AC207" s="24">
        <f>IF(AC206&gt;0,ROUND(AC206+AB207-AA207,2),0)</f>
        <v>0</v>
      </c>
      <c r="AD207" s="24">
        <f>IF(AF206&gt;0,MIN(ROUND(AD$6+IF(AD$5=$C207,$E$5+$E207,0),2),ROUND(AF206+AE207,2)),0)</f>
        <v>0</v>
      </c>
      <c r="AE207" s="24">
        <f>IF(AF206&gt;0,ROUND(ROUND(AF206*100,0)*ROUND(AD$7*10000,0)/12000000,0)/100,0)</f>
        <v>0</v>
      </c>
      <c r="AF207" s="24">
        <f>IF(AF206&gt;0,ROUND(AF206+AE207-AD207,2),0)</f>
        <v>0</v>
      </c>
      <c r="AG207" s="24">
        <f>IF(AI206&gt;0,MIN(ROUND(AG$6+IF(AG$5=$C207,$E$5+$E207,0),2),ROUND(AI206+AH207,2)),0)</f>
        <v>0</v>
      </c>
      <c r="AH207" s="24">
        <f>IF(AI206&gt;0,ROUND(ROUND(AI206*100,0)*ROUND(AG$7*10000,0)/12000000,0)/100,0)</f>
        <v>0</v>
      </c>
      <c r="AI207" s="24">
        <f>IF(AI206&gt;0,ROUND(AI206+AH207-AG207,2),0)</f>
        <v>0</v>
      </c>
      <c r="AJ207" s="24">
        <f>IF(AL206&gt;0,MIN(ROUND(AJ$6+IF(AJ$5=$C207,$E$5+$E207,0),2),ROUND(AL206+AK207,2)),0)</f>
        <v>0</v>
      </c>
      <c r="AK207" s="24">
        <f>IF(AL206&gt;0,ROUND(ROUND(AL206*100,0)*ROUND(AJ$7*10000,0)/12000000,0)/100,0)</f>
        <v>0</v>
      </c>
      <c r="AL207" s="24">
        <f>IF(AL206&gt;0,ROUND(AL206+AK207-AJ207,2),0)</f>
        <v>0</v>
      </c>
    </row>
    <row r="208" spans="1:38" x14ac:dyDescent="0.25">
      <c r="A208" s="17" t="str">
        <f>IF(F208&gt;0,198,"")</f>
        <v/>
      </c>
      <c r="B208" s="18" t="str">
        <f>IF(F208&gt;0,EDATE($E$6,198),"")</f>
        <v/>
      </c>
      <c r="C208" s="21">
        <f>IF(H207&gt;0,MIN(IF(K207&gt;0,I$5,99),IF(N207&gt;0,L$5,99),IF(Q207&gt;0,O$5,99),IF(T207&gt;0,R$5,99),IF(W207&gt;0,U$5,99),IF(Z207&gt;0,X$5,99),IF(AC207&gt;0,AA$5,99),IF(AF207&gt;0,AD$5,99),IF(AI207&gt;0,AG$5,99),IF(AL207&gt;0,AJ$5,99)),0)</f>
        <v>0</v>
      </c>
      <c r="D208" t="str">
        <f>IF(C208&gt;0,INDEX($I$4:$AL$4,1,MATCH(C208,$I$5:$AL$5,0)),"")</f>
        <v/>
      </c>
      <c r="E208" s="24">
        <f>ROUND(IF(AND(I$8&gt;0,K207=0),I$6,0)+IF(AND(L$8&gt;0,N207=0),L$6,0)+IF(AND(O$8&gt;0,Q207=0),O$6,0)+IF(AND(R$8&gt;0,T207=0),R$6,0)+IF(AND(U$8&gt;0,W207=0),U$6,0)+IF(AND(X$8&gt;0,Z207=0),X$6,0)+IF(AND(AA$8&gt;0,AC207=0),AA$6,0)+IF(AND(AD$8&gt;0,AF207=0),AD$6,0)+IF(AND(AG$8&gt;0,AI207=0),AG$6,0)+IF(AND(AJ$8&gt;0,AL207=0),AJ$6,0),2)</f>
        <v>330</v>
      </c>
      <c r="F208" s="24">
        <f>ROUND(I208+L208+O208+R208+U208+X208+AA208+AD208+AG208+AJ208,2)</f>
        <v>0</v>
      </c>
      <c r="G208" s="24">
        <f>ROUND(J208+M208+P208+S208+V208+Y208+AB208+AE208+AH208+AK208,2)</f>
        <v>0</v>
      </c>
      <c r="H208" s="24">
        <f>ROUND(K208+N208+Q208+T208+W208+Z208+AC208+AF208+AI208+AL208,2)</f>
        <v>0</v>
      </c>
      <c r="I208" s="24">
        <f>IF(K207&gt;0,MIN(ROUND(I$6+IF(I$5=$C208,$E$5+$E208,0),2),ROUND(K207+J208,2)),0)</f>
        <v>0</v>
      </c>
      <c r="J208" s="24">
        <f>IF(K207&gt;0,ROUND(ROUND(K207*100,0)*ROUND(I$7*10000,0)/12000000,0)/100,0)</f>
        <v>0</v>
      </c>
      <c r="K208" s="24">
        <f>IF(K207&gt;0,ROUND(K207+J208-I208,2),0)</f>
        <v>0</v>
      </c>
      <c r="L208" s="24">
        <f>IF(N207&gt;0,MIN(ROUND(L$6+IF(L$5=$C208,$E$5+$E208,0),2),ROUND(N207+M208,2)),0)</f>
        <v>0</v>
      </c>
      <c r="M208" s="24">
        <f>IF(N207&gt;0,ROUND(ROUND(N207*100,0)*ROUND(L$7*10000,0)/12000000,0)/100,0)</f>
        <v>0</v>
      </c>
      <c r="N208" s="24">
        <f>IF(N207&gt;0,ROUND(N207+M208-L208,2),0)</f>
        <v>0</v>
      </c>
      <c r="O208" s="24">
        <f>IF(Q207&gt;0,MIN(ROUND(O$6+IF(O$5=$C208,$E$5+$E208,0),2),ROUND(Q207+P208,2)),0)</f>
        <v>0</v>
      </c>
      <c r="P208" s="24">
        <f>IF(Q207&gt;0,ROUND(ROUND(Q207*100,0)*ROUND(O$7*10000,0)/12000000,0)/100,0)</f>
        <v>0</v>
      </c>
      <c r="Q208" s="24">
        <f>IF(Q207&gt;0,ROUND(Q207+P208-O208,2),0)</f>
        <v>0</v>
      </c>
      <c r="R208" s="24">
        <f>IF(T207&gt;0,MIN(ROUND(R$6+IF(R$5=$C208,$E$5+$E208,0),2),ROUND(T207+S208,2)),0)</f>
        <v>0</v>
      </c>
      <c r="S208" s="24">
        <f>IF(T207&gt;0,ROUND(ROUND(T207*100,0)*ROUND(R$7*10000,0)/12000000,0)/100,0)</f>
        <v>0</v>
      </c>
      <c r="T208" s="24">
        <f>IF(T207&gt;0,ROUND(T207+S208-R208,2),0)</f>
        <v>0</v>
      </c>
      <c r="U208" s="24">
        <f>IF(W207&gt;0,MIN(ROUND(U$6+IF(U$5=$C208,$E$5+$E208,0),2),ROUND(W207+V208,2)),0)</f>
        <v>0</v>
      </c>
      <c r="V208" s="24">
        <f>IF(W207&gt;0,ROUND(ROUND(W207*100,0)*ROUND(U$7*10000,0)/12000000,0)/100,0)</f>
        <v>0</v>
      </c>
      <c r="W208" s="24">
        <f>IF(W207&gt;0,ROUND(W207+V208-U208,2),0)</f>
        <v>0</v>
      </c>
      <c r="X208" s="24">
        <f>IF(Z207&gt;0,MIN(ROUND(X$6+IF(X$5=$C208,$E$5+$E208,0),2),ROUND(Z207+Y208,2)),0)</f>
        <v>0</v>
      </c>
      <c r="Y208" s="24">
        <f>IF(Z207&gt;0,ROUND(ROUND(Z207*100,0)*ROUND(X$7*10000,0)/12000000,0)/100,0)</f>
        <v>0</v>
      </c>
      <c r="Z208" s="24">
        <f>IF(Z207&gt;0,ROUND(Z207+Y208-X208,2),0)</f>
        <v>0</v>
      </c>
      <c r="AA208" s="24">
        <f>IF(AC207&gt;0,MIN(ROUND(AA$6+IF(AA$5=$C208,$E$5+$E208,0),2),ROUND(AC207+AB208,2)),0)</f>
        <v>0</v>
      </c>
      <c r="AB208" s="24">
        <f>IF(AC207&gt;0,ROUND(ROUND(AC207*100,0)*ROUND(AA$7*10000,0)/12000000,0)/100,0)</f>
        <v>0</v>
      </c>
      <c r="AC208" s="24">
        <f>IF(AC207&gt;0,ROUND(AC207+AB208-AA208,2),0)</f>
        <v>0</v>
      </c>
      <c r="AD208" s="24">
        <f>IF(AF207&gt;0,MIN(ROUND(AD$6+IF(AD$5=$C208,$E$5+$E208,0),2),ROUND(AF207+AE208,2)),0)</f>
        <v>0</v>
      </c>
      <c r="AE208" s="24">
        <f>IF(AF207&gt;0,ROUND(ROUND(AF207*100,0)*ROUND(AD$7*10000,0)/12000000,0)/100,0)</f>
        <v>0</v>
      </c>
      <c r="AF208" s="24">
        <f>IF(AF207&gt;0,ROUND(AF207+AE208-AD208,2),0)</f>
        <v>0</v>
      </c>
      <c r="AG208" s="24">
        <f>IF(AI207&gt;0,MIN(ROUND(AG$6+IF(AG$5=$C208,$E$5+$E208,0),2),ROUND(AI207+AH208,2)),0)</f>
        <v>0</v>
      </c>
      <c r="AH208" s="24">
        <f>IF(AI207&gt;0,ROUND(ROUND(AI207*100,0)*ROUND(AG$7*10000,0)/12000000,0)/100,0)</f>
        <v>0</v>
      </c>
      <c r="AI208" s="24">
        <f>IF(AI207&gt;0,ROUND(AI207+AH208-AG208,2),0)</f>
        <v>0</v>
      </c>
      <c r="AJ208" s="24">
        <f>IF(AL207&gt;0,MIN(ROUND(AJ$6+IF(AJ$5=$C208,$E$5+$E208,0),2),ROUND(AL207+AK208,2)),0)</f>
        <v>0</v>
      </c>
      <c r="AK208" s="24">
        <f>IF(AL207&gt;0,ROUND(ROUND(AL207*100,0)*ROUND(AJ$7*10000,0)/12000000,0)/100,0)</f>
        <v>0</v>
      </c>
      <c r="AL208" s="24">
        <f>IF(AL207&gt;0,ROUND(AL207+AK208-AJ208,2),0)</f>
        <v>0</v>
      </c>
    </row>
    <row r="209" spans="1:38" x14ac:dyDescent="0.25">
      <c r="A209" s="17" t="str">
        <f>IF(F209&gt;0,199,"")</f>
        <v/>
      </c>
      <c r="B209" s="18" t="str">
        <f>IF(F209&gt;0,EDATE($E$6,199),"")</f>
        <v/>
      </c>
      <c r="C209" s="21">
        <f>IF(H208&gt;0,MIN(IF(K208&gt;0,I$5,99),IF(N208&gt;0,L$5,99),IF(Q208&gt;0,O$5,99),IF(T208&gt;0,R$5,99),IF(W208&gt;0,U$5,99),IF(Z208&gt;0,X$5,99),IF(AC208&gt;0,AA$5,99),IF(AF208&gt;0,AD$5,99),IF(AI208&gt;0,AG$5,99),IF(AL208&gt;0,AJ$5,99)),0)</f>
        <v>0</v>
      </c>
      <c r="D209" t="str">
        <f>IF(C209&gt;0,INDEX($I$4:$AL$4,1,MATCH(C209,$I$5:$AL$5,0)),"")</f>
        <v/>
      </c>
      <c r="E209" s="24">
        <f>ROUND(IF(AND(I$8&gt;0,K208=0),I$6,0)+IF(AND(L$8&gt;0,N208=0),L$6,0)+IF(AND(O$8&gt;0,Q208=0),O$6,0)+IF(AND(R$8&gt;0,T208=0),R$6,0)+IF(AND(U$8&gt;0,W208=0),U$6,0)+IF(AND(X$8&gt;0,Z208=0),X$6,0)+IF(AND(AA$8&gt;0,AC208=0),AA$6,0)+IF(AND(AD$8&gt;0,AF208=0),AD$6,0)+IF(AND(AG$8&gt;0,AI208=0),AG$6,0)+IF(AND(AJ$8&gt;0,AL208=0),AJ$6,0),2)</f>
        <v>330</v>
      </c>
      <c r="F209" s="24">
        <f>ROUND(I209+L209+O209+R209+U209+X209+AA209+AD209+AG209+AJ209,2)</f>
        <v>0</v>
      </c>
      <c r="G209" s="24">
        <f>ROUND(J209+M209+P209+S209+V209+Y209+AB209+AE209+AH209+AK209,2)</f>
        <v>0</v>
      </c>
      <c r="H209" s="24">
        <f>ROUND(K209+N209+Q209+T209+W209+Z209+AC209+AF209+AI209+AL209,2)</f>
        <v>0</v>
      </c>
      <c r="I209" s="24">
        <f>IF(K208&gt;0,MIN(ROUND(I$6+IF(I$5=$C209,$E$5+$E209,0),2),ROUND(K208+J209,2)),0)</f>
        <v>0</v>
      </c>
      <c r="J209" s="24">
        <f>IF(K208&gt;0,ROUND(ROUND(K208*100,0)*ROUND(I$7*10000,0)/12000000,0)/100,0)</f>
        <v>0</v>
      </c>
      <c r="K209" s="24">
        <f>IF(K208&gt;0,ROUND(K208+J209-I209,2),0)</f>
        <v>0</v>
      </c>
      <c r="L209" s="24">
        <f>IF(N208&gt;0,MIN(ROUND(L$6+IF(L$5=$C209,$E$5+$E209,0),2),ROUND(N208+M209,2)),0)</f>
        <v>0</v>
      </c>
      <c r="M209" s="24">
        <f>IF(N208&gt;0,ROUND(ROUND(N208*100,0)*ROUND(L$7*10000,0)/12000000,0)/100,0)</f>
        <v>0</v>
      </c>
      <c r="N209" s="24">
        <f>IF(N208&gt;0,ROUND(N208+M209-L209,2),0)</f>
        <v>0</v>
      </c>
      <c r="O209" s="24">
        <f>IF(Q208&gt;0,MIN(ROUND(O$6+IF(O$5=$C209,$E$5+$E209,0),2),ROUND(Q208+P209,2)),0)</f>
        <v>0</v>
      </c>
      <c r="P209" s="24">
        <f>IF(Q208&gt;0,ROUND(ROUND(Q208*100,0)*ROUND(O$7*10000,0)/12000000,0)/100,0)</f>
        <v>0</v>
      </c>
      <c r="Q209" s="24">
        <f>IF(Q208&gt;0,ROUND(Q208+P209-O209,2),0)</f>
        <v>0</v>
      </c>
      <c r="R209" s="24">
        <f>IF(T208&gt;0,MIN(ROUND(R$6+IF(R$5=$C209,$E$5+$E209,0),2),ROUND(T208+S209,2)),0)</f>
        <v>0</v>
      </c>
      <c r="S209" s="24">
        <f>IF(T208&gt;0,ROUND(ROUND(T208*100,0)*ROUND(R$7*10000,0)/12000000,0)/100,0)</f>
        <v>0</v>
      </c>
      <c r="T209" s="24">
        <f>IF(T208&gt;0,ROUND(T208+S209-R209,2),0)</f>
        <v>0</v>
      </c>
      <c r="U209" s="24">
        <f>IF(W208&gt;0,MIN(ROUND(U$6+IF(U$5=$C209,$E$5+$E209,0),2),ROUND(W208+V209,2)),0)</f>
        <v>0</v>
      </c>
      <c r="V209" s="24">
        <f>IF(W208&gt;0,ROUND(ROUND(W208*100,0)*ROUND(U$7*10000,0)/12000000,0)/100,0)</f>
        <v>0</v>
      </c>
      <c r="W209" s="24">
        <f>IF(W208&gt;0,ROUND(W208+V209-U209,2),0)</f>
        <v>0</v>
      </c>
      <c r="X209" s="24">
        <f>IF(Z208&gt;0,MIN(ROUND(X$6+IF(X$5=$C209,$E$5+$E209,0),2),ROUND(Z208+Y209,2)),0)</f>
        <v>0</v>
      </c>
      <c r="Y209" s="24">
        <f>IF(Z208&gt;0,ROUND(ROUND(Z208*100,0)*ROUND(X$7*10000,0)/12000000,0)/100,0)</f>
        <v>0</v>
      </c>
      <c r="Z209" s="24">
        <f>IF(Z208&gt;0,ROUND(Z208+Y209-X209,2),0)</f>
        <v>0</v>
      </c>
      <c r="AA209" s="24">
        <f>IF(AC208&gt;0,MIN(ROUND(AA$6+IF(AA$5=$C209,$E$5+$E209,0),2),ROUND(AC208+AB209,2)),0)</f>
        <v>0</v>
      </c>
      <c r="AB209" s="24">
        <f>IF(AC208&gt;0,ROUND(ROUND(AC208*100,0)*ROUND(AA$7*10000,0)/12000000,0)/100,0)</f>
        <v>0</v>
      </c>
      <c r="AC209" s="24">
        <f>IF(AC208&gt;0,ROUND(AC208+AB209-AA209,2),0)</f>
        <v>0</v>
      </c>
      <c r="AD209" s="24">
        <f>IF(AF208&gt;0,MIN(ROUND(AD$6+IF(AD$5=$C209,$E$5+$E209,0),2),ROUND(AF208+AE209,2)),0)</f>
        <v>0</v>
      </c>
      <c r="AE209" s="24">
        <f>IF(AF208&gt;0,ROUND(ROUND(AF208*100,0)*ROUND(AD$7*10000,0)/12000000,0)/100,0)</f>
        <v>0</v>
      </c>
      <c r="AF209" s="24">
        <f>IF(AF208&gt;0,ROUND(AF208+AE209-AD209,2),0)</f>
        <v>0</v>
      </c>
      <c r="AG209" s="24">
        <f>IF(AI208&gt;0,MIN(ROUND(AG$6+IF(AG$5=$C209,$E$5+$E209,0),2),ROUND(AI208+AH209,2)),0)</f>
        <v>0</v>
      </c>
      <c r="AH209" s="24">
        <f>IF(AI208&gt;0,ROUND(ROUND(AI208*100,0)*ROUND(AG$7*10000,0)/12000000,0)/100,0)</f>
        <v>0</v>
      </c>
      <c r="AI209" s="24">
        <f>IF(AI208&gt;0,ROUND(AI208+AH209-AG209,2),0)</f>
        <v>0</v>
      </c>
      <c r="AJ209" s="24">
        <f>IF(AL208&gt;0,MIN(ROUND(AJ$6+IF(AJ$5=$C209,$E$5+$E209,0),2),ROUND(AL208+AK209,2)),0)</f>
        <v>0</v>
      </c>
      <c r="AK209" s="24">
        <f>IF(AL208&gt;0,ROUND(ROUND(AL208*100,0)*ROUND(AJ$7*10000,0)/12000000,0)/100,0)</f>
        <v>0</v>
      </c>
      <c r="AL209" s="24">
        <f>IF(AL208&gt;0,ROUND(AL208+AK209-AJ209,2),0)</f>
        <v>0</v>
      </c>
    </row>
    <row r="210" spans="1:38" x14ac:dyDescent="0.25">
      <c r="A210" s="17" t="str">
        <f>IF(F210&gt;0,200,"")</f>
        <v/>
      </c>
      <c r="B210" s="18" t="str">
        <f>IF(F210&gt;0,EDATE($E$6,200),"")</f>
        <v/>
      </c>
      <c r="C210" s="21">
        <f>IF(H209&gt;0,MIN(IF(K209&gt;0,I$5,99),IF(N209&gt;0,L$5,99),IF(Q209&gt;0,O$5,99),IF(T209&gt;0,R$5,99),IF(W209&gt;0,U$5,99),IF(Z209&gt;0,X$5,99),IF(AC209&gt;0,AA$5,99),IF(AF209&gt;0,AD$5,99),IF(AI209&gt;0,AG$5,99),IF(AL209&gt;0,AJ$5,99)),0)</f>
        <v>0</v>
      </c>
      <c r="D210" t="str">
        <f>IF(C210&gt;0,INDEX($I$4:$AL$4,1,MATCH(C210,$I$5:$AL$5,0)),"")</f>
        <v/>
      </c>
      <c r="E210" s="24">
        <f>ROUND(IF(AND(I$8&gt;0,K209=0),I$6,0)+IF(AND(L$8&gt;0,N209=0),L$6,0)+IF(AND(O$8&gt;0,Q209=0),O$6,0)+IF(AND(R$8&gt;0,T209=0),R$6,0)+IF(AND(U$8&gt;0,W209=0),U$6,0)+IF(AND(X$8&gt;0,Z209=0),X$6,0)+IF(AND(AA$8&gt;0,AC209=0),AA$6,0)+IF(AND(AD$8&gt;0,AF209=0),AD$6,0)+IF(AND(AG$8&gt;0,AI209=0),AG$6,0)+IF(AND(AJ$8&gt;0,AL209=0),AJ$6,0),2)</f>
        <v>330</v>
      </c>
      <c r="F210" s="24">
        <f>ROUND(I210+L210+O210+R210+U210+X210+AA210+AD210+AG210+AJ210,2)</f>
        <v>0</v>
      </c>
      <c r="G210" s="24">
        <f>ROUND(J210+M210+P210+S210+V210+Y210+AB210+AE210+AH210+AK210,2)</f>
        <v>0</v>
      </c>
      <c r="H210" s="24">
        <f>ROUND(K210+N210+Q210+T210+W210+Z210+AC210+AF210+AI210+AL210,2)</f>
        <v>0</v>
      </c>
      <c r="I210" s="24">
        <f>IF(K209&gt;0,MIN(ROUND(I$6+IF(I$5=$C210,$E$5+$E210,0),2),ROUND(K209+J210,2)),0)</f>
        <v>0</v>
      </c>
      <c r="J210" s="24">
        <f>IF(K209&gt;0,ROUND(ROUND(K209*100,0)*ROUND(I$7*10000,0)/12000000,0)/100,0)</f>
        <v>0</v>
      </c>
      <c r="K210" s="24">
        <f>IF(K209&gt;0,ROUND(K209+J210-I210,2),0)</f>
        <v>0</v>
      </c>
      <c r="L210" s="24">
        <f>IF(N209&gt;0,MIN(ROUND(L$6+IF(L$5=$C210,$E$5+$E210,0),2),ROUND(N209+M210,2)),0)</f>
        <v>0</v>
      </c>
      <c r="M210" s="24">
        <f>IF(N209&gt;0,ROUND(ROUND(N209*100,0)*ROUND(L$7*10000,0)/12000000,0)/100,0)</f>
        <v>0</v>
      </c>
      <c r="N210" s="24">
        <f>IF(N209&gt;0,ROUND(N209+M210-L210,2),0)</f>
        <v>0</v>
      </c>
      <c r="O210" s="24">
        <f>IF(Q209&gt;0,MIN(ROUND(O$6+IF(O$5=$C210,$E$5+$E210,0),2),ROUND(Q209+P210,2)),0)</f>
        <v>0</v>
      </c>
      <c r="P210" s="24">
        <f>IF(Q209&gt;0,ROUND(ROUND(Q209*100,0)*ROUND(O$7*10000,0)/12000000,0)/100,0)</f>
        <v>0</v>
      </c>
      <c r="Q210" s="24">
        <f>IF(Q209&gt;0,ROUND(Q209+P210-O210,2),0)</f>
        <v>0</v>
      </c>
      <c r="R210" s="24">
        <f>IF(T209&gt;0,MIN(ROUND(R$6+IF(R$5=$C210,$E$5+$E210,0),2),ROUND(T209+S210,2)),0)</f>
        <v>0</v>
      </c>
      <c r="S210" s="24">
        <f>IF(T209&gt;0,ROUND(ROUND(T209*100,0)*ROUND(R$7*10000,0)/12000000,0)/100,0)</f>
        <v>0</v>
      </c>
      <c r="T210" s="24">
        <f>IF(T209&gt;0,ROUND(T209+S210-R210,2),0)</f>
        <v>0</v>
      </c>
      <c r="U210" s="24">
        <f>IF(W209&gt;0,MIN(ROUND(U$6+IF(U$5=$C210,$E$5+$E210,0),2),ROUND(W209+V210,2)),0)</f>
        <v>0</v>
      </c>
      <c r="V210" s="24">
        <f>IF(W209&gt;0,ROUND(ROUND(W209*100,0)*ROUND(U$7*10000,0)/12000000,0)/100,0)</f>
        <v>0</v>
      </c>
      <c r="W210" s="24">
        <f>IF(W209&gt;0,ROUND(W209+V210-U210,2),0)</f>
        <v>0</v>
      </c>
      <c r="X210" s="24">
        <f>IF(Z209&gt;0,MIN(ROUND(X$6+IF(X$5=$C210,$E$5+$E210,0),2),ROUND(Z209+Y210,2)),0)</f>
        <v>0</v>
      </c>
      <c r="Y210" s="24">
        <f>IF(Z209&gt;0,ROUND(ROUND(Z209*100,0)*ROUND(X$7*10000,0)/12000000,0)/100,0)</f>
        <v>0</v>
      </c>
      <c r="Z210" s="24">
        <f>IF(Z209&gt;0,ROUND(Z209+Y210-X210,2),0)</f>
        <v>0</v>
      </c>
      <c r="AA210" s="24">
        <f>IF(AC209&gt;0,MIN(ROUND(AA$6+IF(AA$5=$C210,$E$5+$E210,0),2),ROUND(AC209+AB210,2)),0)</f>
        <v>0</v>
      </c>
      <c r="AB210" s="24">
        <f>IF(AC209&gt;0,ROUND(ROUND(AC209*100,0)*ROUND(AA$7*10000,0)/12000000,0)/100,0)</f>
        <v>0</v>
      </c>
      <c r="AC210" s="24">
        <f>IF(AC209&gt;0,ROUND(AC209+AB210-AA210,2),0)</f>
        <v>0</v>
      </c>
      <c r="AD210" s="24">
        <f>IF(AF209&gt;0,MIN(ROUND(AD$6+IF(AD$5=$C210,$E$5+$E210,0),2),ROUND(AF209+AE210,2)),0)</f>
        <v>0</v>
      </c>
      <c r="AE210" s="24">
        <f>IF(AF209&gt;0,ROUND(ROUND(AF209*100,0)*ROUND(AD$7*10000,0)/12000000,0)/100,0)</f>
        <v>0</v>
      </c>
      <c r="AF210" s="24">
        <f>IF(AF209&gt;0,ROUND(AF209+AE210-AD210,2),0)</f>
        <v>0</v>
      </c>
      <c r="AG210" s="24">
        <f>IF(AI209&gt;0,MIN(ROUND(AG$6+IF(AG$5=$C210,$E$5+$E210,0),2),ROUND(AI209+AH210,2)),0)</f>
        <v>0</v>
      </c>
      <c r="AH210" s="24">
        <f>IF(AI209&gt;0,ROUND(ROUND(AI209*100,0)*ROUND(AG$7*10000,0)/12000000,0)/100,0)</f>
        <v>0</v>
      </c>
      <c r="AI210" s="24">
        <f>IF(AI209&gt;0,ROUND(AI209+AH210-AG210,2),0)</f>
        <v>0</v>
      </c>
      <c r="AJ210" s="24">
        <f>IF(AL209&gt;0,MIN(ROUND(AJ$6+IF(AJ$5=$C210,$E$5+$E210,0),2),ROUND(AL209+AK210,2)),0)</f>
        <v>0</v>
      </c>
      <c r="AK210" s="24">
        <f>IF(AL209&gt;0,ROUND(ROUND(AL209*100,0)*ROUND(AJ$7*10000,0)/12000000,0)/100,0)</f>
        <v>0</v>
      </c>
      <c r="AL210" s="24">
        <f>IF(AL209&gt;0,ROUND(AL209+AK210-AJ210,2),0)</f>
        <v>0</v>
      </c>
    </row>
    <row r="211" spans="1:38" x14ac:dyDescent="0.25">
      <c r="A211" s="17" t="str">
        <f>IF(F211&gt;0,201,"")</f>
        <v/>
      </c>
      <c r="B211" s="18" t="str">
        <f>IF(F211&gt;0,EDATE($E$6,201),"")</f>
        <v/>
      </c>
      <c r="C211" s="21">
        <f>IF(H210&gt;0,MIN(IF(K210&gt;0,I$5,99),IF(N210&gt;0,L$5,99),IF(Q210&gt;0,O$5,99),IF(T210&gt;0,R$5,99),IF(W210&gt;0,U$5,99),IF(Z210&gt;0,X$5,99),IF(AC210&gt;0,AA$5,99),IF(AF210&gt;0,AD$5,99),IF(AI210&gt;0,AG$5,99),IF(AL210&gt;0,AJ$5,99)),0)</f>
        <v>0</v>
      </c>
      <c r="D211" t="str">
        <f>IF(C211&gt;0,INDEX($I$4:$AL$4,1,MATCH(C211,$I$5:$AL$5,0)),"")</f>
        <v/>
      </c>
      <c r="E211" s="24">
        <f>ROUND(IF(AND(I$8&gt;0,K210=0),I$6,0)+IF(AND(L$8&gt;0,N210=0),L$6,0)+IF(AND(O$8&gt;0,Q210=0),O$6,0)+IF(AND(R$8&gt;0,T210=0),R$6,0)+IF(AND(U$8&gt;0,W210=0),U$6,0)+IF(AND(X$8&gt;0,Z210=0),X$6,0)+IF(AND(AA$8&gt;0,AC210=0),AA$6,0)+IF(AND(AD$8&gt;0,AF210=0),AD$6,0)+IF(AND(AG$8&gt;0,AI210=0),AG$6,0)+IF(AND(AJ$8&gt;0,AL210=0),AJ$6,0),2)</f>
        <v>330</v>
      </c>
      <c r="F211" s="24">
        <f>ROUND(I211+L211+O211+R211+U211+X211+AA211+AD211+AG211+AJ211,2)</f>
        <v>0</v>
      </c>
      <c r="G211" s="24">
        <f>ROUND(J211+M211+P211+S211+V211+Y211+AB211+AE211+AH211+AK211,2)</f>
        <v>0</v>
      </c>
      <c r="H211" s="24">
        <f>ROUND(K211+N211+Q211+T211+W211+Z211+AC211+AF211+AI211+AL211,2)</f>
        <v>0</v>
      </c>
      <c r="I211" s="24">
        <f>IF(K210&gt;0,MIN(ROUND(I$6+IF(I$5=$C211,$E$5+$E211,0),2),ROUND(K210+J211,2)),0)</f>
        <v>0</v>
      </c>
      <c r="J211" s="24">
        <f>IF(K210&gt;0,ROUND(ROUND(K210*100,0)*ROUND(I$7*10000,0)/12000000,0)/100,0)</f>
        <v>0</v>
      </c>
      <c r="K211" s="24">
        <f>IF(K210&gt;0,ROUND(K210+J211-I211,2),0)</f>
        <v>0</v>
      </c>
      <c r="L211" s="24">
        <f>IF(N210&gt;0,MIN(ROUND(L$6+IF(L$5=$C211,$E$5+$E211,0),2),ROUND(N210+M211,2)),0)</f>
        <v>0</v>
      </c>
      <c r="M211" s="24">
        <f>IF(N210&gt;0,ROUND(ROUND(N210*100,0)*ROUND(L$7*10000,0)/12000000,0)/100,0)</f>
        <v>0</v>
      </c>
      <c r="N211" s="24">
        <f>IF(N210&gt;0,ROUND(N210+M211-L211,2),0)</f>
        <v>0</v>
      </c>
      <c r="O211" s="24">
        <f>IF(Q210&gt;0,MIN(ROUND(O$6+IF(O$5=$C211,$E$5+$E211,0),2),ROUND(Q210+P211,2)),0)</f>
        <v>0</v>
      </c>
      <c r="P211" s="24">
        <f>IF(Q210&gt;0,ROUND(ROUND(Q210*100,0)*ROUND(O$7*10000,0)/12000000,0)/100,0)</f>
        <v>0</v>
      </c>
      <c r="Q211" s="24">
        <f>IF(Q210&gt;0,ROUND(Q210+P211-O211,2),0)</f>
        <v>0</v>
      </c>
      <c r="R211" s="24">
        <f>IF(T210&gt;0,MIN(ROUND(R$6+IF(R$5=$C211,$E$5+$E211,0),2),ROUND(T210+S211,2)),0)</f>
        <v>0</v>
      </c>
      <c r="S211" s="24">
        <f>IF(T210&gt;0,ROUND(ROUND(T210*100,0)*ROUND(R$7*10000,0)/12000000,0)/100,0)</f>
        <v>0</v>
      </c>
      <c r="T211" s="24">
        <f>IF(T210&gt;0,ROUND(T210+S211-R211,2),0)</f>
        <v>0</v>
      </c>
      <c r="U211" s="24">
        <f>IF(W210&gt;0,MIN(ROUND(U$6+IF(U$5=$C211,$E$5+$E211,0),2),ROUND(W210+V211,2)),0)</f>
        <v>0</v>
      </c>
      <c r="V211" s="24">
        <f>IF(W210&gt;0,ROUND(ROUND(W210*100,0)*ROUND(U$7*10000,0)/12000000,0)/100,0)</f>
        <v>0</v>
      </c>
      <c r="W211" s="24">
        <f>IF(W210&gt;0,ROUND(W210+V211-U211,2),0)</f>
        <v>0</v>
      </c>
      <c r="X211" s="24">
        <f>IF(Z210&gt;0,MIN(ROUND(X$6+IF(X$5=$C211,$E$5+$E211,0),2),ROUND(Z210+Y211,2)),0)</f>
        <v>0</v>
      </c>
      <c r="Y211" s="24">
        <f>IF(Z210&gt;0,ROUND(ROUND(Z210*100,0)*ROUND(X$7*10000,0)/12000000,0)/100,0)</f>
        <v>0</v>
      </c>
      <c r="Z211" s="24">
        <f>IF(Z210&gt;0,ROUND(Z210+Y211-X211,2),0)</f>
        <v>0</v>
      </c>
      <c r="AA211" s="24">
        <f>IF(AC210&gt;0,MIN(ROUND(AA$6+IF(AA$5=$C211,$E$5+$E211,0),2),ROUND(AC210+AB211,2)),0)</f>
        <v>0</v>
      </c>
      <c r="AB211" s="24">
        <f>IF(AC210&gt;0,ROUND(ROUND(AC210*100,0)*ROUND(AA$7*10000,0)/12000000,0)/100,0)</f>
        <v>0</v>
      </c>
      <c r="AC211" s="24">
        <f>IF(AC210&gt;0,ROUND(AC210+AB211-AA211,2),0)</f>
        <v>0</v>
      </c>
      <c r="AD211" s="24">
        <f>IF(AF210&gt;0,MIN(ROUND(AD$6+IF(AD$5=$C211,$E$5+$E211,0),2),ROUND(AF210+AE211,2)),0)</f>
        <v>0</v>
      </c>
      <c r="AE211" s="24">
        <f>IF(AF210&gt;0,ROUND(ROUND(AF210*100,0)*ROUND(AD$7*10000,0)/12000000,0)/100,0)</f>
        <v>0</v>
      </c>
      <c r="AF211" s="24">
        <f>IF(AF210&gt;0,ROUND(AF210+AE211-AD211,2),0)</f>
        <v>0</v>
      </c>
      <c r="AG211" s="24">
        <f>IF(AI210&gt;0,MIN(ROUND(AG$6+IF(AG$5=$C211,$E$5+$E211,0),2),ROUND(AI210+AH211,2)),0)</f>
        <v>0</v>
      </c>
      <c r="AH211" s="24">
        <f>IF(AI210&gt;0,ROUND(ROUND(AI210*100,0)*ROUND(AG$7*10000,0)/12000000,0)/100,0)</f>
        <v>0</v>
      </c>
      <c r="AI211" s="24">
        <f>IF(AI210&gt;0,ROUND(AI210+AH211-AG211,2),0)</f>
        <v>0</v>
      </c>
      <c r="AJ211" s="24">
        <f>IF(AL210&gt;0,MIN(ROUND(AJ$6+IF(AJ$5=$C211,$E$5+$E211,0),2),ROUND(AL210+AK211,2)),0)</f>
        <v>0</v>
      </c>
      <c r="AK211" s="24">
        <f>IF(AL210&gt;0,ROUND(ROUND(AL210*100,0)*ROUND(AJ$7*10000,0)/12000000,0)/100,0)</f>
        <v>0</v>
      </c>
      <c r="AL211" s="24">
        <f>IF(AL210&gt;0,ROUND(AL210+AK211-AJ211,2),0)</f>
        <v>0</v>
      </c>
    </row>
    <row r="212" spans="1:38" x14ac:dyDescent="0.25">
      <c r="A212" s="17" t="str">
        <f>IF(F212&gt;0,202,"")</f>
        <v/>
      </c>
      <c r="B212" s="18" t="str">
        <f>IF(F212&gt;0,EDATE($E$6,202),"")</f>
        <v/>
      </c>
      <c r="C212" s="21">
        <f>IF(H211&gt;0,MIN(IF(K211&gt;0,I$5,99),IF(N211&gt;0,L$5,99),IF(Q211&gt;0,O$5,99),IF(T211&gt;0,R$5,99),IF(W211&gt;0,U$5,99),IF(Z211&gt;0,X$5,99),IF(AC211&gt;0,AA$5,99),IF(AF211&gt;0,AD$5,99),IF(AI211&gt;0,AG$5,99),IF(AL211&gt;0,AJ$5,99)),0)</f>
        <v>0</v>
      </c>
      <c r="D212" t="str">
        <f>IF(C212&gt;0,INDEX($I$4:$AL$4,1,MATCH(C212,$I$5:$AL$5,0)),"")</f>
        <v/>
      </c>
      <c r="E212" s="24">
        <f>ROUND(IF(AND(I$8&gt;0,K211=0),I$6,0)+IF(AND(L$8&gt;0,N211=0),L$6,0)+IF(AND(O$8&gt;0,Q211=0),O$6,0)+IF(AND(R$8&gt;0,T211=0),R$6,0)+IF(AND(U$8&gt;0,W211=0),U$6,0)+IF(AND(X$8&gt;0,Z211=0),X$6,0)+IF(AND(AA$8&gt;0,AC211=0),AA$6,0)+IF(AND(AD$8&gt;0,AF211=0),AD$6,0)+IF(AND(AG$8&gt;0,AI211=0),AG$6,0)+IF(AND(AJ$8&gt;0,AL211=0),AJ$6,0),2)</f>
        <v>330</v>
      </c>
      <c r="F212" s="24">
        <f>ROUND(I212+L212+O212+R212+U212+X212+AA212+AD212+AG212+AJ212,2)</f>
        <v>0</v>
      </c>
      <c r="G212" s="24">
        <f>ROUND(J212+M212+P212+S212+V212+Y212+AB212+AE212+AH212+AK212,2)</f>
        <v>0</v>
      </c>
      <c r="H212" s="24">
        <f>ROUND(K212+N212+Q212+T212+W212+Z212+AC212+AF212+AI212+AL212,2)</f>
        <v>0</v>
      </c>
      <c r="I212" s="24">
        <f>IF(K211&gt;0,MIN(ROUND(I$6+IF(I$5=$C212,$E$5+$E212,0),2),ROUND(K211+J212,2)),0)</f>
        <v>0</v>
      </c>
      <c r="J212" s="24">
        <f>IF(K211&gt;0,ROUND(ROUND(K211*100,0)*ROUND(I$7*10000,0)/12000000,0)/100,0)</f>
        <v>0</v>
      </c>
      <c r="K212" s="24">
        <f>IF(K211&gt;0,ROUND(K211+J212-I212,2),0)</f>
        <v>0</v>
      </c>
      <c r="L212" s="24">
        <f>IF(N211&gt;0,MIN(ROUND(L$6+IF(L$5=$C212,$E$5+$E212,0),2),ROUND(N211+M212,2)),0)</f>
        <v>0</v>
      </c>
      <c r="M212" s="24">
        <f>IF(N211&gt;0,ROUND(ROUND(N211*100,0)*ROUND(L$7*10000,0)/12000000,0)/100,0)</f>
        <v>0</v>
      </c>
      <c r="N212" s="24">
        <f>IF(N211&gt;0,ROUND(N211+M212-L212,2),0)</f>
        <v>0</v>
      </c>
      <c r="O212" s="24">
        <f>IF(Q211&gt;0,MIN(ROUND(O$6+IF(O$5=$C212,$E$5+$E212,0),2),ROUND(Q211+P212,2)),0)</f>
        <v>0</v>
      </c>
      <c r="P212" s="24">
        <f>IF(Q211&gt;0,ROUND(ROUND(Q211*100,0)*ROUND(O$7*10000,0)/12000000,0)/100,0)</f>
        <v>0</v>
      </c>
      <c r="Q212" s="24">
        <f>IF(Q211&gt;0,ROUND(Q211+P212-O212,2),0)</f>
        <v>0</v>
      </c>
      <c r="R212" s="24">
        <f>IF(T211&gt;0,MIN(ROUND(R$6+IF(R$5=$C212,$E$5+$E212,0),2),ROUND(T211+S212,2)),0)</f>
        <v>0</v>
      </c>
      <c r="S212" s="24">
        <f>IF(T211&gt;0,ROUND(ROUND(T211*100,0)*ROUND(R$7*10000,0)/12000000,0)/100,0)</f>
        <v>0</v>
      </c>
      <c r="T212" s="24">
        <f>IF(T211&gt;0,ROUND(T211+S212-R212,2),0)</f>
        <v>0</v>
      </c>
      <c r="U212" s="24">
        <f>IF(W211&gt;0,MIN(ROUND(U$6+IF(U$5=$C212,$E$5+$E212,0),2),ROUND(W211+V212,2)),0)</f>
        <v>0</v>
      </c>
      <c r="V212" s="24">
        <f>IF(W211&gt;0,ROUND(ROUND(W211*100,0)*ROUND(U$7*10000,0)/12000000,0)/100,0)</f>
        <v>0</v>
      </c>
      <c r="W212" s="24">
        <f>IF(W211&gt;0,ROUND(W211+V212-U212,2),0)</f>
        <v>0</v>
      </c>
      <c r="X212" s="24">
        <f>IF(Z211&gt;0,MIN(ROUND(X$6+IF(X$5=$C212,$E$5+$E212,0),2),ROUND(Z211+Y212,2)),0)</f>
        <v>0</v>
      </c>
      <c r="Y212" s="24">
        <f>IF(Z211&gt;0,ROUND(ROUND(Z211*100,0)*ROUND(X$7*10000,0)/12000000,0)/100,0)</f>
        <v>0</v>
      </c>
      <c r="Z212" s="24">
        <f>IF(Z211&gt;0,ROUND(Z211+Y212-X212,2),0)</f>
        <v>0</v>
      </c>
      <c r="AA212" s="24">
        <f>IF(AC211&gt;0,MIN(ROUND(AA$6+IF(AA$5=$C212,$E$5+$E212,0),2),ROUND(AC211+AB212,2)),0)</f>
        <v>0</v>
      </c>
      <c r="AB212" s="24">
        <f>IF(AC211&gt;0,ROUND(ROUND(AC211*100,0)*ROUND(AA$7*10000,0)/12000000,0)/100,0)</f>
        <v>0</v>
      </c>
      <c r="AC212" s="24">
        <f>IF(AC211&gt;0,ROUND(AC211+AB212-AA212,2),0)</f>
        <v>0</v>
      </c>
      <c r="AD212" s="24">
        <f>IF(AF211&gt;0,MIN(ROUND(AD$6+IF(AD$5=$C212,$E$5+$E212,0),2),ROUND(AF211+AE212,2)),0)</f>
        <v>0</v>
      </c>
      <c r="AE212" s="24">
        <f>IF(AF211&gt;0,ROUND(ROUND(AF211*100,0)*ROUND(AD$7*10000,0)/12000000,0)/100,0)</f>
        <v>0</v>
      </c>
      <c r="AF212" s="24">
        <f>IF(AF211&gt;0,ROUND(AF211+AE212-AD212,2),0)</f>
        <v>0</v>
      </c>
      <c r="AG212" s="24">
        <f>IF(AI211&gt;0,MIN(ROUND(AG$6+IF(AG$5=$C212,$E$5+$E212,0),2),ROUND(AI211+AH212,2)),0)</f>
        <v>0</v>
      </c>
      <c r="AH212" s="24">
        <f>IF(AI211&gt;0,ROUND(ROUND(AI211*100,0)*ROUND(AG$7*10000,0)/12000000,0)/100,0)</f>
        <v>0</v>
      </c>
      <c r="AI212" s="24">
        <f>IF(AI211&gt;0,ROUND(AI211+AH212-AG212,2),0)</f>
        <v>0</v>
      </c>
      <c r="AJ212" s="24">
        <f>IF(AL211&gt;0,MIN(ROUND(AJ$6+IF(AJ$5=$C212,$E$5+$E212,0),2),ROUND(AL211+AK212,2)),0)</f>
        <v>0</v>
      </c>
      <c r="AK212" s="24">
        <f>IF(AL211&gt;0,ROUND(ROUND(AL211*100,0)*ROUND(AJ$7*10000,0)/12000000,0)/100,0)</f>
        <v>0</v>
      </c>
      <c r="AL212" s="24">
        <f>IF(AL211&gt;0,ROUND(AL211+AK212-AJ212,2),0)</f>
        <v>0</v>
      </c>
    </row>
    <row r="213" spans="1:38" x14ac:dyDescent="0.25">
      <c r="A213" s="17" t="str">
        <f>IF(F213&gt;0,203,"")</f>
        <v/>
      </c>
      <c r="B213" s="18" t="str">
        <f>IF(F213&gt;0,EDATE($E$6,203),"")</f>
        <v/>
      </c>
      <c r="C213" s="21">
        <f>IF(H212&gt;0,MIN(IF(K212&gt;0,I$5,99),IF(N212&gt;0,L$5,99),IF(Q212&gt;0,O$5,99),IF(T212&gt;0,R$5,99),IF(W212&gt;0,U$5,99),IF(Z212&gt;0,X$5,99),IF(AC212&gt;0,AA$5,99),IF(AF212&gt;0,AD$5,99),IF(AI212&gt;0,AG$5,99),IF(AL212&gt;0,AJ$5,99)),0)</f>
        <v>0</v>
      </c>
      <c r="D213" t="str">
        <f>IF(C213&gt;0,INDEX($I$4:$AL$4,1,MATCH(C213,$I$5:$AL$5,0)),"")</f>
        <v/>
      </c>
      <c r="E213" s="24">
        <f>ROUND(IF(AND(I$8&gt;0,K212=0),I$6,0)+IF(AND(L$8&gt;0,N212=0),L$6,0)+IF(AND(O$8&gt;0,Q212=0),O$6,0)+IF(AND(R$8&gt;0,T212=0),R$6,0)+IF(AND(U$8&gt;0,W212=0),U$6,0)+IF(AND(X$8&gt;0,Z212=0),X$6,0)+IF(AND(AA$8&gt;0,AC212=0),AA$6,0)+IF(AND(AD$8&gt;0,AF212=0),AD$6,0)+IF(AND(AG$8&gt;0,AI212=0),AG$6,0)+IF(AND(AJ$8&gt;0,AL212=0),AJ$6,0),2)</f>
        <v>330</v>
      </c>
      <c r="F213" s="24">
        <f>ROUND(I213+L213+O213+R213+U213+X213+AA213+AD213+AG213+AJ213,2)</f>
        <v>0</v>
      </c>
      <c r="G213" s="24">
        <f>ROUND(J213+M213+P213+S213+V213+Y213+AB213+AE213+AH213+AK213,2)</f>
        <v>0</v>
      </c>
      <c r="H213" s="24">
        <f>ROUND(K213+N213+Q213+T213+W213+Z213+AC213+AF213+AI213+AL213,2)</f>
        <v>0</v>
      </c>
      <c r="I213" s="24">
        <f>IF(K212&gt;0,MIN(ROUND(I$6+IF(I$5=$C213,$E$5+$E213,0),2),ROUND(K212+J213,2)),0)</f>
        <v>0</v>
      </c>
      <c r="J213" s="24">
        <f>IF(K212&gt;0,ROUND(ROUND(K212*100,0)*ROUND(I$7*10000,0)/12000000,0)/100,0)</f>
        <v>0</v>
      </c>
      <c r="K213" s="24">
        <f>IF(K212&gt;0,ROUND(K212+J213-I213,2),0)</f>
        <v>0</v>
      </c>
      <c r="L213" s="24">
        <f>IF(N212&gt;0,MIN(ROUND(L$6+IF(L$5=$C213,$E$5+$E213,0),2),ROUND(N212+M213,2)),0)</f>
        <v>0</v>
      </c>
      <c r="M213" s="24">
        <f>IF(N212&gt;0,ROUND(ROUND(N212*100,0)*ROUND(L$7*10000,0)/12000000,0)/100,0)</f>
        <v>0</v>
      </c>
      <c r="N213" s="24">
        <f>IF(N212&gt;0,ROUND(N212+M213-L213,2),0)</f>
        <v>0</v>
      </c>
      <c r="O213" s="24">
        <f>IF(Q212&gt;0,MIN(ROUND(O$6+IF(O$5=$C213,$E$5+$E213,0),2),ROUND(Q212+P213,2)),0)</f>
        <v>0</v>
      </c>
      <c r="P213" s="24">
        <f>IF(Q212&gt;0,ROUND(ROUND(Q212*100,0)*ROUND(O$7*10000,0)/12000000,0)/100,0)</f>
        <v>0</v>
      </c>
      <c r="Q213" s="24">
        <f>IF(Q212&gt;0,ROUND(Q212+P213-O213,2),0)</f>
        <v>0</v>
      </c>
      <c r="R213" s="24">
        <f>IF(T212&gt;0,MIN(ROUND(R$6+IF(R$5=$C213,$E$5+$E213,0),2),ROUND(T212+S213,2)),0)</f>
        <v>0</v>
      </c>
      <c r="S213" s="24">
        <f>IF(T212&gt;0,ROUND(ROUND(T212*100,0)*ROUND(R$7*10000,0)/12000000,0)/100,0)</f>
        <v>0</v>
      </c>
      <c r="T213" s="24">
        <f>IF(T212&gt;0,ROUND(T212+S213-R213,2),0)</f>
        <v>0</v>
      </c>
      <c r="U213" s="24">
        <f>IF(W212&gt;0,MIN(ROUND(U$6+IF(U$5=$C213,$E$5+$E213,0),2),ROUND(W212+V213,2)),0)</f>
        <v>0</v>
      </c>
      <c r="V213" s="24">
        <f>IF(W212&gt;0,ROUND(ROUND(W212*100,0)*ROUND(U$7*10000,0)/12000000,0)/100,0)</f>
        <v>0</v>
      </c>
      <c r="W213" s="24">
        <f>IF(W212&gt;0,ROUND(W212+V213-U213,2),0)</f>
        <v>0</v>
      </c>
      <c r="X213" s="24">
        <f>IF(Z212&gt;0,MIN(ROUND(X$6+IF(X$5=$C213,$E$5+$E213,0),2),ROUND(Z212+Y213,2)),0)</f>
        <v>0</v>
      </c>
      <c r="Y213" s="24">
        <f>IF(Z212&gt;0,ROUND(ROUND(Z212*100,0)*ROUND(X$7*10000,0)/12000000,0)/100,0)</f>
        <v>0</v>
      </c>
      <c r="Z213" s="24">
        <f>IF(Z212&gt;0,ROUND(Z212+Y213-X213,2),0)</f>
        <v>0</v>
      </c>
      <c r="AA213" s="24">
        <f>IF(AC212&gt;0,MIN(ROUND(AA$6+IF(AA$5=$C213,$E$5+$E213,0),2),ROUND(AC212+AB213,2)),0)</f>
        <v>0</v>
      </c>
      <c r="AB213" s="24">
        <f>IF(AC212&gt;0,ROUND(ROUND(AC212*100,0)*ROUND(AA$7*10000,0)/12000000,0)/100,0)</f>
        <v>0</v>
      </c>
      <c r="AC213" s="24">
        <f>IF(AC212&gt;0,ROUND(AC212+AB213-AA213,2),0)</f>
        <v>0</v>
      </c>
      <c r="AD213" s="24">
        <f>IF(AF212&gt;0,MIN(ROUND(AD$6+IF(AD$5=$C213,$E$5+$E213,0),2),ROUND(AF212+AE213,2)),0)</f>
        <v>0</v>
      </c>
      <c r="AE213" s="24">
        <f>IF(AF212&gt;0,ROUND(ROUND(AF212*100,0)*ROUND(AD$7*10000,0)/12000000,0)/100,0)</f>
        <v>0</v>
      </c>
      <c r="AF213" s="24">
        <f>IF(AF212&gt;0,ROUND(AF212+AE213-AD213,2),0)</f>
        <v>0</v>
      </c>
      <c r="AG213" s="24">
        <f>IF(AI212&gt;0,MIN(ROUND(AG$6+IF(AG$5=$C213,$E$5+$E213,0),2),ROUND(AI212+AH213,2)),0)</f>
        <v>0</v>
      </c>
      <c r="AH213" s="24">
        <f>IF(AI212&gt;0,ROUND(ROUND(AI212*100,0)*ROUND(AG$7*10000,0)/12000000,0)/100,0)</f>
        <v>0</v>
      </c>
      <c r="AI213" s="24">
        <f>IF(AI212&gt;0,ROUND(AI212+AH213-AG213,2),0)</f>
        <v>0</v>
      </c>
      <c r="AJ213" s="24">
        <f>IF(AL212&gt;0,MIN(ROUND(AJ$6+IF(AJ$5=$C213,$E$5+$E213,0),2),ROUND(AL212+AK213,2)),0)</f>
        <v>0</v>
      </c>
      <c r="AK213" s="24">
        <f>IF(AL212&gt;0,ROUND(ROUND(AL212*100,0)*ROUND(AJ$7*10000,0)/12000000,0)/100,0)</f>
        <v>0</v>
      </c>
      <c r="AL213" s="24">
        <f>IF(AL212&gt;0,ROUND(AL212+AK213-AJ213,2),0)</f>
        <v>0</v>
      </c>
    </row>
    <row r="214" spans="1:38" x14ac:dyDescent="0.25">
      <c r="A214" s="17" t="str">
        <f>IF(F214&gt;0,204,"")</f>
        <v/>
      </c>
      <c r="B214" s="18" t="str">
        <f>IF(F214&gt;0,EDATE($E$6,204),"")</f>
        <v/>
      </c>
      <c r="C214" s="21">
        <f>IF(H213&gt;0,MIN(IF(K213&gt;0,I$5,99),IF(N213&gt;0,L$5,99),IF(Q213&gt;0,O$5,99),IF(T213&gt;0,R$5,99),IF(W213&gt;0,U$5,99),IF(Z213&gt;0,X$5,99),IF(AC213&gt;0,AA$5,99),IF(AF213&gt;0,AD$5,99),IF(AI213&gt;0,AG$5,99),IF(AL213&gt;0,AJ$5,99)),0)</f>
        <v>0</v>
      </c>
      <c r="D214" t="str">
        <f>IF(C214&gt;0,INDEX($I$4:$AL$4,1,MATCH(C214,$I$5:$AL$5,0)),"")</f>
        <v/>
      </c>
      <c r="E214" s="24">
        <f>ROUND(IF(AND(I$8&gt;0,K213=0),I$6,0)+IF(AND(L$8&gt;0,N213=0),L$6,0)+IF(AND(O$8&gt;0,Q213=0),O$6,0)+IF(AND(R$8&gt;0,T213=0),R$6,0)+IF(AND(U$8&gt;0,W213=0),U$6,0)+IF(AND(X$8&gt;0,Z213=0),X$6,0)+IF(AND(AA$8&gt;0,AC213=0),AA$6,0)+IF(AND(AD$8&gt;0,AF213=0),AD$6,0)+IF(AND(AG$8&gt;0,AI213=0),AG$6,0)+IF(AND(AJ$8&gt;0,AL213=0),AJ$6,0),2)</f>
        <v>330</v>
      </c>
      <c r="F214" s="24">
        <f>ROUND(I214+L214+O214+R214+U214+X214+AA214+AD214+AG214+AJ214,2)</f>
        <v>0</v>
      </c>
      <c r="G214" s="24">
        <f>ROUND(J214+M214+P214+S214+V214+Y214+AB214+AE214+AH214+AK214,2)</f>
        <v>0</v>
      </c>
      <c r="H214" s="24">
        <f>ROUND(K214+N214+Q214+T214+W214+Z214+AC214+AF214+AI214+AL214,2)</f>
        <v>0</v>
      </c>
      <c r="I214" s="24">
        <f>IF(K213&gt;0,MIN(ROUND(I$6+IF(I$5=$C214,$E$5+$E214,0),2),ROUND(K213+J214,2)),0)</f>
        <v>0</v>
      </c>
      <c r="J214" s="24">
        <f>IF(K213&gt;0,ROUND(ROUND(K213*100,0)*ROUND(I$7*10000,0)/12000000,0)/100,0)</f>
        <v>0</v>
      </c>
      <c r="K214" s="24">
        <f>IF(K213&gt;0,ROUND(K213+J214-I214,2),0)</f>
        <v>0</v>
      </c>
      <c r="L214" s="24">
        <f>IF(N213&gt;0,MIN(ROUND(L$6+IF(L$5=$C214,$E$5+$E214,0),2),ROUND(N213+M214,2)),0)</f>
        <v>0</v>
      </c>
      <c r="M214" s="24">
        <f>IF(N213&gt;0,ROUND(ROUND(N213*100,0)*ROUND(L$7*10000,0)/12000000,0)/100,0)</f>
        <v>0</v>
      </c>
      <c r="N214" s="24">
        <f>IF(N213&gt;0,ROUND(N213+M214-L214,2),0)</f>
        <v>0</v>
      </c>
      <c r="O214" s="24">
        <f>IF(Q213&gt;0,MIN(ROUND(O$6+IF(O$5=$C214,$E$5+$E214,0),2),ROUND(Q213+P214,2)),0)</f>
        <v>0</v>
      </c>
      <c r="P214" s="24">
        <f>IF(Q213&gt;0,ROUND(ROUND(Q213*100,0)*ROUND(O$7*10000,0)/12000000,0)/100,0)</f>
        <v>0</v>
      </c>
      <c r="Q214" s="24">
        <f>IF(Q213&gt;0,ROUND(Q213+P214-O214,2),0)</f>
        <v>0</v>
      </c>
      <c r="R214" s="24">
        <f>IF(T213&gt;0,MIN(ROUND(R$6+IF(R$5=$C214,$E$5+$E214,0),2),ROUND(T213+S214,2)),0)</f>
        <v>0</v>
      </c>
      <c r="S214" s="24">
        <f>IF(T213&gt;0,ROUND(ROUND(T213*100,0)*ROUND(R$7*10000,0)/12000000,0)/100,0)</f>
        <v>0</v>
      </c>
      <c r="T214" s="24">
        <f>IF(T213&gt;0,ROUND(T213+S214-R214,2),0)</f>
        <v>0</v>
      </c>
      <c r="U214" s="24">
        <f>IF(W213&gt;0,MIN(ROUND(U$6+IF(U$5=$C214,$E$5+$E214,0),2),ROUND(W213+V214,2)),0)</f>
        <v>0</v>
      </c>
      <c r="V214" s="24">
        <f>IF(W213&gt;0,ROUND(ROUND(W213*100,0)*ROUND(U$7*10000,0)/12000000,0)/100,0)</f>
        <v>0</v>
      </c>
      <c r="W214" s="24">
        <f>IF(W213&gt;0,ROUND(W213+V214-U214,2),0)</f>
        <v>0</v>
      </c>
      <c r="X214" s="24">
        <f>IF(Z213&gt;0,MIN(ROUND(X$6+IF(X$5=$C214,$E$5+$E214,0),2),ROUND(Z213+Y214,2)),0)</f>
        <v>0</v>
      </c>
      <c r="Y214" s="24">
        <f>IF(Z213&gt;0,ROUND(ROUND(Z213*100,0)*ROUND(X$7*10000,0)/12000000,0)/100,0)</f>
        <v>0</v>
      </c>
      <c r="Z214" s="24">
        <f>IF(Z213&gt;0,ROUND(Z213+Y214-X214,2),0)</f>
        <v>0</v>
      </c>
      <c r="AA214" s="24">
        <f>IF(AC213&gt;0,MIN(ROUND(AA$6+IF(AA$5=$C214,$E$5+$E214,0),2),ROUND(AC213+AB214,2)),0)</f>
        <v>0</v>
      </c>
      <c r="AB214" s="24">
        <f>IF(AC213&gt;0,ROUND(ROUND(AC213*100,0)*ROUND(AA$7*10000,0)/12000000,0)/100,0)</f>
        <v>0</v>
      </c>
      <c r="AC214" s="24">
        <f>IF(AC213&gt;0,ROUND(AC213+AB214-AA214,2),0)</f>
        <v>0</v>
      </c>
      <c r="AD214" s="24">
        <f>IF(AF213&gt;0,MIN(ROUND(AD$6+IF(AD$5=$C214,$E$5+$E214,0),2),ROUND(AF213+AE214,2)),0)</f>
        <v>0</v>
      </c>
      <c r="AE214" s="24">
        <f>IF(AF213&gt;0,ROUND(ROUND(AF213*100,0)*ROUND(AD$7*10000,0)/12000000,0)/100,0)</f>
        <v>0</v>
      </c>
      <c r="AF214" s="24">
        <f>IF(AF213&gt;0,ROUND(AF213+AE214-AD214,2),0)</f>
        <v>0</v>
      </c>
      <c r="AG214" s="24">
        <f>IF(AI213&gt;0,MIN(ROUND(AG$6+IF(AG$5=$C214,$E$5+$E214,0),2),ROUND(AI213+AH214,2)),0)</f>
        <v>0</v>
      </c>
      <c r="AH214" s="24">
        <f>IF(AI213&gt;0,ROUND(ROUND(AI213*100,0)*ROUND(AG$7*10000,0)/12000000,0)/100,0)</f>
        <v>0</v>
      </c>
      <c r="AI214" s="24">
        <f>IF(AI213&gt;0,ROUND(AI213+AH214-AG214,2),0)</f>
        <v>0</v>
      </c>
      <c r="AJ214" s="24">
        <f>IF(AL213&gt;0,MIN(ROUND(AJ$6+IF(AJ$5=$C214,$E$5+$E214,0),2),ROUND(AL213+AK214,2)),0)</f>
        <v>0</v>
      </c>
      <c r="AK214" s="24">
        <f>IF(AL213&gt;0,ROUND(ROUND(AL213*100,0)*ROUND(AJ$7*10000,0)/12000000,0)/100,0)</f>
        <v>0</v>
      </c>
      <c r="AL214" s="24">
        <f>IF(AL213&gt;0,ROUND(AL213+AK214-AJ214,2),0)</f>
        <v>0</v>
      </c>
    </row>
    <row r="215" spans="1:38" x14ac:dyDescent="0.25">
      <c r="A215" s="17" t="str">
        <f>IF(F215&gt;0,205,"")</f>
        <v/>
      </c>
      <c r="B215" s="18" t="str">
        <f>IF(F215&gt;0,EDATE($E$6,205),"")</f>
        <v/>
      </c>
      <c r="C215" s="21">
        <f>IF(H214&gt;0,MIN(IF(K214&gt;0,I$5,99),IF(N214&gt;0,L$5,99),IF(Q214&gt;0,O$5,99),IF(T214&gt;0,R$5,99),IF(W214&gt;0,U$5,99),IF(Z214&gt;0,X$5,99),IF(AC214&gt;0,AA$5,99),IF(AF214&gt;0,AD$5,99),IF(AI214&gt;0,AG$5,99),IF(AL214&gt;0,AJ$5,99)),0)</f>
        <v>0</v>
      </c>
      <c r="D215" t="str">
        <f>IF(C215&gt;0,INDEX($I$4:$AL$4,1,MATCH(C215,$I$5:$AL$5,0)),"")</f>
        <v/>
      </c>
      <c r="E215" s="24">
        <f>ROUND(IF(AND(I$8&gt;0,K214=0),I$6,0)+IF(AND(L$8&gt;0,N214=0),L$6,0)+IF(AND(O$8&gt;0,Q214=0),O$6,0)+IF(AND(R$8&gt;0,T214=0),R$6,0)+IF(AND(U$8&gt;0,W214=0),U$6,0)+IF(AND(X$8&gt;0,Z214=0),X$6,0)+IF(AND(AA$8&gt;0,AC214=0),AA$6,0)+IF(AND(AD$8&gt;0,AF214=0),AD$6,0)+IF(AND(AG$8&gt;0,AI214=0),AG$6,0)+IF(AND(AJ$8&gt;0,AL214=0),AJ$6,0),2)</f>
        <v>330</v>
      </c>
      <c r="F215" s="24">
        <f>ROUND(I215+L215+O215+R215+U215+X215+AA215+AD215+AG215+AJ215,2)</f>
        <v>0</v>
      </c>
      <c r="G215" s="24">
        <f>ROUND(J215+M215+P215+S215+V215+Y215+AB215+AE215+AH215+AK215,2)</f>
        <v>0</v>
      </c>
      <c r="H215" s="24">
        <f>ROUND(K215+N215+Q215+T215+W215+Z215+AC215+AF215+AI215+AL215,2)</f>
        <v>0</v>
      </c>
      <c r="I215" s="24">
        <f>IF(K214&gt;0,MIN(ROUND(I$6+IF(I$5=$C215,$E$5+$E215,0),2),ROUND(K214+J215,2)),0)</f>
        <v>0</v>
      </c>
      <c r="J215" s="24">
        <f>IF(K214&gt;0,ROUND(ROUND(K214*100,0)*ROUND(I$7*10000,0)/12000000,0)/100,0)</f>
        <v>0</v>
      </c>
      <c r="K215" s="24">
        <f>IF(K214&gt;0,ROUND(K214+J215-I215,2),0)</f>
        <v>0</v>
      </c>
      <c r="L215" s="24">
        <f>IF(N214&gt;0,MIN(ROUND(L$6+IF(L$5=$C215,$E$5+$E215,0),2),ROUND(N214+M215,2)),0)</f>
        <v>0</v>
      </c>
      <c r="M215" s="24">
        <f>IF(N214&gt;0,ROUND(ROUND(N214*100,0)*ROUND(L$7*10000,0)/12000000,0)/100,0)</f>
        <v>0</v>
      </c>
      <c r="N215" s="24">
        <f>IF(N214&gt;0,ROUND(N214+M215-L215,2),0)</f>
        <v>0</v>
      </c>
      <c r="O215" s="24">
        <f>IF(Q214&gt;0,MIN(ROUND(O$6+IF(O$5=$C215,$E$5+$E215,0),2),ROUND(Q214+P215,2)),0)</f>
        <v>0</v>
      </c>
      <c r="P215" s="24">
        <f>IF(Q214&gt;0,ROUND(ROUND(Q214*100,0)*ROUND(O$7*10000,0)/12000000,0)/100,0)</f>
        <v>0</v>
      </c>
      <c r="Q215" s="24">
        <f>IF(Q214&gt;0,ROUND(Q214+P215-O215,2),0)</f>
        <v>0</v>
      </c>
      <c r="R215" s="24">
        <f>IF(T214&gt;0,MIN(ROUND(R$6+IF(R$5=$C215,$E$5+$E215,0),2),ROUND(T214+S215,2)),0)</f>
        <v>0</v>
      </c>
      <c r="S215" s="24">
        <f>IF(T214&gt;0,ROUND(ROUND(T214*100,0)*ROUND(R$7*10000,0)/12000000,0)/100,0)</f>
        <v>0</v>
      </c>
      <c r="T215" s="24">
        <f>IF(T214&gt;0,ROUND(T214+S215-R215,2),0)</f>
        <v>0</v>
      </c>
      <c r="U215" s="24">
        <f>IF(W214&gt;0,MIN(ROUND(U$6+IF(U$5=$C215,$E$5+$E215,0),2),ROUND(W214+V215,2)),0)</f>
        <v>0</v>
      </c>
      <c r="V215" s="24">
        <f>IF(W214&gt;0,ROUND(ROUND(W214*100,0)*ROUND(U$7*10000,0)/12000000,0)/100,0)</f>
        <v>0</v>
      </c>
      <c r="W215" s="24">
        <f>IF(W214&gt;0,ROUND(W214+V215-U215,2),0)</f>
        <v>0</v>
      </c>
      <c r="X215" s="24">
        <f>IF(Z214&gt;0,MIN(ROUND(X$6+IF(X$5=$C215,$E$5+$E215,0),2),ROUND(Z214+Y215,2)),0)</f>
        <v>0</v>
      </c>
      <c r="Y215" s="24">
        <f>IF(Z214&gt;0,ROUND(ROUND(Z214*100,0)*ROUND(X$7*10000,0)/12000000,0)/100,0)</f>
        <v>0</v>
      </c>
      <c r="Z215" s="24">
        <f>IF(Z214&gt;0,ROUND(Z214+Y215-X215,2),0)</f>
        <v>0</v>
      </c>
      <c r="AA215" s="24">
        <f>IF(AC214&gt;0,MIN(ROUND(AA$6+IF(AA$5=$C215,$E$5+$E215,0),2),ROUND(AC214+AB215,2)),0)</f>
        <v>0</v>
      </c>
      <c r="AB215" s="24">
        <f>IF(AC214&gt;0,ROUND(ROUND(AC214*100,0)*ROUND(AA$7*10000,0)/12000000,0)/100,0)</f>
        <v>0</v>
      </c>
      <c r="AC215" s="24">
        <f>IF(AC214&gt;0,ROUND(AC214+AB215-AA215,2),0)</f>
        <v>0</v>
      </c>
      <c r="AD215" s="24">
        <f>IF(AF214&gt;0,MIN(ROUND(AD$6+IF(AD$5=$C215,$E$5+$E215,0),2),ROUND(AF214+AE215,2)),0)</f>
        <v>0</v>
      </c>
      <c r="AE215" s="24">
        <f>IF(AF214&gt;0,ROUND(ROUND(AF214*100,0)*ROUND(AD$7*10000,0)/12000000,0)/100,0)</f>
        <v>0</v>
      </c>
      <c r="AF215" s="24">
        <f>IF(AF214&gt;0,ROUND(AF214+AE215-AD215,2),0)</f>
        <v>0</v>
      </c>
      <c r="AG215" s="24">
        <f>IF(AI214&gt;0,MIN(ROUND(AG$6+IF(AG$5=$C215,$E$5+$E215,0),2),ROUND(AI214+AH215,2)),0)</f>
        <v>0</v>
      </c>
      <c r="AH215" s="24">
        <f>IF(AI214&gt;0,ROUND(ROUND(AI214*100,0)*ROUND(AG$7*10000,0)/12000000,0)/100,0)</f>
        <v>0</v>
      </c>
      <c r="AI215" s="24">
        <f>IF(AI214&gt;0,ROUND(AI214+AH215-AG215,2),0)</f>
        <v>0</v>
      </c>
      <c r="AJ215" s="24">
        <f>IF(AL214&gt;0,MIN(ROUND(AJ$6+IF(AJ$5=$C215,$E$5+$E215,0),2),ROUND(AL214+AK215,2)),0)</f>
        <v>0</v>
      </c>
      <c r="AK215" s="24">
        <f>IF(AL214&gt;0,ROUND(ROUND(AL214*100,0)*ROUND(AJ$7*10000,0)/12000000,0)/100,0)</f>
        <v>0</v>
      </c>
      <c r="AL215" s="24">
        <f>IF(AL214&gt;0,ROUND(AL214+AK215-AJ215,2),0)</f>
        <v>0</v>
      </c>
    </row>
    <row r="216" spans="1:38" x14ac:dyDescent="0.25">
      <c r="A216" s="17" t="str">
        <f>IF(F216&gt;0,206,"")</f>
        <v/>
      </c>
      <c r="B216" s="18" t="str">
        <f>IF(F216&gt;0,EDATE($E$6,206),"")</f>
        <v/>
      </c>
      <c r="C216" s="21">
        <f>IF(H215&gt;0,MIN(IF(K215&gt;0,I$5,99),IF(N215&gt;0,L$5,99),IF(Q215&gt;0,O$5,99),IF(T215&gt;0,R$5,99),IF(W215&gt;0,U$5,99),IF(Z215&gt;0,X$5,99),IF(AC215&gt;0,AA$5,99),IF(AF215&gt;0,AD$5,99),IF(AI215&gt;0,AG$5,99),IF(AL215&gt;0,AJ$5,99)),0)</f>
        <v>0</v>
      </c>
      <c r="D216" t="str">
        <f>IF(C216&gt;0,INDEX($I$4:$AL$4,1,MATCH(C216,$I$5:$AL$5,0)),"")</f>
        <v/>
      </c>
      <c r="E216" s="24">
        <f>ROUND(IF(AND(I$8&gt;0,K215=0),I$6,0)+IF(AND(L$8&gt;0,N215=0),L$6,0)+IF(AND(O$8&gt;0,Q215=0),O$6,0)+IF(AND(R$8&gt;0,T215=0),R$6,0)+IF(AND(U$8&gt;0,W215=0),U$6,0)+IF(AND(X$8&gt;0,Z215=0),X$6,0)+IF(AND(AA$8&gt;0,AC215=0),AA$6,0)+IF(AND(AD$8&gt;0,AF215=0),AD$6,0)+IF(AND(AG$8&gt;0,AI215=0),AG$6,0)+IF(AND(AJ$8&gt;0,AL215=0),AJ$6,0),2)</f>
        <v>330</v>
      </c>
      <c r="F216" s="24">
        <f>ROUND(I216+L216+O216+R216+U216+X216+AA216+AD216+AG216+AJ216,2)</f>
        <v>0</v>
      </c>
      <c r="G216" s="24">
        <f>ROUND(J216+M216+P216+S216+V216+Y216+AB216+AE216+AH216+AK216,2)</f>
        <v>0</v>
      </c>
      <c r="H216" s="24">
        <f>ROUND(K216+N216+Q216+T216+W216+Z216+AC216+AF216+AI216+AL216,2)</f>
        <v>0</v>
      </c>
      <c r="I216" s="24">
        <f>IF(K215&gt;0,MIN(ROUND(I$6+IF(I$5=$C216,$E$5+$E216,0),2),ROUND(K215+J216,2)),0)</f>
        <v>0</v>
      </c>
      <c r="J216" s="24">
        <f>IF(K215&gt;0,ROUND(ROUND(K215*100,0)*ROUND(I$7*10000,0)/12000000,0)/100,0)</f>
        <v>0</v>
      </c>
      <c r="K216" s="24">
        <f>IF(K215&gt;0,ROUND(K215+J216-I216,2),0)</f>
        <v>0</v>
      </c>
      <c r="L216" s="24">
        <f>IF(N215&gt;0,MIN(ROUND(L$6+IF(L$5=$C216,$E$5+$E216,0),2),ROUND(N215+M216,2)),0)</f>
        <v>0</v>
      </c>
      <c r="M216" s="24">
        <f>IF(N215&gt;0,ROUND(ROUND(N215*100,0)*ROUND(L$7*10000,0)/12000000,0)/100,0)</f>
        <v>0</v>
      </c>
      <c r="N216" s="24">
        <f>IF(N215&gt;0,ROUND(N215+M216-L216,2),0)</f>
        <v>0</v>
      </c>
      <c r="O216" s="24">
        <f>IF(Q215&gt;0,MIN(ROUND(O$6+IF(O$5=$C216,$E$5+$E216,0),2),ROUND(Q215+P216,2)),0)</f>
        <v>0</v>
      </c>
      <c r="P216" s="24">
        <f>IF(Q215&gt;0,ROUND(ROUND(Q215*100,0)*ROUND(O$7*10000,0)/12000000,0)/100,0)</f>
        <v>0</v>
      </c>
      <c r="Q216" s="24">
        <f>IF(Q215&gt;0,ROUND(Q215+P216-O216,2),0)</f>
        <v>0</v>
      </c>
      <c r="R216" s="24">
        <f>IF(T215&gt;0,MIN(ROUND(R$6+IF(R$5=$C216,$E$5+$E216,0),2),ROUND(T215+S216,2)),0)</f>
        <v>0</v>
      </c>
      <c r="S216" s="24">
        <f>IF(T215&gt;0,ROUND(ROUND(T215*100,0)*ROUND(R$7*10000,0)/12000000,0)/100,0)</f>
        <v>0</v>
      </c>
      <c r="T216" s="24">
        <f>IF(T215&gt;0,ROUND(T215+S216-R216,2),0)</f>
        <v>0</v>
      </c>
      <c r="U216" s="24">
        <f>IF(W215&gt;0,MIN(ROUND(U$6+IF(U$5=$C216,$E$5+$E216,0),2),ROUND(W215+V216,2)),0)</f>
        <v>0</v>
      </c>
      <c r="V216" s="24">
        <f>IF(W215&gt;0,ROUND(ROUND(W215*100,0)*ROUND(U$7*10000,0)/12000000,0)/100,0)</f>
        <v>0</v>
      </c>
      <c r="W216" s="24">
        <f>IF(W215&gt;0,ROUND(W215+V216-U216,2),0)</f>
        <v>0</v>
      </c>
      <c r="X216" s="24">
        <f>IF(Z215&gt;0,MIN(ROUND(X$6+IF(X$5=$C216,$E$5+$E216,0),2),ROUND(Z215+Y216,2)),0)</f>
        <v>0</v>
      </c>
      <c r="Y216" s="24">
        <f>IF(Z215&gt;0,ROUND(ROUND(Z215*100,0)*ROUND(X$7*10000,0)/12000000,0)/100,0)</f>
        <v>0</v>
      </c>
      <c r="Z216" s="24">
        <f>IF(Z215&gt;0,ROUND(Z215+Y216-X216,2),0)</f>
        <v>0</v>
      </c>
      <c r="AA216" s="24">
        <f>IF(AC215&gt;0,MIN(ROUND(AA$6+IF(AA$5=$C216,$E$5+$E216,0),2),ROUND(AC215+AB216,2)),0)</f>
        <v>0</v>
      </c>
      <c r="AB216" s="24">
        <f>IF(AC215&gt;0,ROUND(ROUND(AC215*100,0)*ROUND(AA$7*10000,0)/12000000,0)/100,0)</f>
        <v>0</v>
      </c>
      <c r="AC216" s="24">
        <f>IF(AC215&gt;0,ROUND(AC215+AB216-AA216,2),0)</f>
        <v>0</v>
      </c>
      <c r="AD216" s="24">
        <f>IF(AF215&gt;0,MIN(ROUND(AD$6+IF(AD$5=$C216,$E$5+$E216,0),2),ROUND(AF215+AE216,2)),0)</f>
        <v>0</v>
      </c>
      <c r="AE216" s="24">
        <f>IF(AF215&gt;0,ROUND(ROUND(AF215*100,0)*ROUND(AD$7*10000,0)/12000000,0)/100,0)</f>
        <v>0</v>
      </c>
      <c r="AF216" s="24">
        <f>IF(AF215&gt;0,ROUND(AF215+AE216-AD216,2),0)</f>
        <v>0</v>
      </c>
      <c r="AG216" s="24">
        <f>IF(AI215&gt;0,MIN(ROUND(AG$6+IF(AG$5=$C216,$E$5+$E216,0),2),ROUND(AI215+AH216,2)),0)</f>
        <v>0</v>
      </c>
      <c r="AH216" s="24">
        <f>IF(AI215&gt;0,ROUND(ROUND(AI215*100,0)*ROUND(AG$7*10000,0)/12000000,0)/100,0)</f>
        <v>0</v>
      </c>
      <c r="AI216" s="24">
        <f>IF(AI215&gt;0,ROUND(AI215+AH216-AG216,2),0)</f>
        <v>0</v>
      </c>
      <c r="AJ216" s="24">
        <f>IF(AL215&gt;0,MIN(ROUND(AJ$6+IF(AJ$5=$C216,$E$5+$E216,0),2),ROUND(AL215+AK216,2)),0)</f>
        <v>0</v>
      </c>
      <c r="AK216" s="24">
        <f>IF(AL215&gt;0,ROUND(ROUND(AL215*100,0)*ROUND(AJ$7*10000,0)/12000000,0)/100,0)</f>
        <v>0</v>
      </c>
      <c r="AL216" s="24">
        <f>IF(AL215&gt;0,ROUND(AL215+AK216-AJ216,2),0)</f>
        <v>0</v>
      </c>
    </row>
    <row r="217" spans="1:38" x14ac:dyDescent="0.25">
      <c r="A217" s="17" t="str">
        <f>IF(F217&gt;0,207,"")</f>
        <v/>
      </c>
      <c r="B217" s="18" t="str">
        <f>IF(F217&gt;0,EDATE($E$6,207),"")</f>
        <v/>
      </c>
      <c r="C217" s="21">
        <f>IF(H216&gt;0,MIN(IF(K216&gt;0,I$5,99),IF(N216&gt;0,L$5,99),IF(Q216&gt;0,O$5,99),IF(T216&gt;0,R$5,99),IF(W216&gt;0,U$5,99),IF(Z216&gt;0,X$5,99),IF(AC216&gt;0,AA$5,99),IF(AF216&gt;0,AD$5,99),IF(AI216&gt;0,AG$5,99),IF(AL216&gt;0,AJ$5,99)),0)</f>
        <v>0</v>
      </c>
      <c r="D217" t="str">
        <f>IF(C217&gt;0,INDEX($I$4:$AL$4,1,MATCH(C217,$I$5:$AL$5,0)),"")</f>
        <v/>
      </c>
      <c r="E217" s="24">
        <f>ROUND(IF(AND(I$8&gt;0,K216=0),I$6,0)+IF(AND(L$8&gt;0,N216=0),L$6,0)+IF(AND(O$8&gt;0,Q216=0),O$6,0)+IF(AND(R$8&gt;0,T216=0),R$6,0)+IF(AND(U$8&gt;0,W216=0),U$6,0)+IF(AND(X$8&gt;0,Z216=0),X$6,0)+IF(AND(AA$8&gt;0,AC216=0),AA$6,0)+IF(AND(AD$8&gt;0,AF216=0),AD$6,0)+IF(AND(AG$8&gt;0,AI216=0),AG$6,0)+IF(AND(AJ$8&gt;0,AL216=0),AJ$6,0),2)</f>
        <v>330</v>
      </c>
      <c r="F217" s="24">
        <f>ROUND(I217+L217+O217+R217+U217+X217+AA217+AD217+AG217+AJ217,2)</f>
        <v>0</v>
      </c>
      <c r="G217" s="24">
        <f>ROUND(J217+M217+P217+S217+V217+Y217+AB217+AE217+AH217+AK217,2)</f>
        <v>0</v>
      </c>
      <c r="H217" s="24">
        <f>ROUND(K217+N217+Q217+T217+W217+Z217+AC217+AF217+AI217+AL217,2)</f>
        <v>0</v>
      </c>
      <c r="I217" s="24">
        <f>IF(K216&gt;0,MIN(ROUND(I$6+IF(I$5=$C217,$E$5+$E217,0),2),ROUND(K216+J217,2)),0)</f>
        <v>0</v>
      </c>
      <c r="J217" s="24">
        <f>IF(K216&gt;0,ROUND(ROUND(K216*100,0)*ROUND(I$7*10000,0)/12000000,0)/100,0)</f>
        <v>0</v>
      </c>
      <c r="K217" s="24">
        <f>IF(K216&gt;0,ROUND(K216+J217-I217,2),0)</f>
        <v>0</v>
      </c>
      <c r="L217" s="24">
        <f>IF(N216&gt;0,MIN(ROUND(L$6+IF(L$5=$C217,$E$5+$E217,0),2),ROUND(N216+M217,2)),0)</f>
        <v>0</v>
      </c>
      <c r="M217" s="24">
        <f>IF(N216&gt;0,ROUND(ROUND(N216*100,0)*ROUND(L$7*10000,0)/12000000,0)/100,0)</f>
        <v>0</v>
      </c>
      <c r="N217" s="24">
        <f>IF(N216&gt;0,ROUND(N216+M217-L217,2),0)</f>
        <v>0</v>
      </c>
      <c r="O217" s="24">
        <f>IF(Q216&gt;0,MIN(ROUND(O$6+IF(O$5=$C217,$E$5+$E217,0),2),ROUND(Q216+P217,2)),0)</f>
        <v>0</v>
      </c>
      <c r="P217" s="24">
        <f>IF(Q216&gt;0,ROUND(ROUND(Q216*100,0)*ROUND(O$7*10000,0)/12000000,0)/100,0)</f>
        <v>0</v>
      </c>
      <c r="Q217" s="24">
        <f>IF(Q216&gt;0,ROUND(Q216+P217-O217,2),0)</f>
        <v>0</v>
      </c>
      <c r="R217" s="24">
        <f>IF(T216&gt;0,MIN(ROUND(R$6+IF(R$5=$C217,$E$5+$E217,0),2),ROUND(T216+S217,2)),0)</f>
        <v>0</v>
      </c>
      <c r="S217" s="24">
        <f>IF(T216&gt;0,ROUND(ROUND(T216*100,0)*ROUND(R$7*10000,0)/12000000,0)/100,0)</f>
        <v>0</v>
      </c>
      <c r="T217" s="24">
        <f>IF(T216&gt;0,ROUND(T216+S217-R217,2),0)</f>
        <v>0</v>
      </c>
      <c r="U217" s="24">
        <f>IF(W216&gt;0,MIN(ROUND(U$6+IF(U$5=$C217,$E$5+$E217,0),2),ROUND(W216+V217,2)),0)</f>
        <v>0</v>
      </c>
      <c r="V217" s="24">
        <f>IF(W216&gt;0,ROUND(ROUND(W216*100,0)*ROUND(U$7*10000,0)/12000000,0)/100,0)</f>
        <v>0</v>
      </c>
      <c r="W217" s="24">
        <f>IF(W216&gt;0,ROUND(W216+V217-U217,2),0)</f>
        <v>0</v>
      </c>
      <c r="X217" s="24">
        <f>IF(Z216&gt;0,MIN(ROUND(X$6+IF(X$5=$C217,$E$5+$E217,0),2),ROUND(Z216+Y217,2)),0)</f>
        <v>0</v>
      </c>
      <c r="Y217" s="24">
        <f>IF(Z216&gt;0,ROUND(ROUND(Z216*100,0)*ROUND(X$7*10000,0)/12000000,0)/100,0)</f>
        <v>0</v>
      </c>
      <c r="Z217" s="24">
        <f>IF(Z216&gt;0,ROUND(Z216+Y217-X217,2),0)</f>
        <v>0</v>
      </c>
      <c r="AA217" s="24">
        <f>IF(AC216&gt;0,MIN(ROUND(AA$6+IF(AA$5=$C217,$E$5+$E217,0),2),ROUND(AC216+AB217,2)),0)</f>
        <v>0</v>
      </c>
      <c r="AB217" s="24">
        <f>IF(AC216&gt;0,ROUND(ROUND(AC216*100,0)*ROUND(AA$7*10000,0)/12000000,0)/100,0)</f>
        <v>0</v>
      </c>
      <c r="AC217" s="24">
        <f>IF(AC216&gt;0,ROUND(AC216+AB217-AA217,2),0)</f>
        <v>0</v>
      </c>
      <c r="AD217" s="24">
        <f>IF(AF216&gt;0,MIN(ROUND(AD$6+IF(AD$5=$C217,$E$5+$E217,0),2),ROUND(AF216+AE217,2)),0)</f>
        <v>0</v>
      </c>
      <c r="AE217" s="24">
        <f>IF(AF216&gt;0,ROUND(ROUND(AF216*100,0)*ROUND(AD$7*10000,0)/12000000,0)/100,0)</f>
        <v>0</v>
      </c>
      <c r="AF217" s="24">
        <f>IF(AF216&gt;0,ROUND(AF216+AE217-AD217,2),0)</f>
        <v>0</v>
      </c>
      <c r="AG217" s="24">
        <f>IF(AI216&gt;0,MIN(ROUND(AG$6+IF(AG$5=$C217,$E$5+$E217,0),2),ROUND(AI216+AH217,2)),0)</f>
        <v>0</v>
      </c>
      <c r="AH217" s="24">
        <f>IF(AI216&gt;0,ROUND(ROUND(AI216*100,0)*ROUND(AG$7*10000,0)/12000000,0)/100,0)</f>
        <v>0</v>
      </c>
      <c r="AI217" s="24">
        <f>IF(AI216&gt;0,ROUND(AI216+AH217-AG217,2),0)</f>
        <v>0</v>
      </c>
      <c r="AJ217" s="24">
        <f>IF(AL216&gt;0,MIN(ROUND(AJ$6+IF(AJ$5=$C217,$E$5+$E217,0),2),ROUND(AL216+AK217,2)),0)</f>
        <v>0</v>
      </c>
      <c r="AK217" s="24">
        <f>IF(AL216&gt;0,ROUND(ROUND(AL216*100,0)*ROUND(AJ$7*10000,0)/12000000,0)/100,0)</f>
        <v>0</v>
      </c>
      <c r="AL217" s="24">
        <f>IF(AL216&gt;0,ROUND(AL216+AK217-AJ217,2),0)</f>
        <v>0</v>
      </c>
    </row>
    <row r="218" spans="1:38" x14ac:dyDescent="0.25">
      <c r="A218" s="17" t="str">
        <f>IF(F218&gt;0,208,"")</f>
        <v/>
      </c>
      <c r="B218" s="18" t="str">
        <f>IF(F218&gt;0,EDATE($E$6,208),"")</f>
        <v/>
      </c>
      <c r="C218" s="21">
        <f>IF(H217&gt;0,MIN(IF(K217&gt;0,I$5,99),IF(N217&gt;0,L$5,99),IF(Q217&gt;0,O$5,99),IF(T217&gt;0,R$5,99),IF(W217&gt;0,U$5,99),IF(Z217&gt;0,X$5,99),IF(AC217&gt;0,AA$5,99),IF(AF217&gt;0,AD$5,99),IF(AI217&gt;0,AG$5,99),IF(AL217&gt;0,AJ$5,99)),0)</f>
        <v>0</v>
      </c>
      <c r="D218" t="str">
        <f>IF(C218&gt;0,INDEX($I$4:$AL$4,1,MATCH(C218,$I$5:$AL$5,0)),"")</f>
        <v/>
      </c>
      <c r="E218" s="24">
        <f>ROUND(IF(AND(I$8&gt;0,K217=0),I$6,0)+IF(AND(L$8&gt;0,N217=0),L$6,0)+IF(AND(O$8&gt;0,Q217=0),O$6,0)+IF(AND(R$8&gt;0,T217=0),R$6,0)+IF(AND(U$8&gt;0,W217=0),U$6,0)+IF(AND(X$8&gt;0,Z217=0),X$6,0)+IF(AND(AA$8&gt;0,AC217=0),AA$6,0)+IF(AND(AD$8&gt;0,AF217=0),AD$6,0)+IF(AND(AG$8&gt;0,AI217=0),AG$6,0)+IF(AND(AJ$8&gt;0,AL217=0),AJ$6,0),2)</f>
        <v>330</v>
      </c>
      <c r="F218" s="24">
        <f>ROUND(I218+L218+O218+R218+U218+X218+AA218+AD218+AG218+AJ218,2)</f>
        <v>0</v>
      </c>
      <c r="G218" s="24">
        <f>ROUND(J218+M218+P218+S218+V218+Y218+AB218+AE218+AH218+AK218,2)</f>
        <v>0</v>
      </c>
      <c r="H218" s="24">
        <f>ROUND(K218+N218+Q218+T218+W218+Z218+AC218+AF218+AI218+AL218,2)</f>
        <v>0</v>
      </c>
      <c r="I218" s="24">
        <f>IF(K217&gt;0,MIN(ROUND(I$6+IF(I$5=$C218,$E$5+$E218,0),2),ROUND(K217+J218,2)),0)</f>
        <v>0</v>
      </c>
      <c r="J218" s="24">
        <f>IF(K217&gt;0,ROUND(ROUND(K217*100,0)*ROUND(I$7*10000,0)/12000000,0)/100,0)</f>
        <v>0</v>
      </c>
      <c r="K218" s="24">
        <f>IF(K217&gt;0,ROUND(K217+J218-I218,2),0)</f>
        <v>0</v>
      </c>
      <c r="L218" s="24">
        <f>IF(N217&gt;0,MIN(ROUND(L$6+IF(L$5=$C218,$E$5+$E218,0),2),ROUND(N217+M218,2)),0)</f>
        <v>0</v>
      </c>
      <c r="M218" s="24">
        <f>IF(N217&gt;0,ROUND(ROUND(N217*100,0)*ROUND(L$7*10000,0)/12000000,0)/100,0)</f>
        <v>0</v>
      </c>
      <c r="N218" s="24">
        <f>IF(N217&gt;0,ROUND(N217+M218-L218,2),0)</f>
        <v>0</v>
      </c>
      <c r="O218" s="24">
        <f>IF(Q217&gt;0,MIN(ROUND(O$6+IF(O$5=$C218,$E$5+$E218,0),2),ROUND(Q217+P218,2)),0)</f>
        <v>0</v>
      </c>
      <c r="P218" s="24">
        <f>IF(Q217&gt;0,ROUND(ROUND(Q217*100,0)*ROUND(O$7*10000,0)/12000000,0)/100,0)</f>
        <v>0</v>
      </c>
      <c r="Q218" s="24">
        <f>IF(Q217&gt;0,ROUND(Q217+P218-O218,2),0)</f>
        <v>0</v>
      </c>
      <c r="R218" s="24">
        <f>IF(T217&gt;0,MIN(ROUND(R$6+IF(R$5=$C218,$E$5+$E218,0),2),ROUND(T217+S218,2)),0)</f>
        <v>0</v>
      </c>
      <c r="S218" s="24">
        <f>IF(T217&gt;0,ROUND(ROUND(T217*100,0)*ROUND(R$7*10000,0)/12000000,0)/100,0)</f>
        <v>0</v>
      </c>
      <c r="T218" s="24">
        <f>IF(T217&gt;0,ROUND(T217+S218-R218,2),0)</f>
        <v>0</v>
      </c>
      <c r="U218" s="24">
        <f>IF(W217&gt;0,MIN(ROUND(U$6+IF(U$5=$C218,$E$5+$E218,0),2),ROUND(W217+V218,2)),0)</f>
        <v>0</v>
      </c>
      <c r="V218" s="24">
        <f>IF(W217&gt;0,ROUND(ROUND(W217*100,0)*ROUND(U$7*10000,0)/12000000,0)/100,0)</f>
        <v>0</v>
      </c>
      <c r="W218" s="24">
        <f>IF(W217&gt;0,ROUND(W217+V218-U218,2),0)</f>
        <v>0</v>
      </c>
      <c r="X218" s="24">
        <f>IF(Z217&gt;0,MIN(ROUND(X$6+IF(X$5=$C218,$E$5+$E218,0),2),ROUND(Z217+Y218,2)),0)</f>
        <v>0</v>
      </c>
      <c r="Y218" s="24">
        <f>IF(Z217&gt;0,ROUND(ROUND(Z217*100,0)*ROUND(X$7*10000,0)/12000000,0)/100,0)</f>
        <v>0</v>
      </c>
      <c r="Z218" s="24">
        <f>IF(Z217&gt;0,ROUND(Z217+Y218-X218,2),0)</f>
        <v>0</v>
      </c>
      <c r="AA218" s="24">
        <f>IF(AC217&gt;0,MIN(ROUND(AA$6+IF(AA$5=$C218,$E$5+$E218,0),2),ROUND(AC217+AB218,2)),0)</f>
        <v>0</v>
      </c>
      <c r="AB218" s="24">
        <f>IF(AC217&gt;0,ROUND(ROUND(AC217*100,0)*ROUND(AA$7*10000,0)/12000000,0)/100,0)</f>
        <v>0</v>
      </c>
      <c r="AC218" s="24">
        <f>IF(AC217&gt;0,ROUND(AC217+AB218-AA218,2),0)</f>
        <v>0</v>
      </c>
      <c r="AD218" s="24">
        <f>IF(AF217&gt;0,MIN(ROUND(AD$6+IF(AD$5=$C218,$E$5+$E218,0),2),ROUND(AF217+AE218,2)),0)</f>
        <v>0</v>
      </c>
      <c r="AE218" s="24">
        <f>IF(AF217&gt;0,ROUND(ROUND(AF217*100,0)*ROUND(AD$7*10000,0)/12000000,0)/100,0)</f>
        <v>0</v>
      </c>
      <c r="AF218" s="24">
        <f>IF(AF217&gt;0,ROUND(AF217+AE218-AD218,2),0)</f>
        <v>0</v>
      </c>
      <c r="AG218" s="24">
        <f>IF(AI217&gt;0,MIN(ROUND(AG$6+IF(AG$5=$C218,$E$5+$E218,0),2),ROUND(AI217+AH218,2)),0)</f>
        <v>0</v>
      </c>
      <c r="AH218" s="24">
        <f>IF(AI217&gt;0,ROUND(ROUND(AI217*100,0)*ROUND(AG$7*10000,0)/12000000,0)/100,0)</f>
        <v>0</v>
      </c>
      <c r="AI218" s="24">
        <f>IF(AI217&gt;0,ROUND(AI217+AH218-AG218,2),0)</f>
        <v>0</v>
      </c>
      <c r="AJ218" s="24">
        <f>IF(AL217&gt;0,MIN(ROUND(AJ$6+IF(AJ$5=$C218,$E$5+$E218,0),2),ROUND(AL217+AK218,2)),0)</f>
        <v>0</v>
      </c>
      <c r="AK218" s="24">
        <f>IF(AL217&gt;0,ROUND(ROUND(AL217*100,0)*ROUND(AJ$7*10000,0)/12000000,0)/100,0)</f>
        <v>0</v>
      </c>
      <c r="AL218" s="24">
        <f>IF(AL217&gt;0,ROUND(AL217+AK218-AJ218,2),0)</f>
        <v>0</v>
      </c>
    </row>
    <row r="219" spans="1:38" x14ac:dyDescent="0.25">
      <c r="A219" s="17" t="str">
        <f>IF(F219&gt;0,209,"")</f>
        <v/>
      </c>
      <c r="B219" s="18" t="str">
        <f>IF(F219&gt;0,EDATE($E$6,209),"")</f>
        <v/>
      </c>
      <c r="C219" s="21">
        <f>IF(H218&gt;0,MIN(IF(K218&gt;0,I$5,99),IF(N218&gt;0,L$5,99),IF(Q218&gt;0,O$5,99),IF(T218&gt;0,R$5,99),IF(W218&gt;0,U$5,99),IF(Z218&gt;0,X$5,99),IF(AC218&gt;0,AA$5,99),IF(AF218&gt;0,AD$5,99),IF(AI218&gt;0,AG$5,99),IF(AL218&gt;0,AJ$5,99)),0)</f>
        <v>0</v>
      </c>
      <c r="D219" t="str">
        <f>IF(C219&gt;0,INDEX($I$4:$AL$4,1,MATCH(C219,$I$5:$AL$5,0)),"")</f>
        <v/>
      </c>
      <c r="E219" s="24">
        <f>ROUND(IF(AND(I$8&gt;0,K218=0),I$6,0)+IF(AND(L$8&gt;0,N218=0),L$6,0)+IF(AND(O$8&gt;0,Q218=0),O$6,0)+IF(AND(R$8&gt;0,T218=0),R$6,0)+IF(AND(U$8&gt;0,W218=0),U$6,0)+IF(AND(X$8&gt;0,Z218=0),X$6,0)+IF(AND(AA$8&gt;0,AC218=0),AA$6,0)+IF(AND(AD$8&gt;0,AF218=0),AD$6,0)+IF(AND(AG$8&gt;0,AI218=0),AG$6,0)+IF(AND(AJ$8&gt;0,AL218=0),AJ$6,0),2)</f>
        <v>330</v>
      </c>
      <c r="F219" s="24">
        <f>ROUND(I219+L219+O219+R219+U219+X219+AA219+AD219+AG219+AJ219,2)</f>
        <v>0</v>
      </c>
      <c r="G219" s="24">
        <f>ROUND(J219+M219+P219+S219+V219+Y219+AB219+AE219+AH219+AK219,2)</f>
        <v>0</v>
      </c>
      <c r="H219" s="24">
        <f>ROUND(K219+N219+Q219+T219+W219+Z219+AC219+AF219+AI219+AL219,2)</f>
        <v>0</v>
      </c>
      <c r="I219" s="24">
        <f>IF(K218&gt;0,MIN(ROUND(I$6+IF(I$5=$C219,$E$5+$E219,0),2),ROUND(K218+J219,2)),0)</f>
        <v>0</v>
      </c>
      <c r="J219" s="24">
        <f>IF(K218&gt;0,ROUND(ROUND(K218*100,0)*ROUND(I$7*10000,0)/12000000,0)/100,0)</f>
        <v>0</v>
      </c>
      <c r="K219" s="24">
        <f>IF(K218&gt;0,ROUND(K218+J219-I219,2),0)</f>
        <v>0</v>
      </c>
      <c r="L219" s="24">
        <f>IF(N218&gt;0,MIN(ROUND(L$6+IF(L$5=$C219,$E$5+$E219,0),2),ROUND(N218+M219,2)),0)</f>
        <v>0</v>
      </c>
      <c r="M219" s="24">
        <f>IF(N218&gt;0,ROUND(ROUND(N218*100,0)*ROUND(L$7*10000,0)/12000000,0)/100,0)</f>
        <v>0</v>
      </c>
      <c r="N219" s="24">
        <f>IF(N218&gt;0,ROUND(N218+M219-L219,2),0)</f>
        <v>0</v>
      </c>
      <c r="O219" s="24">
        <f>IF(Q218&gt;0,MIN(ROUND(O$6+IF(O$5=$C219,$E$5+$E219,0),2),ROUND(Q218+P219,2)),0)</f>
        <v>0</v>
      </c>
      <c r="P219" s="24">
        <f>IF(Q218&gt;0,ROUND(ROUND(Q218*100,0)*ROUND(O$7*10000,0)/12000000,0)/100,0)</f>
        <v>0</v>
      </c>
      <c r="Q219" s="24">
        <f>IF(Q218&gt;0,ROUND(Q218+P219-O219,2),0)</f>
        <v>0</v>
      </c>
      <c r="R219" s="24">
        <f>IF(T218&gt;0,MIN(ROUND(R$6+IF(R$5=$C219,$E$5+$E219,0),2),ROUND(T218+S219,2)),0)</f>
        <v>0</v>
      </c>
      <c r="S219" s="24">
        <f>IF(T218&gt;0,ROUND(ROUND(T218*100,0)*ROUND(R$7*10000,0)/12000000,0)/100,0)</f>
        <v>0</v>
      </c>
      <c r="T219" s="24">
        <f>IF(T218&gt;0,ROUND(T218+S219-R219,2),0)</f>
        <v>0</v>
      </c>
      <c r="U219" s="24">
        <f>IF(W218&gt;0,MIN(ROUND(U$6+IF(U$5=$C219,$E$5+$E219,0),2),ROUND(W218+V219,2)),0)</f>
        <v>0</v>
      </c>
      <c r="V219" s="24">
        <f>IF(W218&gt;0,ROUND(ROUND(W218*100,0)*ROUND(U$7*10000,0)/12000000,0)/100,0)</f>
        <v>0</v>
      </c>
      <c r="W219" s="24">
        <f>IF(W218&gt;0,ROUND(W218+V219-U219,2),0)</f>
        <v>0</v>
      </c>
      <c r="X219" s="24">
        <f>IF(Z218&gt;0,MIN(ROUND(X$6+IF(X$5=$C219,$E$5+$E219,0),2),ROUND(Z218+Y219,2)),0)</f>
        <v>0</v>
      </c>
      <c r="Y219" s="24">
        <f>IF(Z218&gt;0,ROUND(ROUND(Z218*100,0)*ROUND(X$7*10000,0)/12000000,0)/100,0)</f>
        <v>0</v>
      </c>
      <c r="Z219" s="24">
        <f>IF(Z218&gt;0,ROUND(Z218+Y219-X219,2),0)</f>
        <v>0</v>
      </c>
      <c r="AA219" s="24">
        <f>IF(AC218&gt;0,MIN(ROUND(AA$6+IF(AA$5=$C219,$E$5+$E219,0),2),ROUND(AC218+AB219,2)),0)</f>
        <v>0</v>
      </c>
      <c r="AB219" s="24">
        <f>IF(AC218&gt;0,ROUND(ROUND(AC218*100,0)*ROUND(AA$7*10000,0)/12000000,0)/100,0)</f>
        <v>0</v>
      </c>
      <c r="AC219" s="24">
        <f>IF(AC218&gt;0,ROUND(AC218+AB219-AA219,2),0)</f>
        <v>0</v>
      </c>
      <c r="AD219" s="24">
        <f>IF(AF218&gt;0,MIN(ROUND(AD$6+IF(AD$5=$C219,$E$5+$E219,0),2),ROUND(AF218+AE219,2)),0)</f>
        <v>0</v>
      </c>
      <c r="AE219" s="24">
        <f>IF(AF218&gt;0,ROUND(ROUND(AF218*100,0)*ROUND(AD$7*10000,0)/12000000,0)/100,0)</f>
        <v>0</v>
      </c>
      <c r="AF219" s="24">
        <f>IF(AF218&gt;0,ROUND(AF218+AE219-AD219,2),0)</f>
        <v>0</v>
      </c>
      <c r="AG219" s="24">
        <f>IF(AI218&gt;0,MIN(ROUND(AG$6+IF(AG$5=$C219,$E$5+$E219,0),2),ROUND(AI218+AH219,2)),0)</f>
        <v>0</v>
      </c>
      <c r="AH219" s="24">
        <f>IF(AI218&gt;0,ROUND(ROUND(AI218*100,0)*ROUND(AG$7*10000,0)/12000000,0)/100,0)</f>
        <v>0</v>
      </c>
      <c r="AI219" s="24">
        <f>IF(AI218&gt;0,ROUND(AI218+AH219-AG219,2),0)</f>
        <v>0</v>
      </c>
      <c r="AJ219" s="24">
        <f>IF(AL218&gt;0,MIN(ROUND(AJ$6+IF(AJ$5=$C219,$E$5+$E219,0),2),ROUND(AL218+AK219,2)),0)</f>
        <v>0</v>
      </c>
      <c r="AK219" s="24">
        <f>IF(AL218&gt;0,ROUND(ROUND(AL218*100,0)*ROUND(AJ$7*10000,0)/12000000,0)/100,0)</f>
        <v>0</v>
      </c>
      <c r="AL219" s="24">
        <f>IF(AL218&gt;0,ROUND(AL218+AK219-AJ219,2),0)</f>
        <v>0</v>
      </c>
    </row>
    <row r="220" spans="1:38" x14ac:dyDescent="0.25">
      <c r="A220" s="17" t="str">
        <f>IF(F220&gt;0,210,"")</f>
        <v/>
      </c>
      <c r="B220" s="18" t="str">
        <f>IF(F220&gt;0,EDATE($E$6,210),"")</f>
        <v/>
      </c>
      <c r="C220" s="21">
        <f>IF(H219&gt;0,MIN(IF(K219&gt;0,I$5,99),IF(N219&gt;0,L$5,99),IF(Q219&gt;0,O$5,99),IF(T219&gt;0,R$5,99),IF(W219&gt;0,U$5,99),IF(Z219&gt;0,X$5,99),IF(AC219&gt;0,AA$5,99),IF(AF219&gt;0,AD$5,99),IF(AI219&gt;0,AG$5,99),IF(AL219&gt;0,AJ$5,99)),0)</f>
        <v>0</v>
      </c>
      <c r="D220" t="str">
        <f>IF(C220&gt;0,INDEX($I$4:$AL$4,1,MATCH(C220,$I$5:$AL$5,0)),"")</f>
        <v/>
      </c>
      <c r="E220" s="24">
        <f>ROUND(IF(AND(I$8&gt;0,K219=0),I$6,0)+IF(AND(L$8&gt;0,N219=0),L$6,0)+IF(AND(O$8&gt;0,Q219=0),O$6,0)+IF(AND(R$8&gt;0,T219=0),R$6,0)+IF(AND(U$8&gt;0,W219=0),U$6,0)+IF(AND(X$8&gt;0,Z219=0),X$6,0)+IF(AND(AA$8&gt;0,AC219=0),AA$6,0)+IF(AND(AD$8&gt;0,AF219=0),AD$6,0)+IF(AND(AG$8&gt;0,AI219=0),AG$6,0)+IF(AND(AJ$8&gt;0,AL219=0),AJ$6,0),2)</f>
        <v>330</v>
      </c>
      <c r="F220" s="24">
        <f>ROUND(I220+L220+O220+R220+U220+X220+AA220+AD220+AG220+AJ220,2)</f>
        <v>0</v>
      </c>
      <c r="G220" s="24">
        <f>ROUND(J220+M220+P220+S220+V220+Y220+AB220+AE220+AH220+AK220,2)</f>
        <v>0</v>
      </c>
      <c r="H220" s="24">
        <f>ROUND(K220+N220+Q220+T220+W220+Z220+AC220+AF220+AI220+AL220,2)</f>
        <v>0</v>
      </c>
      <c r="I220" s="24">
        <f>IF(K219&gt;0,MIN(ROUND(I$6+IF(I$5=$C220,$E$5+$E220,0),2),ROUND(K219+J220,2)),0)</f>
        <v>0</v>
      </c>
      <c r="J220" s="24">
        <f>IF(K219&gt;0,ROUND(ROUND(K219*100,0)*ROUND(I$7*10000,0)/12000000,0)/100,0)</f>
        <v>0</v>
      </c>
      <c r="K220" s="24">
        <f>IF(K219&gt;0,ROUND(K219+J220-I220,2),0)</f>
        <v>0</v>
      </c>
      <c r="L220" s="24">
        <f>IF(N219&gt;0,MIN(ROUND(L$6+IF(L$5=$C220,$E$5+$E220,0),2),ROUND(N219+M220,2)),0)</f>
        <v>0</v>
      </c>
      <c r="M220" s="24">
        <f>IF(N219&gt;0,ROUND(ROUND(N219*100,0)*ROUND(L$7*10000,0)/12000000,0)/100,0)</f>
        <v>0</v>
      </c>
      <c r="N220" s="24">
        <f>IF(N219&gt;0,ROUND(N219+M220-L220,2),0)</f>
        <v>0</v>
      </c>
      <c r="O220" s="24">
        <f>IF(Q219&gt;0,MIN(ROUND(O$6+IF(O$5=$C220,$E$5+$E220,0),2),ROUND(Q219+P220,2)),0)</f>
        <v>0</v>
      </c>
      <c r="P220" s="24">
        <f>IF(Q219&gt;0,ROUND(ROUND(Q219*100,0)*ROUND(O$7*10000,0)/12000000,0)/100,0)</f>
        <v>0</v>
      </c>
      <c r="Q220" s="24">
        <f>IF(Q219&gt;0,ROUND(Q219+P220-O220,2),0)</f>
        <v>0</v>
      </c>
      <c r="R220" s="24">
        <f>IF(T219&gt;0,MIN(ROUND(R$6+IF(R$5=$C220,$E$5+$E220,0),2),ROUND(T219+S220,2)),0)</f>
        <v>0</v>
      </c>
      <c r="S220" s="24">
        <f>IF(T219&gt;0,ROUND(ROUND(T219*100,0)*ROUND(R$7*10000,0)/12000000,0)/100,0)</f>
        <v>0</v>
      </c>
      <c r="T220" s="24">
        <f>IF(T219&gt;0,ROUND(T219+S220-R220,2),0)</f>
        <v>0</v>
      </c>
      <c r="U220" s="24">
        <f>IF(W219&gt;0,MIN(ROUND(U$6+IF(U$5=$C220,$E$5+$E220,0),2),ROUND(W219+V220,2)),0)</f>
        <v>0</v>
      </c>
      <c r="V220" s="24">
        <f>IF(W219&gt;0,ROUND(ROUND(W219*100,0)*ROUND(U$7*10000,0)/12000000,0)/100,0)</f>
        <v>0</v>
      </c>
      <c r="W220" s="24">
        <f>IF(W219&gt;0,ROUND(W219+V220-U220,2),0)</f>
        <v>0</v>
      </c>
      <c r="X220" s="24">
        <f>IF(Z219&gt;0,MIN(ROUND(X$6+IF(X$5=$C220,$E$5+$E220,0),2),ROUND(Z219+Y220,2)),0)</f>
        <v>0</v>
      </c>
      <c r="Y220" s="24">
        <f>IF(Z219&gt;0,ROUND(ROUND(Z219*100,0)*ROUND(X$7*10000,0)/12000000,0)/100,0)</f>
        <v>0</v>
      </c>
      <c r="Z220" s="24">
        <f>IF(Z219&gt;0,ROUND(Z219+Y220-X220,2),0)</f>
        <v>0</v>
      </c>
      <c r="AA220" s="24">
        <f>IF(AC219&gt;0,MIN(ROUND(AA$6+IF(AA$5=$C220,$E$5+$E220,0),2),ROUND(AC219+AB220,2)),0)</f>
        <v>0</v>
      </c>
      <c r="AB220" s="24">
        <f>IF(AC219&gt;0,ROUND(ROUND(AC219*100,0)*ROUND(AA$7*10000,0)/12000000,0)/100,0)</f>
        <v>0</v>
      </c>
      <c r="AC220" s="24">
        <f>IF(AC219&gt;0,ROUND(AC219+AB220-AA220,2),0)</f>
        <v>0</v>
      </c>
      <c r="AD220" s="24">
        <f>IF(AF219&gt;0,MIN(ROUND(AD$6+IF(AD$5=$C220,$E$5+$E220,0),2),ROUND(AF219+AE220,2)),0)</f>
        <v>0</v>
      </c>
      <c r="AE220" s="24">
        <f>IF(AF219&gt;0,ROUND(ROUND(AF219*100,0)*ROUND(AD$7*10000,0)/12000000,0)/100,0)</f>
        <v>0</v>
      </c>
      <c r="AF220" s="24">
        <f>IF(AF219&gt;0,ROUND(AF219+AE220-AD220,2),0)</f>
        <v>0</v>
      </c>
      <c r="AG220" s="24">
        <f>IF(AI219&gt;0,MIN(ROUND(AG$6+IF(AG$5=$C220,$E$5+$E220,0),2),ROUND(AI219+AH220,2)),0)</f>
        <v>0</v>
      </c>
      <c r="AH220" s="24">
        <f>IF(AI219&gt;0,ROUND(ROUND(AI219*100,0)*ROUND(AG$7*10000,0)/12000000,0)/100,0)</f>
        <v>0</v>
      </c>
      <c r="AI220" s="24">
        <f>IF(AI219&gt;0,ROUND(AI219+AH220-AG220,2),0)</f>
        <v>0</v>
      </c>
      <c r="AJ220" s="24">
        <f>IF(AL219&gt;0,MIN(ROUND(AJ$6+IF(AJ$5=$C220,$E$5+$E220,0),2),ROUND(AL219+AK220,2)),0)</f>
        <v>0</v>
      </c>
      <c r="AK220" s="24">
        <f>IF(AL219&gt;0,ROUND(ROUND(AL219*100,0)*ROUND(AJ$7*10000,0)/12000000,0)/100,0)</f>
        <v>0</v>
      </c>
      <c r="AL220" s="24">
        <f>IF(AL219&gt;0,ROUND(AL219+AK220-AJ220,2),0)</f>
        <v>0</v>
      </c>
    </row>
    <row r="221" spans="1:38" x14ac:dyDescent="0.25">
      <c r="A221" s="17" t="str">
        <f>IF(F221&gt;0,211,"")</f>
        <v/>
      </c>
      <c r="B221" s="18" t="str">
        <f>IF(F221&gt;0,EDATE($E$6,211),"")</f>
        <v/>
      </c>
      <c r="C221" s="21">
        <f>IF(H220&gt;0,MIN(IF(K220&gt;0,I$5,99),IF(N220&gt;0,L$5,99),IF(Q220&gt;0,O$5,99),IF(T220&gt;0,R$5,99),IF(W220&gt;0,U$5,99),IF(Z220&gt;0,X$5,99),IF(AC220&gt;0,AA$5,99),IF(AF220&gt;0,AD$5,99),IF(AI220&gt;0,AG$5,99),IF(AL220&gt;0,AJ$5,99)),0)</f>
        <v>0</v>
      </c>
      <c r="D221" t="str">
        <f>IF(C221&gt;0,INDEX($I$4:$AL$4,1,MATCH(C221,$I$5:$AL$5,0)),"")</f>
        <v/>
      </c>
      <c r="E221" s="24">
        <f>ROUND(IF(AND(I$8&gt;0,K220=0),I$6,0)+IF(AND(L$8&gt;0,N220=0),L$6,0)+IF(AND(O$8&gt;0,Q220=0),O$6,0)+IF(AND(R$8&gt;0,T220=0),R$6,0)+IF(AND(U$8&gt;0,W220=0),U$6,0)+IF(AND(X$8&gt;0,Z220=0),X$6,0)+IF(AND(AA$8&gt;0,AC220=0),AA$6,0)+IF(AND(AD$8&gt;0,AF220=0),AD$6,0)+IF(AND(AG$8&gt;0,AI220=0),AG$6,0)+IF(AND(AJ$8&gt;0,AL220=0),AJ$6,0),2)</f>
        <v>330</v>
      </c>
      <c r="F221" s="24">
        <f>ROUND(I221+L221+O221+R221+U221+X221+AA221+AD221+AG221+AJ221,2)</f>
        <v>0</v>
      </c>
      <c r="G221" s="24">
        <f>ROUND(J221+M221+P221+S221+V221+Y221+AB221+AE221+AH221+AK221,2)</f>
        <v>0</v>
      </c>
      <c r="H221" s="24">
        <f>ROUND(K221+N221+Q221+T221+W221+Z221+AC221+AF221+AI221+AL221,2)</f>
        <v>0</v>
      </c>
      <c r="I221" s="24">
        <f>IF(K220&gt;0,MIN(ROUND(I$6+IF(I$5=$C221,$E$5+$E221,0),2),ROUND(K220+J221,2)),0)</f>
        <v>0</v>
      </c>
      <c r="J221" s="24">
        <f>IF(K220&gt;0,ROUND(ROUND(K220*100,0)*ROUND(I$7*10000,0)/12000000,0)/100,0)</f>
        <v>0</v>
      </c>
      <c r="K221" s="24">
        <f>IF(K220&gt;0,ROUND(K220+J221-I221,2),0)</f>
        <v>0</v>
      </c>
      <c r="L221" s="24">
        <f>IF(N220&gt;0,MIN(ROUND(L$6+IF(L$5=$C221,$E$5+$E221,0),2),ROUND(N220+M221,2)),0)</f>
        <v>0</v>
      </c>
      <c r="M221" s="24">
        <f>IF(N220&gt;0,ROUND(ROUND(N220*100,0)*ROUND(L$7*10000,0)/12000000,0)/100,0)</f>
        <v>0</v>
      </c>
      <c r="N221" s="24">
        <f>IF(N220&gt;0,ROUND(N220+M221-L221,2),0)</f>
        <v>0</v>
      </c>
      <c r="O221" s="24">
        <f>IF(Q220&gt;0,MIN(ROUND(O$6+IF(O$5=$C221,$E$5+$E221,0),2),ROUND(Q220+P221,2)),0)</f>
        <v>0</v>
      </c>
      <c r="P221" s="24">
        <f>IF(Q220&gt;0,ROUND(ROUND(Q220*100,0)*ROUND(O$7*10000,0)/12000000,0)/100,0)</f>
        <v>0</v>
      </c>
      <c r="Q221" s="24">
        <f>IF(Q220&gt;0,ROUND(Q220+P221-O221,2),0)</f>
        <v>0</v>
      </c>
      <c r="R221" s="24">
        <f>IF(T220&gt;0,MIN(ROUND(R$6+IF(R$5=$C221,$E$5+$E221,0),2),ROUND(T220+S221,2)),0)</f>
        <v>0</v>
      </c>
      <c r="S221" s="24">
        <f>IF(T220&gt;0,ROUND(ROUND(T220*100,0)*ROUND(R$7*10000,0)/12000000,0)/100,0)</f>
        <v>0</v>
      </c>
      <c r="T221" s="24">
        <f>IF(T220&gt;0,ROUND(T220+S221-R221,2),0)</f>
        <v>0</v>
      </c>
      <c r="U221" s="24">
        <f>IF(W220&gt;0,MIN(ROUND(U$6+IF(U$5=$C221,$E$5+$E221,0),2),ROUND(W220+V221,2)),0)</f>
        <v>0</v>
      </c>
      <c r="V221" s="24">
        <f>IF(W220&gt;0,ROUND(ROUND(W220*100,0)*ROUND(U$7*10000,0)/12000000,0)/100,0)</f>
        <v>0</v>
      </c>
      <c r="W221" s="24">
        <f>IF(W220&gt;0,ROUND(W220+V221-U221,2),0)</f>
        <v>0</v>
      </c>
      <c r="X221" s="24">
        <f>IF(Z220&gt;0,MIN(ROUND(X$6+IF(X$5=$C221,$E$5+$E221,0),2),ROUND(Z220+Y221,2)),0)</f>
        <v>0</v>
      </c>
      <c r="Y221" s="24">
        <f>IF(Z220&gt;0,ROUND(ROUND(Z220*100,0)*ROUND(X$7*10000,0)/12000000,0)/100,0)</f>
        <v>0</v>
      </c>
      <c r="Z221" s="24">
        <f>IF(Z220&gt;0,ROUND(Z220+Y221-X221,2),0)</f>
        <v>0</v>
      </c>
      <c r="AA221" s="24">
        <f>IF(AC220&gt;0,MIN(ROUND(AA$6+IF(AA$5=$C221,$E$5+$E221,0),2),ROUND(AC220+AB221,2)),0)</f>
        <v>0</v>
      </c>
      <c r="AB221" s="24">
        <f>IF(AC220&gt;0,ROUND(ROUND(AC220*100,0)*ROUND(AA$7*10000,0)/12000000,0)/100,0)</f>
        <v>0</v>
      </c>
      <c r="AC221" s="24">
        <f>IF(AC220&gt;0,ROUND(AC220+AB221-AA221,2),0)</f>
        <v>0</v>
      </c>
      <c r="AD221" s="24">
        <f>IF(AF220&gt;0,MIN(ROUND(AD$6+IF(AD$5=$C221,$E$5+$E221,0),2),ROUND(AF220+AE221,2)),0)</f>
        <v>0</v>
      </c>
      <c r="AE221" s="24">
        <f>IF(AF220&gt;0,ROUND(ROUND(AF220*100,0)*ROUND(AD$7*10000,0)/12000000,0)/100,0)</f>
        <v>0</v>
      </c>
      <c r="AF221" s="24">
        <f>IF(AF220&gt;0,ROUND(AF220+AE221-AD221,2),0)</f>
        <v>0</v>
      </c>
      <c r="AG221" s="24">
        <f>IF(AI220&gt;0,MIN(ROUND(AG$6+IF(AG$5=$C221,$E$5+$E221,0),2),ROUND(AI220+AH221,2)),0)</f>
        <v>0</v>
      </c>
      <c r="AH221" s="24">
        <f>IF(AI220&gt;0,ROUND(ROUND(AI220*100,0)*ROUND(AG$7*10000,0)/12000000,0)/100,0)</f>
        <v>0</v>
      </c>
      <c r="AI221" s="24">
        <f>IF(AI220&gt;0,ROUND(AI220+AH221-AG221,2),0)</f>
        <v>0</v>
      </c>
      <c r="AJ221" s="24">
        <f>IF(AL220&gt;0,MIN(ROUND(AJ$6+IF(AJ$5=$C221,$E$5+$E221,0),2),ROUND(AL220+AK221,2)),0)</f>
        <v>0</v>
      </c>
      <c r="AK221" s="24">
        <f>IF(AL220&gt;0,ROUND(ROUND(AL220*100,0)*ROUND(AJ$7*10000,0)/12000000,0)/100,0)</f>
        <v>0</v>
      </c>
      <c r="AL221" s="24">
        <f>IF(AL220&gt;0,ROUND(AL220+AK221-AJ221,2),0)</f>
        <v>0</v>
      </c>
    </row>
    <row r="222" spans="1:38" x14ac:dyDescent="0.25">
      <c r="A222" s="17" t="str">
        <f>IF(F222&gt;0,212,"")</f>
        <v/>
      </c>
      <c r="B222" s="18" t="str">
        <f>IF(F222&gt;0,EDATE($E$6,212),"")</f>
        <v/>
      </c>
      <c r="C222" s="21">
        <f>IF(H221&gt;0,MIN(IF(K221&gt;0,I$5,99),IF(N221&gt;0,L$5,99),IF(Q221&gt;0,O$5,99),IF(T221&gt;0,R$5,99),IF(W221&gt;0,U$5,99),IF(Z221&gt;0,X$5,99),IF(AC221&gt;0,AA$5,99),IF(AF221&gt;0,AD$5,99),IF(AI221&gt;0,AG$5,99),IF(AL221&gt;0,AJ$5,99)),0)</f>
        <v>0</v>
      </c>
      <c r="D222" t="str">
        <f>IF(C222&gt;0,INDEX($I$4:$AL$4,1,MATCH(C222,$I$5:$AL$5,0)),"")</f>
        <v/>
      </c>
      <c r="E222" s="24">
        <f>ROUND(IF(AND(I$8&gt;0,K221=0),I$6,0)+IF(AND(L$8&gt;0,N221=0),L$6,0)+IF(AND(O$8&gt;0,Q221=0),O$6,0)+IF(AND(R$8&gt;0,T221=0),R$6,0)+IF(AND(U$8&gt;0,W221=0),U$6,0)+IF(AND(X$8&gt;0,Z221=0),X$6,0)+IF(AND(AA$8&gt;0,AC221=0),AA$6,0)+IF(AND(AD$8&gt;0,AF221=0),AD$6,0)+IF(AND(AG$8&gt;0,AI221=0),AG$6,0)+IF(AND(AJ$8&gt;0,AL221=0),AJ$6,0),2)</f>
        <v>330</v>
      </c>
      <c r="F222" s="24">
        <f>ROUND(I222+L222+O222+R222+U222+X222+AA222+AD222+AG222+AJ222,2)</f>
        <v>0</v>
      </c>
      <c r="G222" s="24">
        <f>ROUND(J222+M222+P222+S222+V222+Y222+AB222+AE222+AH222+AK222,2)</f>
        <v>0</v>
      </c>
      <c r="H222" s="24">
        <f>ROUND(K222+N222+Q222+T222+W222+Z222+AC222+AF222+AI222+AL222,2)</f>
        <v>0</v>
      </c>
      <c r="I222" s="24">
        <f>IF(K221&gt;0,MIN(ROUND(I$6+IF(I$5=$C222,$E$5+$E222,0),2),ROUND(K221+J222,2)),0)</f>
        <v>0</v>
      </c>
      <c r="J222" s="24">
        <f>IF(K221&gt;0,ROUND(ROUND(K221*100,0)*ROUND(I$7*10000,0)/12000000,0)/100,0)</f>
        <v>0</v>
      </c>
      <c r="K222" s="24">
        <f>IF(K221&gt;0,ROUND(K221+J222-I222,2),0)</f>
        <v>0</v>
      </c>
      <c r="L222" s="24">
        <f>IF(N221&gt;0,MIN(ROUND(L$6+IF(L$5=$C222,$E$5+$E222,0),2),ROUND(N221+M222,2)),0)</f>
        <v>0</v>
      </c>
      <c r="M222" s="24">
        <f>IF(N221&gt;0,ROUND(ROUND(N221*100,0)*ROUND(L$7*10000,0)/12000000,0)/100,0)</f>
        <v>0</v>
      </c>
      <c r="N222" s="24">
        <f>IF(N221&gt;0,ROUND(N221+M222-L222,2),0)</f>
        <v>0</v>
      </c>
      <c r="O222" s="24">
        <f>IF(Q221&gt;0,MIN(ROUND(O$6+IF(O$5=$C222,$E$5+$E222,0),2),ROUND(Q221+P222,2)),0)</f>
        <v>0</v>
      </c>
      <c r="P222" s="24">
        <f>IF(Q221&gt;0,ROUND(ROUND(Q221*100,0)*ROUND(O$7*10000,0)/12000000,0)/100,0)</f>
        <v>0</v>
      </c>
      <c r="Q222" s="24">
        <f>IF(Q221&gt;0,ROUND(Q221+P222-O222,2),0)</f>
        <v>0</v>
      </c>
      <c r="R222" s="24">
        <f>IF(T221&gt;0,MIN(ROUND(R$6+IF(R$5=$C222,$E$5+$E222,0),2),ROUND(T221+S222,2)),0)</f>
        <v>0</v>
      </c>
      <c r="S222" s="24">
        <f>IF(T221&gt;0,ROUND(ROUND(T221*100,0)*ROUND(R$7*10000,0)/12000000,0)/100,0)</f>
        <v>0</v>
      </c>
      <c r="T222" s="24">
        <f>IF(T221&gt;0,ROUND(T221+S222-R222,2),0)</f>
        <v>0</v>
      </c>
      <c r="U222" s="24">
        <f>IF(W221&gt;0,MIN(ROUND(U$6+IF(U$5=$C222,$E$5+$E222,0),2),ROUND(W221+V222,2)),0)</f>
        <v>0</v>
      </c>
      <c r="V222" s="24">
        <f>IF(W221&gt;0,ROUND(ROUND(W221*100,0)*ROUND(U$7*10000,0)/12000000,0)/100,0)</f>
        <v>0</v>
      </c>
      <c r="W222" s="24">
        <f>IF(W221&gt;0,ROUND(W221+V222-U222,2),0)</f>
        <v>0</v>
      </c>
      <c r="X222" s="24">
        <f>IF(Z221&gt;0,MIN(ROUND(X$6+IF(X$5=$C222,$E$5+$E222,0),2),ROUND(Z221+Y222,2)),0)</f>
        <v>0</v>
      </c>
      <c r="Y222" s="24">
        <f>IF(Z221&gt;0,ROUND(ROUND(Z221*100,0)*ROUND(X$7*10000,0)/12000000,0)/100,0)</f>
        <v>0</v>
      </c>
      <c r="Z222" s="24">
        <f>IF(Z221&gt;0,ROUND(Z221+Y222-X222,2),0)</f>
        <v>0</v>
      </c>
      <c r="AA222" s="24">
        <f>IF(AC221&gt;0,MIN(ROUND(AA$6+IF(AA$5=$C222,$E$5+$E222,0),2),ROUND(AC221+AB222,2)),0)</f>
        <v>0</v>
      </c>
      <c r="AB222" s="24">
        <f>IF(AC221&gt;0,ROUND(ROUND(AC221*100,0)*ROUND(AA$7*10000,0)/12000000,0)/100,0)</f>
        <v>0</v>
      </c>
      <c r="AC222" s="24">
        <f>IF(AC221&gt;0,ROUND(AC221+AB222-AA222,2),0)</f>
        <v>0</v>
      </c>
      <c r="AD222" s="24">
        <f>IF(AF221&gt;0,MIN(ROUND(AD$6+IF(AD$5=$C222,$E$5+$E222,0),2),ROUND(AF221+AE222,2)),0)</f>
        <v>0</v>
      </c>
      <c r="AE222" s="24">
        <f>IF(AF221&gt;0,ROUND(ROUND(AF221*100,0)*ROUND(AD$7*10000,0)/12000000,0)/100,0)</f>
        <v>0</v>
      </c>
      <c r="AF222" s="24">
        <f>IF(AF221&gt;0,ROUND(AF221+AE222-AD222,2),0)</f>
        <v>0</v>
      </c>
      <c r="AG222" s="24">
        <f>IF(AI221&gt;0,MIN(ROUND(AG$6+IF(AG$5=$C222,$E$5+$E222,0),2),ROUND(AI221+AH222,2)),0)</f>
        <v>0</v>
      </c>
      <c r="AH222" s="24">
        <f>IF(AI221&gt;0,ROUND(ROUND(AI221*100,0)*ROUND(AG$7*10000,0)/12000000,0)/100,0)</f>
        <v>0</v>
      </c>
      <c r="AI222" s="24">
        <f>IF(AI221&gt;0,ROUND(AI221+AH222-AG222,2),0)</f>
        <v>0</v>
      </c>
      <c r="AJ222" s="24">
        <f>IF(AL221&gt;0,MIN(ROUND(AJ$6+IF(AJ$5=$C222,$E$5+$E222,0),2),ROUND(AL221+AK222,2)),0)</f>
        <v>0</v>
      </c>
      <c r="AK222" s="24">
        <f>IF(AL221&gt;0,ROUND(ROUND(AL221*100,0)*ROUND(AJ$7*10000,0)/12000000,0)/100,0)</f>
        <v>0</v>
      </c>
      <c r="AL222" s="24">
        <f>IF(AL221&gt;0,ROUND(AL221+AK222-AJ222,2),0)</f>
        <v>0</v>
      </c>
    </row>
    <row r="223" spans="1:38" x14ac:dyDescent="0.25">
      <c r="A223" s="17" t="str">
        <f>IF(F223&gt;0,213,"")</f>
        <v/>
      </c>
      <c r="B223" s="18" t="str">
        <f>IF(F223&gt;0,EDATE($E$6,213),"")</f>
        <v/>
      </c>
      <c r="C223" s="21">
        <f>IF(H222&gt;0,MIN(IF(K222&gt;0,I$5,99),IF(N222&gt;0,L$5,99),IF(Q222&gt;0,O$5,99),IF(T222&gt;0,R$5,99),IF(W222&gt;0,U$5,99),IF(Z222&gt;0,X$5,99),IF(AC222&gt;0,AA$5,99),IF(AF222&gt;0,AD$5,99),IF(AI222&gt;0,AG$5,99),IF(AL222&gt;0,AJ$5,99)),0)</f>
        <v>0</v>
      </c>
      <c r="D223" t="str">
        <f>IF(C223&gt;0,INDEX($I$4:$AL$4,1,MATCH(C223,$I$5:$AL$5,0)),"")</f>
        <v/>
      </c>
      <c r="E223" s="24">
        <f>ROUND(IF(AND(I$8&gt;0,K222=0),I$6,0)+IF(AND(L$8&gt;0,N222=0),L$6,0)+IF(AND(O$8&gt;0,Q222=0),O$6,0)+IF(AND(R$8&gt;0,T222=0),R$6,0)+IF(AND(U$8&gt;0,W222=0),U$6,0)+IF(AND(X$8&gt;0,Z222=0),X$6,0)+IF(AND(AA$8&gt;0,AC222=0),AA$6,0)+IF(AND(AD$8&gt;0,AF222=0),AD$6,0)+IF(AND(AG$8&gt;0,AI222=0),AG$6,0)+IF(AND(AJ$8&gt;0,AL222=0),AJ$6,0),2)</f>
        <v>330</v>
      </c>
      <c r="F223" s="24">
        <f>ROUND(I223+L223+O223+R223+U223+X223+AA223+AD223+AG223+AJ223,2)</f>
        <v>0</v>
      </c>
      <c r="G223" s="24">
        <f>ROUND(J223+M223+P223+S223+V223+Y223+AB223+AE223+AH223+AK223,2)</f>
        <v>0</v>
      </c>
      <c r="H223" s="24">
        <f>ROUND(K223+N223+Q223+T223+W223+Z223+AC223+AF223+AI223+AL223,2)</f>
        <v>0</v>
      </c>
      <c r="I223" s="24">
        <f>IF(K222&gt;0,MIN(ROUND(I$6+IF(I$5=$C223,$E$5+$E223,0),2),ROUND(K222+J223,2)),0)</f>
        <v>0</v>
      </c>
      <c r="J223" s="24">
        <f>IF(K222&gt;0,ROUND(ROUND(K222*100,0)*ROUND(I$7*10000,0)/12000000,0)/100,0)</f>
        <v>0</v>
      </c>
      <c r="K223" s="24">
        <f>IF(K222&gt;0,ROUND(K222+J223-I223,2),0)</f>
        <v>0</v>
      </c>
      <c r="L223" s="24">
        <f>IF(N222&gt;0,MIN(ROUND(L$6+IF(L$5=$C223,$E$5+$E223,0),2),ROUND(N222+M223,2)),0)</f>
        <v>0</v>
      </c>
      <c r="M223" s="24">
        <f>IF(N222&gt;0,ROUND(ROUND(N222*100,0)*ROUND(L$7*10000,0)/12000000,0)/100,0)</f>
        <v>0</v>
      </c>
      <c r="N223" s="24">
        <f>IF(N222&gt;0,ROUND(N222+M223-L223,2),0)</f>
        <v>0</v>
      </c>
      <c r="O223" s="24">
        <f>IF(Q222&gt;0,MIN(ROUND(O$6+IF(O$5=$C223,$E$5+$E223,0),2),ROUND(Q222+P223,2)),0)</f>
        <v>0</v>
      </c>
      <c r="P223" s="24">
        <f>IF(Q222&gt;0,ROUND(ROUND(Q222*100,0)*ROUND(O$7*10000,0)/12000000,0)/100,0)</f>
        <v>0</v>
      </c>
      <c r="Q223" s="24">
        <f>IF(Q222&gt;0,ROUND(Q222+P223-O223,2),0)</f>
        <v>0</v>
      </c>
      <c r="R223" s="24">
        <f>IF(T222&gt;0,MIN(ROUND(R$6+IF(R$5=$C223,$E$5+$E223,0),2),ROUND(T222+S223,2)),0)</f>
        <v>0</v>
      </c>
      <c r="S223" s="24">
        <f>IF(T222&gt;0,ROUND(ROUND(T222*100,0)*ROUND(R$7*10000,0)/12000000,0)/100,0)</f>
        <v>0</v>
      </c>
      <c r="T223" s="24">
        <f>IF(T222&gt;0,ROUND(T222+S223-R223,2),0)</f>
        <v>0</v>
      </c>
      <c r="U223" s="24">
        <f>IF(W222&gt;0,MIN(ROUND(U$6+IF(U$5=$C223,$E$5+$E223,0),2),ROUND(W222+V223,2)),0)</f>
        <v>0</v>
      </c>
      <c r="V223" s="24">
        <f>IF(W222&gt;0,ROUND(ROUND(W222*100,0)*ROUND(U$7*10000,0)/12000000,0)/100,0)</f>
        <v>0</v>
      </c>
      <c r="W223" s="24">
        <f>IF(W222&gt;0,ROUND(W222+V223-U223,2),0)</f>
        <v>0</v>
      </c>
      <c r="X223" s="24">
        <f>IF(Z222&gt;0,MIN(ROUND(X$6+IF(X$5=$C223,$E$5+$E223,0),2),ROUND(Z222+Y223,2)),0)</f>
        <v>0</v>
      </c>
      <c r="Y223" s="24">
        <f>IF(Z222&gt;0,ROUND(ROUND(Z222*100,0)*ROUND(X$7*10000,0)/12000000,0)/100,0)</f>
        <v>0</v>
      </c>
      <c r="Z223" s="24">
        <f>IF(Z222&gt;0,ROUND(Z222+Y223-X223,2),0)</f>
        <v>0</v>
      </c>
      <c r="AA223" s="24">
        <f>IF(AC222&gt;0,MIN(ROUND(AA$6+IF(AA$5=$C223,$E$5+$E223,0),2),ROUND(AC222+AB223,2)),0)</f>
        <v>0</v>
      </c>
      <c r="AB223" s="24">
        <f>IF(AC222&gt;0,ROUND(ROUND(AC222*100,0)*ROUND(AA$7*10000,0)/12000000,0)/100,0)</f>
        <v>0</v>
      </c>
      <c r="AC223" s="24">
        <f>IF(AC222&gt;0,ROUND(AC222+AB223-AA223,2),0)</f>
        <v>0</v>
      </c>
      <c r="AD223" s="24">
        <f>IF(AF222&gt;0,MIN(ROUND(AD$6+IF(AD$5=$C223,$E$5+$E223,0),2),ROUND(AF222+AE223,2)),0)</f>
        <v>0</v>
      </c>
      <c r="AE223" s="24">
        <f>IF(AF222&gt;0,ROUND(ROUND(AF222*100,0)*ROUND(AD$7*10000,0)/12000000,0)/100,0)</f>
        <v>0</v>
      </c>
      <c r="AF223" s="24">
        <f>IF(AF222&gt;0,ROUND(AF222+AE223-AD223,2),0)</f>
        <v>0</v>
      </c>
      <c r="AG223" s="24">
        <f>IF(AI222&gt;0,MIN(ROUND(AG$6+IF(AG$5=$C223,$E$5+$E223,0),2),ROUND(AI222+AH223,2)),0)</f>
        <v>0</v>
      </c>
      <c r="AH223" s="24">
        <f>IF(AI222&gt;0,ROUND(ROUND(AI222*100,0)*ROUND(AG$7*10000,0)/12000000,0)/100,0)</f>
        <v>0</v>
      </c>
      <c r="AI223" s="24">
        <f>IF(AI222&gt;0,ROUND(AI222+AH223-AG223,2),0)</f>
        <v>0</v>
      </c>
      <c r="AJ223" s="24">
        <f>IF(AL222&gt;0,MIN(ROUND(AJ$6+IF(AJ$5=$C223,$E$5+$E223,0),2),ROUND(AL222+AK223,2)),0)</f>
        <v>0</v>
      </c>
      <c r="AK223" s="24">
        <f>IF(AL222&gt;0,ROUND(ROUND(AL222*100,0)*ROUND(AJ$7*10000,0)/12000000,0)/100,0)</f>
        <v>0</v>
      </c>
      <c r="AL223" s="24">
        <f>IF(AL222&gt;0,ROUND(AL222+AK223-AJ223,2),0)</f>
        <v>0</v>
      </c>
    </row>
    <row r="224" spans="1:38" x14ac:dyDescent="0.25">
      <c r="A224" s="17" t="str">
        <f>IF(F224&gt;0,214,"")</f>
        <v/>
      </c>
      <c r="B224" s="18" t="str">
        <f>IF(F224&gt;0,EDATE($E$6,214),"")</f>
        <v/>
      </c>
      <c r="C224" s="21">
        <f>IF(H223&gt;0,MIN(IF(K223&gt;0,I$5,99),IF(N223&gt;0,L$5,99),IF(Q223&gt;0,O$5,99),IF(T223&gt;0,R$5,99),IF(W223&gt;0,U$5,99),IF(Z223&gt;0,X$5,99),IF(AC223&gt;0,AA$5,99),IF(AF223&gt;0,AD$5,99),IF(AI223&gt;0,AG$5,99),IF(AL223&gt;0,AJ$5,99)),0)</f>
        <v>0</v>
      </c>
      <c r="D224" t="str">
        <f>IF(C224&gt;0,INDEX($I$4:$AL$4,1,MATCH(C224,$I$5:$AL$5,0)),"")</f>
        <v/>
      </c>
      <c r="E224" s="24">
        <f>ROUND(IF(AND(I$8&gt;0,K223=0),I$6,0)+IF(AND(L$8&gt;0,N223=0),L$6,0)+IF(AND(O$8&gt;0,Q223=0),O$6,0)+IF(AND(R$8&gt;0,T223=0),R$6,0)+IF(AND(U$8&gt;0,W223=0),U$6,0)+IF(AND(X$8&gt;0,Z223=0),X$6,0)+IF(AND(AA$8&gt;0,AC223=0),AA$6,0)+IF(AND(AD$8&gt;0,AF223=0),AD$6,0)+IF(AND(AG$8&gt;0,AI223=0),AG$6,0)+IF(AND(AJ$8&gt;0,AL223=0),AJ$6,0),2)</f>
        <v>330</v>
      </c>
      <c r="F224" s="24">
        <f>ROUND(I224+L224+O224+R224+U224+X224+AA224+AD224+AG224+AJ224,2)</f>
        <v>0</v>
      </c>
      <c r="G224" s="24">
        <f>ROUND(J224+M224+P224+S224+V224+Y224+AB224+AE224+AH224+AK224,2)</f>
        <v>0</v>
      </c>
      <c r="H224" s="24">
        <f>ROUND(K224+N224+Q224+T224+W224+Z224+AC224+AF224+AI224+AL224,2)</f>
        <v>0</v>
      </c>
      <c r="I224" s="24">
        <f>IF(K223&gt;0,MIN(ROUND(I$6+IF(I$5=$C224,$E$5+$E224,0),2),ROUND(K223+J224,2)),0)</f>
        <v>0</v>
      </c>
      <c r="J224" s="24">
        <f>IF(K223&gt;0,ROUND(ROUND(K223*100,0)*ROUND(I$7*10000,0)/12000000,0)/100,0)</f>
        <v>0</v>
      </c>
      <c r="K224" s="24">
        <f>IF(K223&gt;0,ROUND(K223+J224-I224,2),0)</f>
        <v>0</v>
      </c>
      <c r="L224" s="24">
        <f>IF(N223&gt;0,MIN(ROUND(L$6+IF(L$5=$C224,$E$5+$E224,0),2),ROUND(N223+M224,2)),0)</f>
        <v>0</v>
      </c>
      <c r="M224" s="24">
        <f>IF(N223&gt;0,ROUND(ROUND(N223*100,0)*ROUND(L$7*10000,0)/12000000,0)/100,0)</f>
        <v>0</v>
      </c>
      <c r="N224" s="24">
        <f>IF(N223&gt;0,ROUND(N223+M224-L224,2),0)</f>
        <v>0</v>
      </c>
      <c r="O224" s="24">
        <f>IF(Q223&gt;0,MIN(ROUND(O$6+IF(O$5=$C224,$E$5+$E224,0),2),ROUND(Q223+P224,2)),0)</f>
        <v>0</v>
      </c>
      <c r="P224" s="24">
        <f>IF(Q223&gt;0,ROUND(ROUND(Q223*100,0)*ROUND(O$7*10000,0)/12000000,0)/100,0)</f>
        <v>0</v>
      </c>
      <c r="Q224" s="24">
        <f>IF(Q223&gt;0,ROUND(Q223+P224-O224,2),0)</f>
        <v>0</v>
      </c>
      <c r="R224" s="24">
        <f>IF(T223&gt;0,MIN(ROUND(R$6+IF(R$5=$C224,$E$5+$E224,0),2),ROUND(T223+S224,2)),0)</f>
        <v>0</v>
      </c>
      <c r="S224" s="24">
        <f>IF(T223&gt;0,ROUND(ROUND(T223*100,0)*ROUND(R$7*10000,0)/12000000,0)/100,0)</f>
        <v>0</v>
      </c>
      <c r="T224" s="24">
        <f>IF(T223&gt;0,ROUND(T223+S224-R224,2),0)</f>
        <v>0</v>
      </c>
      <c r="U224" s="24">
        <f>IF(W223&gt;0,MIN(ROUND(U$6+IF(U$5=$C224,$E$5+$E224,0),2),ROUND(W223+V224,2)),0)</f>
        <v>0</v>
      </c>
      <c r="V224" s="24">
        <f>IF(W223&gt;0,ROUND(ROUND(W223*100,0)*ROUND(U$7*10000,0)/12000000,0)/100,0)</f>
        <v>0</v>
      </c>
      <c r="W224" s="24">
        <f>IF(W223&gt;0,ROUND(W223+V224-U224,2),0)</f>
        <v>0</v>
      </c>
      <c r="X224" s="24">
        <f>IF(Z223&gt;0,MIN(ROUND(X$6+IF(X$5=$C224,$E$5+$E224,0),2),ROUND(Z223+Y224,2)),0)</f>
        <v>0</v>
      </c>
      <c r="Y224" s="24">
        <f>IF(Z223&gt;0,ROUND(ROUND(Z223*100,0)*ROUND(X$7*10000,0)/12000000,0)/100,0)</f>
        <v>0</v>
      </c>
      <c r="Z224" s="24">
        <f>IF(Z223&gt;0,ROUND(Z223+Y224-X224,2),0)</f>
        <v>0</v>
      </c>
      <c r="AA224" s="24">
        <f>IF(AC223&gt;0,MIN(ROUND(AA$6+IF(AA$5=$C224,$E$5+$E224,0),2),ROUND(AC223+AB224,2)),0)</f>
        <v>0</v>
      </c>
      <c r="AB224" s="24">
        <f>IF(AC223&gt;0,ROUND(ROUND(AC223*100,0)*ROUND(AA$7*10000,0)/12000000,0)/100,0)</f>
        <v>0</v>
      </c>
      <c r="AC224" s="24">
        <f>IF(AC223&gt;0,ROUND(AC223+AB224-AA224,2),0)</f>
        <v>0</v>
      </c>
      <c r="AD224" s="24">
        <f>IF(AF223&gt;0,MIN(ROUND(AD$6+IF(AD$5=$C224,$E$5+$E224,0),2),ROUND(AF223+AE224,2)),0)</f>
        <v>0</v>
      </c>
      <c r="AE224" s="24">
        <f>IF(AF223&gt;0,ROUND(ROUND(AF223*100,0)*ROUND(AD$7*10000,0)/12000000,0)/100,0)</f>
        <v>0</v>
      </c>
      <c r="AF224" s="24">
        <f>IF(AF223&gt;0,ROUND(AF223+AE224-AD224,2),0)</f>
        <v>0</v>
      </c>
      <c r="AG224" s="24">
        <f>IF(AI223&gt;0,MIN(ROUND(AG$6+IF(AG$5=$C224,$E$5+$E224,0),2),ROUND(AI223+AH224,2)),0)</f>
        <v>0</v>
      </c>
      <c r="AH224" s="24">
        <f>IF(AI223&gt;0,ROUND(ROUND(AI223*100,0)*ROUND(AG$7*10000,0)/12000000,0)/100,0)</f>
        <v>0</v>
      </c>
      <c r="AI224" s="24">
        <f>IF(AI223&gt;0,ROUND(AI223+AH224-AG224,2),0)</f>
        <v>0</v>
      </c>
      <c r="AJ224" s="24">
        <f>IF(AL223&gt;0,MIN(ROUND(AJ$6+IF(AJ$5=$C224,$E$5+$E224,0),2),ROUND(AL223+AK224,2)),0)</f>
        <v>0</v>
      </c>
      <c r="AK224" s="24">
        <f>IF(AL223&gt;0,ROUND(ROUND(AL223*100,0)*ROUND(AJ$7*10000,0)/12000000,0)/100,0)</f>
        <v>0</v>
      </c>
      <c r="AL224" s="24">
        <f>IF(AL223&gt;0,ROUND(AL223+AK224-AJ224,2),0)</f>
        <v>0</v>
      </c>
    </row>
    <row r="225" spans="1:38" x14ac:dyDescent="0.25">
      <c r="A225" s="17" t="str">
        <f>IF(F225&gt;0,215,"")</f>
        <v/>
      </c>
      <c r="B225" s="18" t="str">
        <f>IF(F225&gt;0,EDATE($E$6,215),"")</f>
        <v/>
      </c>
      <c r="C225" s="21">
        <f>IF(H224&gt;0,MIN(IF(K224&gt;0,I$5,99),IF(N224&gt;0,L$5,99),IF(Q224&gt;0,O$5,99),IF(T224&gt;0,R$5,99),IF(W224&gt;0,U$5,99),IF(Z224&gt;0,X$5,99),IF(AC224&gt;0,AA$5,99),IF(AF224&gt;0,AD$5,99),IF(AI224&gt;0,AG$5,99),IF(AL224&gt;0,AJ$5,99)),0)</f>
        <v>0</v>
      </c>
      <c r="D225" t="str">
        <f>IF(C225&gt;0,INDEX($I$4:$AL$4,1,MATCH(C225,$I$5:$AL$5,0)),"")</f>
        <v/>
      </c>
      <c r="E225" s="24">
        <f>ROUND(IF(AND(I$8&gt;0,K224=0),I$6,0)+IF(AND(L$8&gt;0,N224=0),L$6,0)+IF(AND(O$8&gt;0,Q224=0),O$6,0)+IF(AND(R$8&gt;0,T224=0),R$6,0)+IF(AND(U$8&gt;0,W224=0),U$6,0)+IF(AND(X$8&gt;0,Z224=0),X$6,0)+IF(AND(AA$8&gt;0,AC224=0),AA$6,0)+IF(AND(AD$8&gt;0,AF224=0),AD$6,0)+IF(AND(AG$8&gt;0,AI224=0),AG$6,0)+IF(AND(AJ$8&gt;0,AL224=0),AJ$6,0),2)</f>
        <v>330</v>
      </c>
      <c r="F225" s="24">
        <f>ROUND(I225+L225+O225+R225+U225+X225+AA225+AD225+AG225+AJ225,2)</f>
        <v>0</v>
      </c>
      <c r="G225" s="24">
        <f>ROUND(J225+M225+P225+S225+V225+Y225+AB225+AE225+AH225+AK225,2)</f>
        <v>0</v>
      </c>
      <c r="H225" s="24">
        <f>ROUND(K225+N225+Q225+T225+W225+Z225+AC225+AF225+AI225+AL225,2)</f>
        <v>0</v>
      </c>
      <c r="I225" s="24">
        <f>IF(K224&gt;0,MIN(ROUND(I$6+IF(I$5=$C225,$E$5+$E225,0),2),ROUND(K224+J225,2)),0)</f>
        <v>0</v>
      </c>
      <c r="J225" s="24">
        <f>IF(K224&gt;0,ROUND(ROUND(K224*100,0)*ROUND(I$7*10000,0)/12000000,0)/100,0)</f>
        <v>0</v>
      </c>
      <c r="K225" s="24">
        <f>IF(K224&gt;0,ROUND(K224+J225-I225,2),0)</f>
        <v>0</v>
      </c>
      <c r="L225" s="24">
        <f>IF(N224&gt;0,MIN(ROUND(L$6+IF(L$5=$C225,$E$5+$E225,0),2),ROUND(N224+M225,2)),0)</f>
        <v>0</v>
      </c>
      <c r="M225" s="24">
        <f>IF(N224&gt;0,ROUND(ROUND(N224*100,0)*ROUND(L$7*10000,0)/12000000,0)/100,0)</f>
        <v>0</v>
      </c>
      <c r="N225" s="24">
        <f>IF(N224&gt;0,ROUND(N224+M225-L225,2),0)</f>
        <v>0</v>
      </c>
      <c r="O225" s="24">
        <f>IF(Q224&gt;0,MIN(ROUND(O$6+IF(O$5=$C225,$E$5+$E225,0),2),ROUND(Q224+P225,2)),0)</f>
        <v>0</v>
      </c>
      <c r="P225" s="24">
        <f>IF(Q224&gt;0,ROUND(ROUND(Q224*100,0)*ROUND(O$7*10000,0)/12000000,0)/100,0)</f>
        <v>0</v>
      </c>
      <c r="Q225" s="24">
        <f>IF(Q224&gt;0,ROUND(Q224+P225-O225,2),0)</f>
        <v>0</v>
      </c>
      <c r="R225" s="24">
        <f>IF(T224&gt;0,MIN(ROUND(R$6+IF(R$5=$C225,$E$5+$E225,0),2),ROUND(T224+S225,2)),0)</f>
        <v>0</v>
      </c>
      <c r="S225" s="24">
        <f>IF(T224&gt;0,ROUND(ROUND(T224*100,0)*ROUND(R$7*10000,0)/12000000,0)/100,0)</f>
        <v>0</v>
      </c>
      <c r="T225" s="24">
        <f>IF(T224&gt;0,ROUND(T224+S225-R225,2),0)</f>
        <v>0</v>
      </c>
      <c r="U225" s="24">
        <f>IF(W224&gt;0,MIN(ROUND(U$6+IF(U$5=$C225,$E$5+$E225,0),2),ROUND(W224+V225,2)),0)</f>
        <v>0</v>
      </c>
      <c r="V225" s="24">
        <f>IF(W224&gt;0,ROUND(ROUND(W224*100,0)*ROUND(U$7*10000,0)/12000000,0)/100,0)</f>
        <v>0</v>
      </c>
      <c r="W225" s="24">
        <f>IF(W224&gt;0,ROUND(W224+V225-U225,2),0)</f>
        <v>0</v>
      </c>
      <c r="X225" s="24">
        <f>IF(Z224&gt;0,MIN(ROUND(X$6+IF(X$5=$C225,$E$5+$E225,0),2),ROUND(Z224+Y225,2)),0)</f>
        <v>0</v>
      </c>
      <c r="Y225" s="24">
        <f>IF(Z224&gt;0,ROUND(ROUND(Z224*100,0)*ROUND(X$7*10000,0)/12000000,0)/100,0)</f>
        <v>0</v>
      </c>
      <c r="Z225" s="24">
        <f>IF(Z224&gt;0,ROUND(Z224+Y225-X225,2),0)</f>
        <v>0</v>
      </c>
      <c r="AA225" s="24">
        <f>IF(AC224&gt;0,MIN(ROUND(AA$6+IF(AA$5=$C225,$E$5+$E225,0),2),ROUND(AC224+AB225,2)),0)</f>
        <v>0</v>
      </c>
      <c r="AB225" s="24">
        <f>IF(AC224&gt;0,ROUND(ROUND(AC224*100,0)*ROUND(AA$7*10000,0)/12000000,0)/100,0)</f>
        <v>0</v>
      </c>
      <c r="AC225" s="24">
        <f>IF(AC224&gt;0,ROUND(AC224+AB225-AA225,2),0)</f>
        <v>0</v>
      </c>
      <c r="AD225" s="24">
        <f>IF(AF224&gt;0,MIN(ROUND(AD$6+IF(AD$5=$C225,$E$5+$E225,0),2),ROUND(AF224+AE225,2)),0)</f>
        <v>0</v>
      </c>
      <c r="AE225" s="24">
        <f>IF(AF224&gt;0,ROUND(ROUND(AF224*100,0)*ROUND(AD$7*10000,0)/12000000,0)/100,0)</f>
        <v>0</v>
      </c>
      <c r="AF225" s="24">
        <f>IF(AF224&gt;0,ROUND(AF224+AE225-AD225,2),0)</f>
        <v>0</v>
      </c>
      <c r="AG225" s="24">
        <f>IF(AI224&gt;0,MIN(ROUND(AG$6+IF(AG$5=$C225,$E$5+$E225,0),2),ROUND(AI224+AH225,2)),0)</f>
        <v>0</v>
      </c>
      <c r="AH225" s="24">
        <f>IF(AI224&gt;0,ROUND(ROUND(AI224*100,0)*ROUND(AG$7*10000,0)/12000000,0)/100,0)</f>
        <v>0</v>
      </c>
      <c r="AI225" s="24">
        <f>IF(AI224&gt;0,ROUND(AI224+AH225-AG225,2),0)</f>
        <v>0</v>
      </c>
      <c r="AJ225" s="24">
        <f>IF(AL224&gt;0,MIN(ROUND(AJ$6+IF(AJ$5=$C225,$E$5+$E225,0),2),ROUND(AL224+AK225,2)),0)</f>
        <v>0</v>
      </c>
      <c r="AK225" s="24">
        <f>IF(AL224&gt;0,ROUND(ROUND(AL224*100,0)*ROUND(AJ$7*10000,0)/12000000,0)/100,0)</f>
        <v>0</v>
      </c>
      <c r="AL225" s="24">
        <f>IF(AL224&gt;0,ROUND(AL224+AK225-AJ225,2),0)</f>
        <v>0</v>
      </c>
    </row>
    <row r="226" spans="1:38" x14ac:dyDescent="0.25">
      <c r="A226" s="17" t="str">
        <f>IF(F226&gt;0,216,"")</f>
        <v/>
      </c>
      <c r="B226" s="18" t="str">
        <f>IF(F226&gt;0,EDATE($E$6,216),"")</f>
        <v/>
      </c>
      <c r="C226" s="21">
        <f>IF(H225&gt;0,MIN(IF(K225&gt;0,I$5,99),IF(N225&gt;0,L$5,99),IF(Q225&gt;0,O$5,99),IF(T225&gt;0,R$5,99),IF(W225&gt;0,U$5,99),IF(Z225&gt;0,X$5,99),IF(AC225&gt;0,AA$5,99),IF(AF225&gt;0,AD$5,99),IF(AI225&gt;0,AG$5,99),IF(AL225&gt;0,AJ$5,99)),0)</f>
        <v>0</v>
      </c>
      <c r="D226" t="str">
        <f>IF(C226&gt;0,INDEX($I$4:$AL$4,1,MATCH(C226,$I$5:$AL$5,0)),"")</f>
        <v/>
      </c>
      <c r="E226" s="24">
        <f>ROUND(IF(AND(I$8&gt;0,K225=0),I$6,0)+IF(AND(L$8&gt;0,N225=0),L$6,0)+IF(AND(O$8&gt;0,Q225=0),O$6,0)+IF(AND(R$8&gt;0,T225=0),R$6,0)+IF(AND(U$8&gt;0,W225=0),U$6,0)+IF(AND(X$8&gt;0,Z225=0),X$6,0)+IF(AND(AA$8&gt;0,AC225=0),AA$6,0)+IF(AND(AD$8&gt;0,AF225=0),AD$6,0)+IF(AND(AG$8&gt;0,AI225=0),AG$6,0)+IF(AND(AJ$8&gt;0,AL225=0),AJ$6,0),2)</f>
        <v>330</v>
      </c>
      <c r="F226" s="24">
        <f>ROUND(I226+L226+O226+R226+U226+X226+AA226+AD226+AG226+AJ226,2)</f>
        <v>0</v>
      </c>
      <c r="G226" s="24">
        <f>ROUND(J226+M226+P226+S226+V226+Y226+AB226+AE226+AH226+AK226,2)</f>
        <v>0</v>
      </c>
      <c r="H226" s="24">
        <f>ROUND(K226+N226+Q226+T226+W226+Z226+AC226+AF226+AI226+AL226,2)</f>
        <v>0</v>
      </c>
      <c r="I226" s="24">
        <f>IF(K225&gt;0,MIN(ROUND(I$6+IF(I$5=$C226,$E$5+$E226,0),2),ROUND(K225+J226,2)),0)</f>
        <v>0</v>
      </c>
      <c r="J226" s="24">
        <f>IF(K225&gt;0,ROUND(ROUND(K225*100,0)*ROUND(I$7*10000,0)/12000000,0)/100,0)</f>
        <v>0</v>
      </c>
      <c r="K226" s="24">
        <f>IF(K225&gt;0,ROUND(K225+J226-I226,2),0)</f>
        <v>0</v>
      </c>
      <c r="L226" s="24">
        <f>IF(N225&gt;0,MIN(ROUND(L$6+IF(L$5=$C226,$E$5+$E226,0),2),ROUND(N225+M226,2)),0)</f>
        <v>0</v>
      </c>
      <c r="M226" s="24">
        <f>IF(N225&gt;0,ROUND(ROUND(N225*100,0)*ROUND(L$7*10000,0)/12000000,0)/100,0)</f>
        <v>0</v>
      </c>
      <c r="N226" s="24">
        <f>IF(N225&gt;0,ROUND(N225+M226-L226,2),0)</f>
        <v>0</v>
      </c>
      <c r="O226" s="24">
        <f>IF(Q225&gt;0,MIN(ROUND(O$6+IF(O$5=$C226,$E$5+$E226,0),2),ROUND(Q225+P226,2)),0)</f>
        <v>0</v>
      </c>
      <c r="P226" s="24">
        <f>IF(Q225&gt;0,ROUND(ROUND(Q225*100,0)*ROUND(O$7*10000,0)/12000000,0)/100,0)</f>
        <v>0</v>
      </c>
      <c r="Q226" s="24">
        <f>IF(Q225&gt;0,ROUND(Q225+P226-O226,2),0)</f>
        <v>0</v>
      </c>
      <c r="R226" s="24">
        <f>IF(T225&gt;0,MIN(ROUND(R$6+IF(R$5=$C226,$E$5+$E226,0),2),ROUND(T225+S226,2)),0)</f>
        <v>0</v>
      </c>
      <c r="S226" s="24">
        <f>IF(T225&gt;0,ROUND(ROUND(T225*100,0)*ROUND(R$7*10000,0)/12000000,0)/100,0)</f>
        <v>0</v>
      </c>
      <c r="T226" s="24">
        <f>IF(T225&gt;0,ROUND(T225+S226-R226,2),0)</f>
        <v>0</v>
      </c>
      <c r="U226" s="24">
        <f>IF(W225&gt;0,MIN(ROUND(U$6+IF(U$5=$C226,$E$5+$E226,0),2),ROUND(W225+V226,2)),0)</f>
        <v>0</v>
      </c>
      <c r="V226" s="24">
        <f>IF(W225&gt;0,ROUND(ROUND(W225*100,0)*ROUND(U$7*10000,0)/12000000,0)/100,0)</f>
        <v>0</v>
      </c>
      <c r="W226" s="24">
        <f>IF(W225&gt;0,ROUND(W225+V226-U226,2),0)</f>
        <v>0</v>
      </c>
      <c r="X226" s="24">
        <f>IF(Z225&gt;0,MIN(ROUND(X$6+IF(X$5=$C226,$E$5+$E226,0),2),ROUND(Z225+Y226,2)),0)</f>
        <v>0</v>
      </c>
      <c r="Y226" s="24">
        <f>IF(Z225&gt;0,ROUND(ROUND(Z225*100,0)*ROUND(X$7*10000,0)/12000000,0)/100,0)</f>
        <v>0</v>
      </c>
      <c r="Z226" s="24">
        <f>IF(Z225&gt;0,ROUND(Z225+Y226-X226,2),0)</f>
        <v>0</v>
      </c>
      <c r="AA226" s="24">
        <f>IF(AC225&gt;0,MIN(ROUND(AA$6+IF(AA$5=$C226,$E$5+$E226,0),2),ROUND(AC225+AB226,2)),0)</f>
        <v>0</v>
      </c>
      <c r="AB226" s="24">
        <f>IF(AC225&gt;0,ROUND(ROUND(AC225*100,0)*ROUND(AA$7*10000,0)/12000000,0)/100,0)</f>
        <v>0</v>
      </c>
      <c r="AC226" s="24">
        <f>IF(AC225&gt;0,ROUND(AC225+AB226-AA226,2),0)</f>
        <v>0</v>
      </c>
      <c r="AD226" s="24">
        <f>IF(AF225&gt;0,MIN(ROUND(AD$6+IF(AD$5=$C226,$E$5+$E226,0),2),ROUND(AF225+AE226,2)),0)</f>
        <v>0</v>
      </c>
      <c r="AE226" s="24">
        <f>IF(AF225&gt;0,ROUND(ROUND(AF225*100,0)*ROUND(AD$7*10000,0)/12000000,0)/100,0)</f>
        <v>0</v>
      </c>
      <c r="AF226" s="24">
        <f>IF(AF225&gt;0,ROUND(AF225+AE226-AD226,2),0)</f>
        <v>0</v>
      </c>
      <c r="AG226" s="24">
        <f>IF(AI225&gt;0,MIN(ROUND(AG$6+IF(AG$5=$C226,$E$5+$E226,0),2),ROUND(AI225+AH226,2)),0)</f>
        <v>0</v>
      </c>
      <c r="AH226" s="24">
        <f>IF(AI225&gt;0,ROUND(ROUND(AI225*100,0)*ROUND(AG$7*10000,0)/12000000,0)/100,0)</f>
        <v>0</v>
      </c>
      <c r="AI226" s="24">
        <f>IF(AI225&gt;0,ROUND(AI225+AH226-AG226,2),0)</f>
        <v>0</v>
      </c>
      <c r="AJ226" s="24">
        <f>IF(AL225&gt;0,MIN(ROUND(AJ$6+IF(AJ$5=$C226,$E$5+$E226,0),2),ROUND(AL225+AK226,2)),0)</f>
        <v>0</v>
      </c>
      <c r="AK226" s="24">
        <f>IF(AL225&gt;0,ROUND(ROUND(AL225*100,0)*ROUND(AJ$7*10000,0)/12000000,0)/100,0)</f>
        <v>0</v>
      </c>
      <c r="AL226" s="24">
        <f>IF(AL225&gt;0,ROUND(AL225+AK226-AJ226,2),0)</f>
        <v>0</v>
      </c>
    </row>
    <row r="227" spans="1:38" x14ac:dyDescent="0.25">
      <c r="A227" s="17" t="str">
        <f>IF(F227&gt;0,217,"")</f>
        <v/>
      </c>
      <c r="B227" s="18" t="str">
        <f>IF(F227&gt;0,EDATE($E$6,217),"")</f>
        <v/>
      </c>
      <c r="C227" s="21">
        <f>IF(H226&gt;0,MIN(IF(K226&gt;0,I$5,99),IF(N226&gt;0,L$5,99),IF(Q226&gt;0,O$5,99),IF(T226&gt;0,R$5,99),IF(W226&gt;0,U$5,99),IF(Z226&gt;0,X$5,99),IF(AC226&gt;0,AA$5,99),IF(AF226&gt;0,AD$5,99),IF(AI226&gt;0,AG$5,99),IF(AL226&gt;0,AJ$5,99)),0)</f>
        <v>0</v>
      </c>
      <c r="D227" t="str">
        <f>IF(C227&gt;0,INDEX($I$4:$AL$4,1,MATCH(C227,$I$5:$AL$5,0)),"")</f>
        <v/>
      </c>
      <c r="E227" s="24">
        <f>ROUND(IF(AND(I$8&gt;0,K226=0),I$6,0)+IF(AND(L$8&gt;0,N226=0),L$6,0)+IF(AND(O$8&gt;0,Q226=0),O$6,0)+IF(AND(R$8&gt;0,T226=0),R$6,0)+IF(AND(U$8&gt;0,W226=0),U$6,0)+IF(AND(X$8&gt;0,Z226=0),X$6,0)+IF(AND(AA$8&gt;0,AC226=0),AA$6,0)+IF(AND(AD$8&gt;0,AF226=0),AD$6,0)+IF(AND(AG$8&gt;0,AI226=0),AG$6,0)+IF(AND(AJ$8&gt;0,AL226=0),AJ$6,0),2)</f>
        <v>330</v>
      </c>
      <c r="F227" s="24">
        <f>ROUND(I227+L227+O227+R227+U227+X227+AA227+AD227+AG227+AJ227,2)</f>
        <v>0</v>
      </c>
      <c r="G227" s="24">
        <f>ROUND(J227+M227+P227+S227+V227+Y227+AB227+AE227+AH227+AK227,2)</f>
        <v>0</v>
      </c>
      <c r="H227" s="24">
        <f>ROUND(K227+N227+Q227+T227+W227+Z227+AC227+AF227+AI227+AL227,2)</f>
        <v>0</v>
      </c>
      <c r="I227" s="24">
        <f>IF(K226&gt;0,MIN(ROUND(I$6+IF(I$5=$C227,$E$5+$E227,0),2),ROUND(K226+J227,2)),0)</f>
        <v>0</v>
      </c>
      <c r="J227" s="24">
        <f>IF(K226&gt;0,ROUND(ROUND(K226*100,0)*ROUND(I$7*10000,0)/12000000,0)/100,0)</f>
        <v>0</v>
      </c>
      <c r="K227" s="24">
        <f>IF(K226&gt;0,ROUND(K226+J227-I227,2),0)</f>
        <v>0</v>
      </c>
      <c r="L227" s="24">
        <f>IF(N226&gt;0,MIN(ROUND(L$6+IF(L$5=$C227,$E$5+$E227,0),2),ROUND(N226+M227,2)),0)</f>
        <v>0</v>
      </c>
      <c r="M227" s="24">
        <f>IF(N226&gt;0,ROUND(ROUND(N226*100,0)*ROUND(L$7*10000,0)/12000000,0)/100,0)</f>
        <v>0</v>
      </c>
      <c r="N227" s="24">
        <f>IF(N226&gt;0,ROUND(N226+M227-L227,2),0)</f>
        <v>0</v>
      </c>
      <c r="O227" s="24">
        <f>IF(Q226&gt;0,MIN(ROUND(O$6+IF(O$5=$C227,$E$5+$E227,0),2),ROUND(Q226+P227,2)),0)</f>
        <v>0</v>
      </c>
      <c r="P227" s="24">
        <f>IF(Q226&gt;0,ROUND(ROUND(Q226*100,0)*ROUND(O$7*10000,0)/12000000,0)/100,0)</f>
        <v>0</v>
      </c>
      <c r="Q227" s="24">
        <f>IF(Q226&gt;0,ROUND(Q226+P227-O227,2),0)</f>
        <v>0</v>
      </c>
      <c r="R227" s="24">
        <f>IF(T226&gt;0,MIN(ROUND(R$6+IF(R$5=$C227,$E$5+$E227,0),2),ROUND(T226+S227,2)),0)</f>
        <v>0</v>
      </c>
      <c r="S227" s="24">
        <f>IF(T226&gt;0,ROUND(ROUND(T226*100,0)*ROUND(R$7*10000,0)/12000000,0)/100,0)</f>
        <v>0</v>
      </c>
      <c r="T227" s="24">
        <f>IF(T226&gt;0,ROUND(T226+S227-R227,2),0)</f>
        <v>0</v>
      </c>
      <c r="U227" s="24">
        <f>IF(W226&gt;0,MIN(ROUND(U$6+IF(U$5=$C227,$E$5+$E227,0),2),ROUND(W226+V227,2)),0)</f>
        <v>0</v>
      </c>
      <c r="V227" s="24">
        <f>IF(W226&gt;0,ROUND(ROUND(W226*100,0)*ROUND(U$7*10000,0)/12000000,0)/100,0)</f>
        <v>0</v>
      </c>
      <c r="W227" s="24">
        <f>IF(W226&gt;0,ROUND(W226+V227-U227,2),0)</f>
        <v>0</v>
      </c>
      <c r="X227" s="24">
        <f>IF(Z226&gt;0,MIN(ROUND(X$6+IF(X$5=$C227,$E$5+$E227,0),2),ROUND(Z226+Y227,2)),0)</f>
        <v>0</v>
      </c>
      <c r="Y227" s="24">
        <f>IF(Z226&gt;0,ROUND(ROUND(Z226*100,0)*ROUND(X$7*10000,0)/12000000,0)/100,0)</f>
        <v>0</v>
      </c>
      <c r="Z227" s="24">
        <f>IF(Z226&gt;0,ROUND(Z226+Y227-X227,2),0)</f>
        <v>0</v>
      </c>
      <c r="AA227" s="24">
        <f>IF(AC226&gt;0,MIN(ROUND(AA$6+IF(AA$5=$C227,$E$5+$E227,0),2),ROUND(AC226+AB227,2)),0)</f>
        <v>0</v>
      </c>
      <c r="AB227" s="24">
        <f>IF(AC226&gt;0,ROUND(ROUND(AC226*100,0)*ROUND(AA$7*10000,0)/12000000,0)/100,0)</f>
        <v>0</v>
      </c>
      <c r="AC227" s="24">
        <f>IF(AC226&gt;0,ROUND(AC226+AB227-AA227,2),0)</f>
        <v>0</v>
      </c>
      <c r="AD227" s="24">
        <f>IF(AF226&gt;0,MIN(ROUND(AD$6+IF(AD$5=$C227,$E$5+$E227,0),2),ROUND(AF226+AE227,2)),0)</f>
        <v>0</v>
      </c>
      <c r="AE227" s="24">
        <f>IF(AF226&gt;0,ROUND(ROUND(AF226*100,0)*ROUND(AD$7*10000,0)/12000000,0)/100,0)</f>
        <v>0</v>
      </c>
      <c r="AF227" s="24">
        <f>IF(AF226&gt;0,ROUND(AF226+AE227-AD227,2),0)</f>
        <v>0</v>
      </c>
      <c r="AG227" s="24">
        <f>IF(AI226&gt;0,MIN(ROUND(AG$6+IF(AG$5=$C227,$E$5+$E227,0),2),ROUND(AI226+AH227,2)),0)</f>
        <v>0</v>
      </c>
      <c r="AH227" s="24">
        <f>IF(AI226&gt;0,ROUND(ROUND(AI226*100,0)*ROUND(AG$7*10000,0)/12000000,0)/100,0)</f>
        <v>0</v>
      </c>
      <c r="AI227" s="24">
        <f>IF(AI226&gt;0,ROUND(AI226+AH227-AG227,2),0)</f>
        <v>0</v>
      </c>
      <c r="AJ227" s="24">
        <f>IF(AL226&gt;0,MIN(ROUND(AJ$6+IF(AJ$5=$C227,$E$5+$E227,0),2),ROUND(AL226+AK227,2)),0)</f>
        <v>0</v>
      </c>
      <c r="AK227" s="24">
        <f>IF(AL226&gt;0,ROUND(ROUND(AL226*100,0)*ROUND(AJ$7*10000,0)/12000000,0)/100,0)</f>
        <v>0</v>
      </c>
      <c r="AL227" s="24">
        <f>IF(AL226&gt;0,ROUND(AL226+AK227-AJ227,2),0)</f>
        <v>0</v>
      </c>
    </row>
    <row r="228" spans="1:38" x14ac:dyDescent="0.25">
      <c r="A228" s="17" t="str">
        <f>IF(F228&gt;0,218,"")</f>
        <v/>
      </c>
      <c r="B228" s="18" t="str">
        <f>IF(F228&gt;0,EDATE($E$6,218),"")</f>
        <v/>
      </c>
      <c r="C228" s="21">
        <f>IF(H227&gt;0,MIN(IF(K227&gt;0,I$5,99),IF(N227&gt;0,L$5,99),IF(Q227&gt;0,O$5,99),IF(T227&gt;0,R$5,99),IF(W227&gt;0,U$5,99),IF(Z227&gt;0,X$5,99),IF(AC227&gt;0,AA$5,99),IF(AF227&gt;0,AD$5,99),IF(AI227&gt;0,AG$5,99),IF(AL227&gt;0,AJ$5,99)),0)</f>
        <v>0</v>
      </c>
      <c r="D228" t="str">
        <f>IF(C228&gt;0,INDEX($I$4:$AL$4,1,MATCH(C228,$I$5:$AL$5,0)),"")</f>
        <v/>
      </c>
      <c r="E228" s="24">
        <f>ROUND(IF(AND(I$8&gt;0,K227=0),I$6,0)+IF(AND(L$8&gt;0,N227=0),L$6,0)+IF(AND(O$8&gt;0,Q227=0),O$6,0)+IF(AND(R$8&gt;0,T227=0),R$6,0)+IF(AND(U$8&gt;0,W227=0),U$6,0)+IF(AND(X$8&gt;0,Z227=0),X$6,0)+IF(AND(AA$8&gt;0,AC227=0),AA$6,0)+IF(AND(AD$8&gt;0,AF227=0),AD$6,0)+IF(AND(AG$8&gt;0,AI227=0),AG$6,0)+IF(AND(AJ$8&gt;0,AL227=0),AJ$6,0),2)</f>
        <v>330</v>
      </c>
      <c r="F228" s="24">
        <f>ROUND(I228+L228+O228+R228+U228+X228+AA228+AD228+AG228+AJ228,2)</f>
        <v>0</v>
      </c>
      <c r="G228" s="24">
        <f>ROUND(J228+M228+P228+S228+V228+Y228+AB228+AE228+AH228+AK228,2)</f>
        <v>0</v>
      </c>
      <c r="H228" s="24">
        <f>ROUND(K228+N228+Q228+T228+W228+Z228+AC228+AF228+AI228+AL228,2)</f>
        <v>0</v>
      </c>
      <c r="I228" s="24">
        <f>IF(K227&gt;0,MIN(ROUND(I$6+IF(I$5=$C228,$E$5+$E228,0),2),ROUND(K227+J228,2)),0)</f>
        <v>0</v>
      </c>
      <c r="J228" s="24">
        <f>IF(K227&gt;0,ROUND(ROUND(K227*100,0)*ROUND(I$7*10000,0)/12000000,0)/100,0)</f>
        <v>0</v>
      </c>
      <c r="K228" s="24">
        <f>IF(K227&gt;0,ROUND(K227+J228-I228,2),0)</f>
        <v>0</v>
      </c>
      <c r="L228" s="24">
        <f>IF(N227&gt;0,MIN(ROUND(L$6+IF(L$5=$C228,$E$5+$E228,0),2),ROUND(N227+M228,2)),0)</f>
        <v>0</v>
      </c>
      <c r="M228" s="24">
        <f>IF(N227&gt;0,ROUND(ROUND(N227*100,0)*ROUND(L$7*10000,0)/12000000,0)/100,0)</f>
        <v>0</v>
      </c>
      <c r="N228" s="24">
        <f>IF(N227&gt;0,ROUND(N227+M228-L228,2),0)</f>
        <v>0</v>
      </c>
      <c r="O228" s="24">
        <f>IF(Q227&gt;0,MIN(ROUND(O$6+IF(O$5=$C228,$E$5+$E228,0),2),ROUND(Q227+P228,2)),0)</f>
        <v>0</v>
      </c>
      <c r="P228" s="24">
        <f>IF(Q227&gt;0,ROUND(ROUND(Q227*100,0)*ROUND(O$7*10000,0)/12000000,0)/100,0)</f>
        <v>0</v>
      </c>
      <c r="Q228" s="24">
        <f>IF(Q227&gt;0,ROUND(Q227+P228-O228,2),0)</f>
        <v>0</v>
      </c>
      <c r="R228" s="24">
        <f>IF(T227&gt;0,MIN(ROUND(R$6+IF(R$5=$C228,$E$5+$E228,0),2),ROUND(T227+S228,2)),0)</f>
        <v>0</v>
      </c>
      <c r="S228" s="24">
        <f>IF(T227&gt;0,ROUND(ROUND(T227*100,0)*ROUND(R$7*10000,0)/12000000,0)/100,0)</f>
        <v>0</v>
      </c>
      <c r="T228" s="24">
        <f>IF(T227&gt;0,ROUND(T227+S228-R228,2),0)</f>
        <v>0</v>
      </c>
      <c r="U228" s="24">
        <f>IF(W227&gt;0,MIN(ROUND(U$6+IF(U$5=$C228,$E$5+$E228,0),2),ROUND(W227+V228,2)),0)</f>
        <v>0</v>
      </c>
      <c r="V228" s="24">
        <f>IF(W227&gt;0,ROUND(ROUND(W227*100,0)*ROUND(U$7*10000,0)/12000000,0)/100,0)</f>
        <v>0</v>
      </c>
      <c r="W228" s="24">
        <f>IF(W227&gt;0,ROUND(W227+V228-U228,2),0)</f>
        <v>0</v>
      </c>
      <c r="X228" s="24">
        <f>IF(Z227&gt;0,MIN(ROUND(X$6+IF(X$5=$C228,$E$5+$E228,0),2),ROUND(Z227+Y228,2)),0)</f>
        <v>0</v>
      </c>
      <c r="Y228" s="24">
        <f>IF(Z227&gt;0,ROUND(ROUND(Z227*100,0)*ROUND(X$7*10000,0)/12000000,0)/100,0)</f>
        <v>0</v>
      </c>
      <c r="Z228" s="24">
        <f>IF(Z227&gt;0,ROUND(Z227+Y228-X228,2),0)</f>
        <v>0</v>
      </c>
      <c r="AA228" s="24">
        <f>IF(AC227&gt;0,MIN(ROUND(AA$6+IF(AA$5=$C228,$E$5+$E228,0),2),ROUND(AC227+AB228,2)),0)</f>
        <v>0</v>
      </c>
      <c r="AB228" s="24">
        <f>IF(AC227&gt;0,ROUND(ROUND(AC227*100,0)*ROUND(AA$7*10000,0)/12000000,0)/100,0)</f>
        <v>0</v>
      </c>
      <c r="AC228" s="24">
        <f>IF(AC227&gt;0,ROUND(AC227+AB228-AA228,2),0)</f>
        <v>0</v>
      </c>
      <c r="AD228" s="24">
        <f>IF(AF227&gt;0,MIN(ROUND(AD$6+IF(AD$5=$C228,$E$5+$E228,0),2),ROUND(AF227+AE228,2)),0)</f>
        <v>0</v>
      </c>
      <c r="AE228" s="24">
        <f>IF(AF227&gt;0,ROUND(ROUND(AF227*100,0)*ROUND(AD$7*10000,0)/12000000,0)/100,0)</f>
        <v>0</v>
      </c>
      <c r="AF228" s="24">
        <f>IF(AF227&gt;0,ROUND(AF227+AE228-AD228,2),0)</f>
        <v>0</v>
      </c>
      <c r="AG228" s="24">
        <f>IF(AI227&gt;0,MIN(ROUND(AG$6+IF(AG$5=$C228,$E$5+$E228,0),2),ROUND(AI227+AH228,2)),0)</f>
        <v>0</v>
      </c>
      <c r="AH228" s="24">
        <f>IF(AI227&gt;0,ROUND(ROUND(AI227*100,0)*ROUND(AG$7*10000,0)/12000000,0)/100,0)</f>
        <v>0</v>
      </c>
      <c r="AI228" s="24">
        <f>IF(AI227&gt;0,ROUND(AI227+AH228-AG228,2),0)</f>
        <v>0</v>
      </c>
      <c r="AJ228" s="24">
        <f>IF(AL227&gt;0,MIN(ROUND(AJ$6+IF(AJ$5=$C228,$E$5+$E228,0),2),ROUND(AL227+AK228,2)),0)</f>
        <v>0</v>
      </c>
      <c r="AK228" s="24">
        <f>IF(AL227&gt;0,ROUND(ROUND(AL227*100,0)*ROUND(AJ$7*10000,0)/12000000,0)/100,0)</f>
        <v>0</v>
      </c>
      <c r="AL228" s="24">
        <f>IF(AL227&gt;0,ROUND(AL227+AK228-AJ228,2),0)</f>
        <v>0</v>
      </c>
    </row>
    <row r="229" spans="1:38" x14ac:dyDescent="0.25">
      <c r="A229" s="17" t="str">
        <f>IF(F229&gt;0,219,"")</f>
        <v/>
      </c>
      <c r="B229" s="18" t="str">
        <f>IF(F229&gt;0,EDATE($E$6,219),"")</f>
        <v/>
      </c>
      <c r="C229" s="21">
        <f>IF(H228&gt;0,MIN(IF(K228&gt;0,I$5,99),IF(N228&gt;0,L$5,99),IF(Q228&gt;0,O$5,99),IF(T228&gt;0,R$5,99),IF(W228&gt;0,U$5,99),IF(Z228&gt;0,X$5,99),IF(AC228&gt;0,AA$5,99),IF(AF228&gt;0,AD$5,99),IF(AI228&gt;0,AG$5,99),IF(AL228&gt;0,AJ$5,99)),0)</f>
        <v>0</v>
      </c>
      <c r="D229" t="str">
        <f>IF(C229&gt;0,INDEX($I$4:$AL$4,1,MATCH(C229,$I$5:$AL$5,0)),"")</f>
        <v/>
      </c>
      <c r="E229" s="24">
        <f>ROUND(IF(AND(I$8&gt;0,K228=0),I$6,0)+IF(AND(L$8&gt;0,N228=0),L$6,0)+IF(AND(O$8&gt;0,Q228=0),O$6,0)+IF(AND(R$8&gt;0,T228=0),R$6,0)+IF(AND(U$8&gt;0,W228=0),U$6,0)+IF(AND(X$8&gt;0,Z228=0),X$6,0)+IF(AND(AA$8&gt;0,AC228=0),AA$6,0)+IF(AND(AD$8&gt;0,AF228=0),AD$6,0)+IF(AND(AG$8&gt;0,AI228=0),AG$6,0)+IF(AND(AJ$8&gt;0,AL228=0),AJ$6,0),2)</f>
        <v>330</v>
      </c>
      <c r="F229" s="24">
        <f>ROUND(I229+L229+O229+R229+U229+X229+AA229+AD229+AG229+AJ229,2)</f>
        <v>0</v>
      </c>
      <c r="G229" s="24">
        <f>ROUND(J229+M229+P229+S229+V229+Y229+AB229+AE229+AH229+AK229,2)</f>
        <v>0</v>
      </c>
      <c r="H229" s="24">
        <f>ROUND(K229+N229+Q229+T229+W229+Z229+AC229+AF229+AI229+AL229,2)</f>
        <v>0</v>
      </c>
      <c r="I229" s="24">
        <f>IF(K228&gt;0,MIN(ROUND(I$6+IF(I$5=$C229,$E$5+$E229,0),2),ROUND(K228+J229,2)),0)</f>
        <v>0</v>
      </c>
      <c r="J229" s="24">
        <f>IF(K228&gt;0,ROUND(ROUND(K228*100,0)*ROUND(I$7*10000,0)/12000000,0)/100,0)</f>
        <v>0</v>
      </c>
      <c r="K229" s="24">
        <f>IF(K228&gt;0,ROUND(K228+J229-I229,2),0)</f>
        <v>0</v>
      </c>
      <c r="L229" s="24">
        <f>IF(N228&gt;0,MIN(ROUND(L$6+IF(L$5=$C229,$E$5+$E229,0),2),ROUND(N228+M229,2)),0)</f>
        <v>0</v>
      </c>
      <c r="M229" s="24">
        <f>IF(N228&gt;0,ROUND(ROUND(N228*100,0)*ROUND(L$7*10000,0)/12000000,0)/100,0)</f>
        <v>0</v>
      </c>
      <c r="N229" s="24">
        <f>IF(N228&gt;0,ROUND(N228+M229-L229,2),0)</f>
        <v>0</v>
      </c>
      <c r="O229" s="24">
        <f>IF(Q228&gt;0,MIN(ROUND(O$6+IF(O$5=$C229,$E$5+$E229,0),2),ROUND(Q228+P229,2)),0)</f>
        <v>0</v>
      </c>
      <c r="P229" s="24">
        <f>IF(Q228&gt;0,ROUND(ROUND(Q228*100,0)*ROUND(O$7*10000,0)/12000000,0)/100,0)</f>
        <v>0</v>
      </c>
      <c r="Q229" s="24">
        <f>IF(Q228&gt;0,ROUND(Q228+P229-O229,2),0)</f>
        <v>0</v>
      </c>
      <c r="R229" s="24">
        <f>IF(T228&gt;0,MIN(ROUND(R$6+IF(R$5=$C229,$E$5+$E229,0),2),ROUND(T228+S229,2)),0)</f>
        <v>0</v>
      </c>
      <c r="S229" s="24">
        <f>IF(T228&gt;0,ROUND(ROUND(T228*100,0)*ROUND(R$7*10000,0)/12000000,0)/100,0)</f>
        <v>0</v>
      </c>
      <c r="T229" s="24">
        <f>IF(T228&gt;0,ROUND(T228+S229-R229,2),0)</f>
        <v>0</v>
      </c>
      <c r="U229" s="24">
        <f>IF(W228&gt;0,MIN(ROUND(U$6+IF(U$5=$C229,$E$5+$E229,0),2),ROUND(W228+V229,2)),0)</f>
        <v>0</v>
      </c>
      <c r="V229" s="24">
        <f>IF(W228&gt;0,ROUND(ROUND(W228*100,0)*ROUND(U$7*10000,0)/12000000,0)/100,0)</f>
        <v>0</v>
      </c>
      <c r="W229" s="24">
        <f>IF(W228&gt;0,ROUND(W228+V229-U229,2),0)</f>
        <v>0</v>
      </c>
      <c r="X229" s="24">
        <f>IF(Z228&gt;0,MIN(ROUND(X$6+IF(X$5=$C229,$E$5+$E229,0),2),ROUND(Z228+Y229,2)),0)</f>
        <v>0</v>
      </c>
      <c r="Y229" s="24">
        <f>IF(Z228&gt;0,ROUND(ROUND(Z228*100,0)*ROUND(X$7*10000,0)/12000000,0)/100,0)</f>
        <v>0</v>
      </c>
      <c r="Z229" s="24">
        <f>IF(Z228&gt;0,ROUND(Z228+Y229-X229,2),0)</f>
        <v>0</v>
      </c>
      <c r="AA229" s="24">
        <f>IF(AC228&gt;0,MIN(ROUND(AA$6+IF(AA$5=$C229,$E$5+$E229,0),2),ROUND(AC228+AB229,2)),0)</f>
        <v>0</v>
      </c>
      <c r="AB229" s="24">
        <f>IF(AC228&gt;0,ROUND(ROUND(AC228*100,0)*ROUND(AA$7*10000,0)/12000000,0)/100,0)</f>
        <v>0</v>
      </c>
      <c r="AC229" s="24">
        <f>IF(AC228&gt;0,ROUND(AC228+AB229-AA229,2),0)</f>
        <v>0</v>
      </c>
      <c r="AD229" s="24">
        <f>IF(AF228&gt;0,MIN(ROUND(AD$6+IF(AD$5=$C229,$E$5+$E229,0),2),ROUND(AF228+AE229,2)),0)</f>
        <v>0</v>
      </c>
      <c r="AE229" s="24">
        <f>IF(AF228&gt;0,ROUND(ROUND(AF228*100,0)*ROUND(AD$7*10000,0)/12000000,0)/100,0)</f>
        <v>0</v>
      </c>
      <c r="AF229" s="24">
        <f>IF(AF228&gt;0,ROUND(AF228+AE229-AD229,2),0)</f>
        <v>0</v>
      </c>
      <c r="AG229" s="24">
        <f>IF(AI228&gt;0,MIN(ROUND(AG$6+IF(AG$5=$C229,$E$5+$E229,0),2),ROUND(AI228+AH229,2)),0)</f>
        <v>0</v>
      </c>
      <c r="AH229" s="24">
        <f>IF(AI228&gt;0,ROUND(ROUND(AI228*100,0)*ROUND(AG$7*10000,0)/12000000,0)/100,0)</f>
        <v>0</v>
      </c>
      <c r="AI229" s="24">
        <f>IF(AI228&gt;0,ROUND(AI228+AH229-AG229,2),0)</f>
        <v>0</v>
      </c>
      <c r="AJ229" s="24">
        <f>IF(AL228&gt;0,MIN(ROUND(AJ$6+IF(AJ$5=$C229,$E$5+$E229,0),2),ROUND(AL228+AK229,2)),0)</f>
        <v>0</v>
      </c>
      <c r="AK229" s="24">
        <f>IF(AL228&gt;0,ROUND(ROUND(AL228*100,0)*ROUND(AJ$7*10000,0)/12000000,0)/100,0)</f>
        <v>0</v>
      </c>
      <c r="AL229" s="24">
        <f>IF(AL228&gt;0,ROUND(AL228+AK229-AJ229,2),0)</f>
        <v>0</v>
      </c>
    </row>
    <row r="230" spans="1:38" x14ac:dyDescent="0.25">
      <c r="A230" s="17" t="str">
        <f>IF(F230&gt;0,220,"")</f>
        <v/>
      </c>
      <c r="B230" s="18" t="str">
        <f>IF(F230&gt;0,EDATE($E$6,220),"")</f>
        <v/>
      </c>
      <c r="C230" s="21">
        <f>IF(H229&gt;0,MIN(IF(K229&gt;0,I$5,99),IF(N229&gt;0,L$5,99),IF(Q229&gt;0,O$5,99),IF(T229&gt;0,R$5,99),IF(W229&gt;0,U$5,99),IF(Z229&gt;0,X$5,99),IF(AC229&gt;0,AA$5,99),IF(AF229&gt;0,AD$5,99),IF(AI229&gt;0,AG$5,99),IF(AL229&gt;0,AJ$5,99)),0)</f>
        <v>0</v>
      </c>
      <c r="D230" t="str">
        <f>IF(C230&gt;0,INDEX($I$4:$AL$4,1,MATCH(C230,$I$5:$AL$5,0)),"")</f>
        <v/>
      </c>
      <c r="E230" s="24">
        <f>ROUND(IF(AND(I$8&gt;0,K229=0),I$6,0)+IF(AND(L$8&gt;0,N229=0),L$6,0)+IF(AND(O$8&gt;0,Q229=0),O$6,0)+IF(AND(R$8&gt;0,T229=0),R$6,0)+IF(AND(U$8&gt;0,W229=0),U$6,0)+IF(AND(X$8&gt;0,Z229=0),X$6,0)+IF(AND(AA$8&gt;0,AC229=0),AA$6,0)+IF(AND(AD$8&gt;0,AF229=0),AD$6,0)+IF(AND(AG$8&gt;0,AI229=0),AG$6,0)+IF(AND(AJ$8&gt;0,AL229=0),AJ$6,0),2)</f>
        <v>330</v>
      </c>
      <c r="F230" s="24">
        <f>ROUND(I230+L230+O230+R230+U230+X230+AA230+AD230+AG230+AJ230,2)</f>
        <v>0</v>
      </c>
      <c r="G230" s="24">
        <f>ROUND(J230+M230+P230+S230+V230+Y230+AB230+AE230+AH230+AK230,2)</f>
        <v>0</v>
      </c>
      <c r="H230" s="24">
        <f>ROUND(K230+N230+Q230+T230+W230+Z230+AC230+AF230+AI230+AL230,2)</f>
        <v>0</v>
      </c>
      <c r="I230" s="24">
        <f>IF(K229&gt;0,MIN(ROUND(I$6+IF(I$5=$C230,$E$5+$E230,0),2),ROUND(K229+J230,2)),0)</f>
        <v>0</v>
      </c>
      <c r="J230" s="24">
        <f>IF(K229&gt;0,ROUND(ROUND(K229*100,0)*ROUND(I$7*10000,0)/12000000,0)/100,0)</f>
        <v>0</v>
      </c>
      <c r="K230" s="24">
        <f>IF(K229&gt;0,ROUND(K229+J230-I230,2),0)</f>
        <v>0</v>
      </c>
      <c r="L230" s="24">
        <f>IF(N229&gt;0,MIN(ROUND(L$6+IF(L$5=$C230,$E$5+$E230,0),2),ROUND(N229+M230,2)),0)</f>
        <v>0</v>
      </c>
      <c r="M230" s="24">
        <f>IF(N229&gt;0,ROUND(ROUND(N229*100,0)*ROUND(L$7*10000,0)/12000000,0)/100,0)</f>
        <v>0</v>
      </c>
      <c r="N230" s="24">
        <f>IF(N229&gt;0,ROUND(N229+M230-L230,2),0)</f>
        <v>0</v>
      </c>
      <c r="O230" s="24">
        <f>IF(Q229&gt;0,MIN(ROUND(O$6+IF(O$5=$C230,$E$5+$E230,0),2),ROUND(Q229+P230,2)),0)</f>
        <v>0</v>
      </c>
      <c r="P230" s="24">
        <f>IF(Q229&gt;0,ROUND(ROUND(Q229*100,0)*ROUND(O$7*10000,0)/12000000,0)/100,0)</f>
        <v>0</v>
      </c>
      <c r="Q230" s="24">
        <f>IF(Q229&gt;0,ROUND(Q229+P230-O230,2),0)</f>
        <v>0</v>
      </c>
      <c r="R230" s="24">
        <f>IF(T229&gt;0,MIN(ROUND(R$6+IF(R$5=$C230,$E$5+$E230,0),2),ROUND(T229+S230,2)),0)</f>
        <v>0</v>
      </c>
      <c r="S230" s="24">
        <f>IF(T229&gt;0,ROUND(ROUND(T229*100,0)*ROUND(R$7*10000,0)/12000000,0)/100,0)</f>
        <v>0</v>
      </c>
      <c r="T230" s="24">
        <f>IF(T229&gt;0,ROUND(T229+S230-R230,2),0)</f>
        <v>0</v>
      </c>
      <c r="U230" s="24">
        <f>IF(W229&gt;0,MIN(ROUND(U$6+IF(U$5=$C230,$E$5+$E230,0),2),ROUND(W229+V230,2)),0)</f>
        <v>0</v>
      </c>
      <c r="V230" s="24">
        <f>IF(W229&gt;0,ROUND(ROUND(W229*100,0)*ROUND(U$7*10000,0)/12000000,0)/100,0)</f>
        <v>0</v>
      </c>
      <c r="W230" s="24">
        <f>IF(W229&gt;0,ROUND(W229+V230-U230,2),0)</f>
        <v>0</v>
      </c>
      <c r="X230" s="24">
        <f>IF(Z229&gt;0,MIN(ROUND(X$6+IF(X$5=$C230,$E$5+$E230,0),2),ROUND(Z229+Y230,2)),0)</f>
        <v>0</v>
      </c>
      <c r="Y230" s="24">
        <f>IF(Z229&gt;0,ROUND(ROUND(Z229*100,0)*ROUND(X$7*10000,0)/12000000,0)/100,0)</f>
        <v>0</v>
      </c>
      <c r="Z230" s="24">
        <f>IF(Z229&gt;0,ROUND(Z229+Y230-X230,2),0)</f>
        <v>0</v>
      </c>
      <c r="AA230" s="24">
        <f>IF(AC229&gt;0,MIN(ROUND(AA$6+IF(AA$5=$C230,$E$5+$E230,0),2),ROUND(AC229+AB230,2)),0)</f>
        <v>0</v>
      </c>
      <c r="AB230" s="24">
        <f>IF(AC229&gt;0,ROUND(ROUND(AC229*100,0)*ROUND(AA$7*10000,0)/12000000,0)/100,0)</f>
        <v>0</v>
      </c>
      <c r="AC230" s="24">
        <f>IF(AC229&gt;0,ROUND(AC229+AB230-AA230,2),0)</f>
        <v>0</v>
      </c>
      <c r="AD230" s="24">
        <f>IF(AF229&gt;0,MIN(ROUND(AD$6+IF(AD$5=$C230,$E$5+$E230,0),2),ROUND(AF229+AE230,2)),0)</f>
        <v>0</v>
      </c>
      <c r="AE230" s="24">
        <f>IF(AF229&gt;0,ROUND(ROUND(AF229*100,0)*ROUND(AD$7*10000,0)/12000000,0)/100,0)</f>
        <v>0</v>
      </c>
      <c r="AF230" s="24">
        <f>IF(AF229&gt;0,ROUND(AF229+AE230-AD230,2),0)</f>
        <v>0</v>
      </c>
      <c r="AG230" s="24">
        <f>IF(AI229&gt;0,MIN(ROUND(AG$6+IF(AG$5=$C230,$E$5+$E230,0),2),ROUND(AI229+AH230,2)),0)</f>
        <v>0</v>
      </c>
      <c r="AH230" s="24">
        <f>IF(AI229&gt;0,ROUND(ROUND(AI229*100,0)*ROUND(AG$7*10000,0)/12000000,0)/100,0)</f>
        <v>0</v>
      </c>
      <c r="AI230" s="24">
        <f>IF(AI229&gt;0,ROUND(AI229+AH230-AG230,2),0)</f>
        <v>0</v>
      </c>
      <c r="AJ230" s="24">
        <f>IF(AL229&gt;0,MIN(ROUND(AJ$6+IF(AJ$5=$C230,$E$5+$E230,0),2),ROUND(AL229+AK230,2)),0)</f>
        <v>0</v>
      </c>
      <c r="AK230" s="24">
        <f>IF(AL229&gt;0,ROUND(ROUND(AL229*100,0)*ROUND(AJ$7*10000,0)/12000000,0)/100,0)</f>
        <v>0</v>
      </c>
      <c r="AL230" s="24">
        <f>IF(AL229&gt;0,ROUND(AL229+AK230-AJ230,2),0)</f>
        <v>0</v>
      </c>
    </row>
    <row r="231" spans="1:38" x14ac:dyDescent="0.25">
      <c r="A231" s="17" t="str">
        <f>IF(F231&gt;0,221,"")</f>
        <v/>
      </c>
      <c r="B231" s="18" t="str">
        <f>IF(F231&gt;0,EDATE($E$6,221),"")</f>
        <v/>
      </c>
      <c r="C231" s="21">
        <f>IF(H230&gt;0,MIN(IF(K230&gt;0,I$5,99),IF(N230&gt;0,L$5,99),IF(Q230&gt;0,O$5,99),IF(T230&gt;0,R$5,99),IF(W230&gt;0,U$5,99),IF(Z230&gt;0,X$5,99),IF(AC230&gt;0,AA$5,99),IF(AF230&gt;0,AD$5,99),IF(AI230&gt;0,AG$5,99),IF(AL230&gt;0,AJ$5,99)),0)</f>
        <v>0</v>
      </c>
      <c r="D231" t="str">
        <f>IF(C231&gt;0,INDEX($I$4:$AL$4,1,MATCH(C231,$I$5:$AL$5,0)),"")</f>
        <v/>
      </c>
      <c r="E231" s="24">
        <f>ROUND(IF(AND(I$8&gt;0,K230=0),I$6,0)+IF(AND(L$8&gt;0,N230=0),L$6,0)+IF(AND(O$8&gt;0,Q230=0),O$6,0)+IF(AND(R$8&gt;0,T230=0),R$6,0)+IF(AND(U$8&gt;0,W230=0),U$6,0)+IF(AND(X$8&gt;0,Z230=0),X$6,0)+IF(AND(AA$8&gt;0,AC230=0),AA$6,0)+IF(AND(AD$8&gt;0,AF230=0),AD$6,0)+IF(AND(AG$8&gt;0,AI230=0),AG$6,0)+IF(AND(AJ$8&gt;0,AL230=0),AJ$6,0),2)</f>
        <v>330</v>
      </c>
      <c r="F231" s="24">
        <f>ROUND(I231+L231+O231+R231+U231+X231+AA231+AD231+AG231+AJ231,2)</f>
        <v>0</v>
      </c>
      <c r="G231" s="24">
        <f>ROUND(J231+M231+P231+S231+V231+Y231+AB231+AE231+AH231+AK231,2)</f>
        <v>0</v>
      </c>
      <c r="H231" s="24">
        <f>ROUND(K231+N231+Q231+T231+W231+Z231+AC231+AF231+AI231+AL231,2)</f>
        <v>0</v>
      </c>
      <c r="I231" s="24">
        <f>IF(K230&gt;0,MIN(ROUND(I$6+IF(I$5=$C231,$E$5+$E231,0),2),ROUND(K230+J231,2)),0)</f>
        <v>0</v>
      </c>
      <c r="J231" s="24">
        <f>IF(K230&gt;0,ROUND(ROUND(K230*100,0)*ROUND(I$7*10000,0)/12000000,0)/100,0)</f>
        <v>0</v>
      </c>
      <c r="K231" s="24">
        <f>IF(K230&gt;0,ROUND(K230+J231-I231,2),0)</f>
        <v>0</v>
      </c>
      <c r="L231" s="24">
        <f>IF(N230&gt;0,MIN(ROUND(L$6+IF(L$5=$C231,$E$5+$E231,0),2),ROUND(N230+M231,2)),0)</f>
        <v>0</v>
      </c>
      <c r="M231" s="24">
        <f>IF(N230&gt;0,ROUND(ROUND(N230*100,0)*ROUND(L$7*10000,0)/12000000,0)/100,0)</f>
        <v>0</v>
      </c>
      <c r="N231" s="24">
        <f>IF(N230&gt;0,ROUND(N230+M231-L231,2),0)</f>
        <v>0</v>
      </c>
      <c r="O231" s="24">
        <f>IF(Q230&gt;0,MIN(ROUND(O$6+IF(O$5=$C231,$E$5+$E231,0),2),ROUND(Q230+P231,2)),0)</f>
        <v>0</v>
      </c>
      <c r="P231" s="24">
        <f>IF(Q230&gt;0,ROUND(ROUND(Q230*100,0)*ROUND(O$7*10000,0)/12000000,0)/100,0)</f>
        <v>0</v>
      </c>
      <c r="Q231" s="24">
        <f>IF(Q230&gt;0,ROUND(Q230+P231-O231,2),0)</f>
        <v>0</v>
      </c>
      <c r="R231" s="24">
        <f>IF(T230&gt;0,MIN(ROUND(R$6+IF(R$5=$C231,$E$5+$E231,0),2),ROUND(T230+S231,2)),0)</f>
        <v>0</v>
      </c>
      <c r="S231" s="24">
        <f>IF(T230&gt;0,ROUND(ROUND(T230*100,0)*ROUND(R$7*10000,0)/12000000,0)/100,0)</f>
        <v>0</v>
      </c>
      <c r="T231" s="24">
        <f>IF(T230&gt;0,ROUND(T230+S231-R231,2),0)</f>
        <v>0</v>
      </c>
      <c r="U231" s="24">
        <f>IF(W230&gt;0,MIN(ROUND(U$6+IF(U$5=$C231,$E$5+$E231,0),2),ROUND(W230+V231,2)),0)</f>
        <v>0</v>
      </c>
      <c r="V231" s="24">
        <f>IF(W230&gt;0,ROUND(ROUND(W230*100,0)*ROUND(U$7*10000,0)/12000000,0)/100,0)</f>
        <v>0</v>
      </c>
      <c r="W231" s="24">
        <f>IF(W230&gt;0,ROUND(W230+V231-U231,2),0)</f>
        <v>0</v>
      </c>
      <c r="X231" s="24">
        <f>IF(Z230&gt;0,MIN(ROUND(X$6+IF(X$5=$C231,$E$5+$E231,0),2),ROUND(Z230+Y231,2)),0)</f>
        <v>0</v>
      </c>
      <c r="Y231" s="24">
        <f>IF(Z230&gt;0,ROUND(ROUND(Z230*100,0)*ROUND(X$7*10000,0)/12000000,0)/100,0)</f>
        <v>0</v>
      </c>
      <c r="Z231" s="24">
        <f>IF(Z230&gt;0,ROUND(Z230+Y231-X231,2),0)</f>
        <v>0</v>
      </c>
      <c r="AA231" s="24">
        <f>IF(AC230&gt;0,MIN(ROUND(AA$6+IF(AA$5=$C231,$E$5+$E231,0),2),ROUND(AC230+AB231,2)),0)</f>
        <v>0</v>
      </c>
      <c r="AB231" s="24">
        <f>IF(AC230&gt;0,ROUND(ROUND(AC230*100,0)*ROUND(AA$7*10000,0)/12000000,0)/100,0)</f>
        <v>0</v>
      </c>
      <c r="AC231" s="24">
        <f>IF(AC230&gt;0,ROUND(AC230+AB231-AA231,2),0)</f>
        <v>0</v>
      </c>
      <c r="AD231" s="24">
        <f>IF(AF230&gt;0,MIN(ROUND(AD$6+IF(AD$5=$C231,$E$5+$E231,0),2),ROUND(AF230+AE231,2)),0)</f>
        <v>0</v>
      </c>
      <c r="AE231" s="24">
        <f>IF(AF230&gt;0,ROUND(ROUND(AF230*100,0)*ROUND(AD$7*10000,0)/12000000,0)/100,0)</f>
        <v>0</v>
      </c>
      <c r="AF231" s="24">
        <f>IF(AF230&gt;0,ROUND(AF230+AE231-AD231,2),0)</f>
        <v>0</v>
      </c>
      <c r="AG231" s="24">
        <f>IF(AI230&gt;0,MIN(ROUND(AG$6+IF(AG$5=$C231,$E$5+$E231,0),2),ROUND(AI230+AH231,2)),0)</f>
        <v>0</v>
      </c>
      <c r="AH231" s="24">
        <f>IF(AI230&gt;0,ROUND(ROUND(AI230*100,0)*ROUND(AG$7*10000,0)/12000000,0)/100,0)</f>
        <v>0</v>
      </c>
      <c r="AI231" s="24">
        <f>IF(AI230&gt;0,ROUND(AI230+AH231-AG231,2),0)</f>
        <v>0</v>
      </c>
      <c r="AJ231" s="24">
        <f>IF(AL230&gt;0,MIN(ROUND(AJ$6+IF(AJ$5=$C231,$E$5+$E231,0),2),ROUND(AL230+AK231,2)),0)</f>
        <v>0</v>
      </c>
      <c r="AK231" s="24">
        <f>IF(AL230&gt;0,ROUND(ROUND(AL230*100,0)*ROUND(AJ$7*10000,0)/12000000,0)/100,0)</f>
        <v>0</v>
      </c>
      <c r="AL231" s="24">
        <f>IF(AL230&gt;0,ROUND(AL230+AK231-AJ231,2),0)</f>
        <v>0</v>
      </c>
    </row>
    <row r="232" spans="1:38" x14ac:dyDescent="0.25">
      <c r="A232" s="17" t="str">
        <f>IF(F232&gt;0,222,"")</f>
        <v/>
      </c>
      <c r="B232" s="18" t="str">
        <f>IF(F232&gt;0,EDATE($E$6,222),"")</f>
        <v/>
      </c>
      <c r="C232" s="21">
        <f>IF(H231&gt;0,MIN(IF(K231&gt;0,I$5,99),IF(N231&gt;0,L$5,99),IF(Q231&gt;0,O$5,99),IF(T231&gt;0,R$5,99),IF(W231&gt;0,U$5,99),IF(Z231&gt;0,X$5,99),IF(AC231&gt;0,AA$5,99),IF(AF231&gt;0,AD$5,99),IF(AI231&gt;0,AG$5,99),IF(AL231&gt;0,AJ$5,99)),0)</f>
        <v>0</v>
      </c>
      <c r="D232" t="str">
        <f>IF(C232&gt;0,INDEX($I$4:$AL$4,1,MATCH(C232,$I$5:$AL$5,0)),"")</f>
        <v/>
      </c>
      <c r="E232" s="24">
        <f>ROUND(IF(AND(I$8&gt;0,K231=0),I$6,0)+IF(AND(L$8&gt;0,N231=0),L$6,0)+IF(AND(O$8&gt;0,Q231=0),O$6,0)+IF(AND(R$8&gt;0,T231=0),R$6,0)+IF(AND(U$8&gt;0,W231=0),U$6,0)+IF(AND(X$8&gt;0,Z231=0),X$6,0)+IF(AND(AA$8&gt;0,AC231=0),AA$6,0)+IF(AND(AD$8&gt;0,AF231=0),AD$6,0)+IF(AND(AG$8&gt;0,AI231=0),AG$6,0)+IF(AND(AJ$8&gt;0,AL231=0),AJ$6,0),2)</f>
        <v>330</v>
      </c>
      <c r="F232" s="24">
        <f>ROUND(I232+L232+O232+R232+U232+X232+AA232+AD232+AG232+AJ232,2)</f>
        <v>0</v>
      </c>
      <c r="G232" s="24">
        <f>ROUND(J232+M232+P232+S232+V232+Y232+AB232+AE232+AH232+AK232,2)</f>
        <v>0</v>
      </c>
      <c r="H232" s="24">
        <f>ROUND(K232+N232+Q232+T232+W232+Z232+AC232+AF232+AI232+AL232,2)</f>
        <v>0</v>
      </c>
      <c r="I232" s="24">
        <f>IF(K231&gt;0,MIN(ROUND(I$6+IF(I$5=$C232,$E$5+$E232,0),2),ROUND(K231+J232,2)),0)</f>
        <v>0</v>
      </c>
      <c r="J232" s="24">
        <f>IF(K231&gt;0,ROUND(ROUND(K231*100,0)*ROUND(I$7*10000,0)/12000000,0)/100,0)</f>
        <v>0</v>
      </c>
      <c r="K232" s="24">
        <f>IF(K231&gt;0,ROUND(K231+J232-I232,2),0)</f>
        <v>0</v>
      </c>
      <c r="L232" s="24">
        <f>IF(N231&gt;0,MIN(ROUND(L$6+IF(L$5=$C232,$E$5+$E232,0),2),ROUND(N231+M232,2)),0)</f>
        <v>0</v>
      </c>
      <c r="M232" s="24">
        <f>IF(N231&gt;0,ROUND(ROUND(N231*100,0)*ROUND(L$7*10000,0)/12000000,0)/100,0)</f>
        <v>0</v>
      </c>
      <c r="N232" s="24">
        <f>IF(N231&gt;0,ROUND(N231+M232-L232,2),0)</f>
        <v>0</v>
      </c>
      <c r="O232" s="24">
        <f>IF(Q231&gt;0,MIN(ROUND(O$6+IF(O$5=$C232,$E$5+$E232,0),2),ROUND(Q231+P232,2)),0)</f>
        <v>0</v>
      </c>
      <c r="P232" s="24">
        <f>IF(Q231&gt;0,ROUND(ROUND(Q231*100,0)*ROUND(O$7*10000,0)/12000000,0)/100,0)</f>
        <v>0</v>
      </c>
      <c r="Q232" s="24">
        <f>IF(Q231&gt;0,ROUND(Q231+P232-O232,2),0)</f>
        <v>0</v>
      </c>
      <c r="R232" s="24">
        <f>IF(T231&gt;0,MIN(ROUND(R$6+IF(R$5=$C232,$E$5+$E232,0),2),ROUND(T231+S232,2)),0)</f>
        <v>0</v>
      </c>
      <c r="S232" s="24">
        <f>IF(T231&gt;0,ROUND(ROUND(T231*100,0)*ROUND(R$7*10000,0)/12000000,0)/100,0)</f>
        <v>0</v>
      </c>
      <c r="T232" s="24">
        <f>IF(T231&gt;0,ROUND(T231+S232-R232,2),0)</f>
        <v>0</v>
      </c>
      <c r="U232" s="24">
        <f>IF(W231&gt;0,MIN(ROUND(U$6+IF(U$5=$C232,$E$5+$E232,0),2),ROUND(W231+V232,2)),0)</f>
        <v>0</v>
      </c>
      <c r="V232" s="24">
        <f>IF(W231&gt;0,ROUND(ROUND(W231*100,0)*ROUND(U$7*10000,0)/12000000,0)/100,0)</f>
        <v>0</v>
      </c>
      <c r="W232" s="24">
        <f>IF(W231&gt;0,ROUND(W231+V232-U232,2),0)</f>
        <v>0</v>
      </c>
      <c r="X232" s="24">
        <f>IF(Z231&gt;0,MIN(ROUND(X$6+IF(X$5=$C232,$E$5+$E232,0),2),ROUND(Z231+Y232,2)),0)</f>
        <v>0</v>
      </c>
      <c r="Y232" s="24">
        <f>IF(Z231&gt;0,ROUND(ROUND(Z231*100,0)*ROUND(X$7*10000,0)/12000000,0)/100,0)</f>
        <v>0</v>
      </c>
      <c r="Z232" s="24">
        <f>IF(Z231&gt;0,ROUND(Z231+Y232-X232,2),0)</f>
        <v>0</v>
      </c>
      <c r="AA232" s="24">
        <f>IF(AC231&gt;0,MIN(ROUND(AA$6+IF(AA$5=$C232,$E$5+$E232,0),2),ROUND(AC231+AB232,2)),0)</f>
        <v>0</v>
      </c>
      <c r="AB232" s="24">
        <f>IF(AC231&gt;0,ROUND(ROUND(AC231*100,0)*ROUND(AA$7*10000,0)/12000000,0)/100,0)</f>
        <v>0</v>
      </c>
      <c r="AC232" s="24">
        <f>IF(AC231&gt;0,ROUND(AC231+AB232-AA232,2),0)</f>
        <v>0</v>
      </c>
      <c r="AD232" s="24">
        <f>IF(AF231&gt;0,MIN(ROUND(AD$6+IF(AD$5=$C232,$E$5+$E232,0),2),ROUND(AF231+AE232,2)),0)</f>
        <v>0</v>
      </c>
      <c r="AE232" s="24">
        <f>IF(AF231&gt;0,ROUND(ROUND(AF231*100,0)*ROUND(AD$7*10000,0)/12000000,0)/100,0)</f>
        <v>0</v>
      </c>
      <c r="AF232" s="24">
        <f>IF(AF231&gt;0,ROUND(AF231+AE232-AD232,2),0)</f>
        <v>0</v>
      </c>
      <c r="AG232" s="24">
        <f>IF(AI231&gt;0,MIN(ROUND(AG$6+IF(AG$5=$C232,$E$5+$E232,0),2),ROUND(AI231+AH232,2)),0)</f>
        <v>0</v>
      </c>
      <c r="AH232" s="24">
        <f>IF(AI231&gt;0,ROUND(ROUND(AI231*100,0)*ROUND(AG$7*10000,0)/12000000,0)/100,0)</f>
        <v>0</v>
      </c>
      <c r="AI232" s="24">
        <f>IF(AI231&gt;0,ROUND(AI231+AH232-AG232,2),0)</f>
        <v>0</v>
      </c>
      <c r="AJ232" s="24">
        <f>IF(AL231&gt;0,MIN(ROUND(AJ$6+IF(AJ$5=$C232,$E$5+$E232,0),2),ROUND(AL231+AK232,2)),0)</f>
        <v>0</v>
      </c>
      <c r="AK232" s="24">
        <f>IF(AL231&gt;0,ROUND(ROUND(AL231*100,0)*ROUND(AJ$7*10000,0)/12000000,0)/100,0)</f>
        <v>0</v>
      </c>
      <c r="AL232" s="24">
        <f>IF(AL231&gt;0,ROUND(AL231+AK232-AJ232,2),0)</f>
        <v>0</v>
      </c>
    </row>
    <row r="233" spans="1:38" x14ac:dyDescent="0.25">
      <c r="A233" s="17" t="str">
        <f>IF(F233&gt;0,223,"")</f>
        <v/>
      </c>
      <c r="B233" s="18" t="str">
        <f>IF(F233&gt;0,EDATE($E$6,223),"")</f>
        <v/>
      </c>
      <c r="C233" s="21">
        <f>IF(H232&gt;0,MIN(IF(K232&gt;0,I$5,99),IF(N232&gt;0,L$5,99),IF(Q232&gt;0,O$5,99),IF(T232&gt;0,R$5,99),IF(W232&gt;0,U$5,99),IF(Z232&gt;0,X$5,99),IF(AC232&gt;0,AA$5,99),IF(AF232&gt;0,AD$5,99),IF(AI232&gt;0,AG$5,99),IF(AL232&gt;0,AJ$5,99)),0)</f>
        <v>0</v>
      </c>
      <c r="D233" t="str">
        <f>IF(C233&gt;0,INDEX($I$4:$AL$4,1,MATCH(C233,$I$5:$AL$5,0)),"")</f>
        <v/>
      </c>
      <c r="E233" s="24">
        <f>ROUND(IF(AND(I$8&gt;0,K232=0),I$6,0)+IF(AND(L$8&gt;0,N232=0),L$6,0)+IF(AND(O$8&gt;0,Q232=0),O$6,0)+IF(AND(R$8&gt;0,T232=0),R$6,0)+IF(AND(U$8&gt;0,W232=0),U$6,0)+IF(AND(X$8&gt;0,Z232=0),X$6,0)+IF(AND(AA$8&gt;0,AC232=0),AA$6,0)+IF(AND(AD$8&gt;0,AF232=0),AD$6,0)+IF(AND(AG$8&gt;0,AI232=0),AG$6,0)+IF(AND(AJ$8&gt;0,AL232=0),AJ$6,0),2)</f>
        <v>330</v>
      </c>
      <c r="F233" s="24">
        <f>ROUND(I233+L233+O233+R233+U233+X233+AA233+AD233+AG233+AJ233,2)</f>
        <v>0</v>
      </c>
      <c r="G233" s="24">
        <f>ROUND(J233+M233+P233+S233+V233+Y233+AB233+AE233+AH233+AK233,2)</f>
        <v>0</v>
      </c>
      <c r="H233" s="24">
        <f>ROUND(K233+N233+Q233+T233+W233+Z233+AC233+AF233+AI233+AL233,2)</f>
        <v>0</v>
      </c>
      <c r="I233" s="24">
        <f>IF(K232&gt;0,MIN(ROUND(I$6+IF(I$5=$C233,$E$5+$E233,0),2),ROUND(K232+J233,2)),0)</f>
        <v>0</v>
      </c>
      <c r="J233" s="24">
        <f>IF(K232&gt;0,ROUND(ROUND(K232*100,0)*ROUND(I$7*10000,0)/12000000,0)/100,0)</f>
        <v>0</v>
      </c>
      <c r="K233" s="24">
        <f>IF(K232&gt;0,ROUND(K232+J233-I233,2),0)</f>
        <v>0</v>
      </c>
      <c r="L233" s="24">
        <f>IF(N232&gt;0,MIN(ROUND(L$6+IF(L$5=$C233,$E$5+$E233,0),2),ROUND(N232+M233,2)),0)</f>
        <v>0</v>
      </c>
      <c r="M233" s="24">
        <f>IF(N232&gt;0,ROUND(ROUND(N232*100,0)*ROUND(L$7*10000,0)/12000000,0)/100,0)</f>
        <v>0</v>
      </c>
      <c r="N233" s="24">
        <f>IF(N232&gt;0,ROUND(N232+M233-L233,2),0)</f>
        <v>0</v>
      </c>
      <c r="O233" s="24">
        <f>IF(Q232&gt;0,MIN(ROUND(O$6+IF(O$5=$C233,$E$5+$E233,0),2),ROUND(Q232+P233,2)),0)</f>
        <v>0</v>
      </c>
      <c r="P233" s="24">
        <f>IF(Q232&gt;0,ROUND(ROUND(Q232*100,0)*ROUND(O$7*10000,0)/12000000,0)/100,0)</f>
        <v>0</v>
      </c>
      <c r="Q233" s="24">
        <f>IF(Q232&gt;0,ROUND(Q232+P233-O233,2),0)</f>
        <v>0</v>
      </c>
      <c r="R233" s="24">
        <f>IF(T232&gt;0,MIN(ROUND(R$6+IF(R$5=$C233,$E$5+$E233,0),2),ROUND(T232+S233,2)),0)</f>
        <v>0</v>
      </c>
      <c r="S233" s="24">
        <f>IF(T232&gt;0,ROUND(ROUND(T232*100,0)*ROUND(R$7*10000,0)/12000000,0)/100,0)</f>
        <v>0</v>
      </c>
      <c r="T233" s="24">
        <f>IF(T232&gt;0,ROUND(T232+S233-R233,2),0)</f>
        <v>0</v>
      </c>
      <c r="U233" s="24">
        <f>IF(W232&gt;0,MIN(ROUND(U$6+IF(U$5=$C233,$E$5+$E233,0),2),ROUND(W232+V233,2)),0)</f>
        <v>0</v>
      </c>
      <c r="V233" s="24">
        <f>IF(W232&gt;0,ROUND(ROUND(W232*100,0)*ROUND(U$7*10000,0)/12000000,0)/100,0)</f>
        <v>0</v>
      </c>
      <c r="W233" s="24">
        <f>IF(W232&gt;0,ROUND(W232+V233-U233,2),0)</f>
        <v>0</v>
      </c>
      <c r="X233" s="24">
        <f>IF(Z232&gt;0,MIN(ROUND(X$6+IF(X$5=$C233,$E$5+$E233,0),2),ROUND(Z232+Y233,2)),0)</f>
        <v>0</v>
      </c>
      <c r="Y233" s="24">
        <f>IF(Z232&gt;0,ROUND(ROUND(Z232*100,0)*ROUND(X$7*10000,0)/12000000,0)/100,0)</f>
        <v>0</v>
      </c>
      <c r="Z233" s="24">
        <f>IF(Z232&gt;0,ROUND(Z232+Y233-X233,2),0)</f>
        <v>0</v>
      </c>
      <c r="AA233" s="24">
        <f>IF(AC232&gt;0,MIN(ROUND(AA$6+IF(AA$5=$C233,$E$5+$E233,0),2),ROUND(AC232+AB233,2)),0)</f>
        <v>0</v>
      </c>
      <c r="AB233" s="24">
        <f>IF(AC232&gt;0,ROUND(ROUND(AC232*100,0)*ROUND(AA$7*10000,0)/12000000,0)/100,0)</f>
        <v>0</v>
      </c>
      <c r="AC233" s="24">
        <f>IF(AC232&gt;0,ROUND(AC232+AB233-AA233,2),0)</f>
        <v>0</v>
      </c>
      <c r="AD233" s="24">
        <f>IF(AF232&gt;0,MIN(ROUND(AD$6+IF(AD$5=$C233,$E$5+$E233,0),2),ROUND(AF232+AE233,2)),0)</f>
        <v>0</v>
      </c>
      <c r="AE233" s="24">
        <f>IF(AF232&gt;0,ROUND(ROUND(AF232*100,0)*ROUND(AD$7*10000,0)/12000000,0)/100,0)</f>
        <v>0</v>
      </c>
      <c r="AF233" s="24">
        <f>IF(AF232&gt;0,ROUND(AF232+AE233-AD233,2),0)</f>
        <v>0</v>
      </c>
      <c r="AG233" s="24">
        <f>IF(AI232&gt;0,MIN(ROUND(AG$6+IF(AG$5=$C233,$E$5+$E233,0),2),ROUND(AI232+AH233,2)),0)</f>
        <v>0</v>
      </c>
      <c r="AH233" s="24">
        <f>IF(AI232&gt;0,ROUND(ROUND(AI232*100,0)*ROUND(AG$7*10000,0)/12000000,0)/100,0)</f>
        <v>0</v>
      </c>
      <c r="AI233" s="24">
        <f>IF(AI232&gt;0,ROUND(AI232+AH233-AG233,2),0)</f>
        <v>0</v>
      </c>
      <c r="AJ233" s="24">
        <f>IF(AL232&gt;0,MIN(ROUND(AJ$6+IF(AJ$5=$C233,$E$5+$E233,0),2),ROUND(AL232+AK233,2)),0)</f>
        <v>0</v>
      </c>
      <c r="AK233" s="24">
        <f>IF(AL232&gt;0,ROUND(ROUND(AL232*100,0)*ROUND(AJ$7*10000,0)/12000000,0)/100,0)</f>
        <v>0</v>
      </c>
      <c r="AL233" s="24">
        <f>IF(AL232&gt;0,ROUND(AL232+AK233-AJ233,2),0)</f>
        <v>0</v>
      </c>
    </row>
    <row r="234" spans="1:38" x14ac:dyDescent="0.25">
      <c r="A234" s="17" t="str">
        <f>IF(F234&gt;0,224,"")</f>
        <v/>
      </c>
      <c r="B234" s="18" t="str">
        <f>IF(F234&gt;0,EDATE($E$6,224),"")</f>
        <v/>
      </c>
      <c r="C234" s="21">
        <f>IF(H233&gt;0,MIN(IF(K233&gt;0,I$5,99),IF(N233&gt;0,L$5,99),IF(Q233&gt;0,O$5,99),IF(T233&gt;0,R$5,99),IF(W233&gt;0,U$5,99),IF(Z233&gt;0,X$5,99),IF(AC233&gt;0,AA$5,99),IF(AF233&gt;0,AD$5,99),IF(AI233&gt;0,AG$5,99),IF(AL233&gt;0,AJ$5,99)),0)</f>
        <v>0</v>
      </c>
      <c r="D234" t="str">
        <f>IF(C234&gt;0,INDEX($I$4:$AL$4,1,MATCH(C234,$I$5:$AL$5,0)),"")</f>
        <v/>
      </c>
      <c r="E234" s="24">
        <f>ROUND(IF(AND(I$8&gt;0,K233=0),I$6,0)+IF(AND(L$8&gt;0,N233=0),L$6,0)+IF(AND(O$8&gt;0,Q233=0),O$6,0)+IF(AND(R$8&gt;0,T233=0),R$6,0)+IF(AND(U$8&gt;0,W233=0),U$6,0)+IF(AND(X$8&gt;0,Z233=0),X$6,0)+IF(AND(AA$8&gt;0,AC233=0),AA$6,0)+IF(AND(AD$8&gt;0,AF233=0),AD$6,0)+IF(AND(AG$8&gt;0,AI233=0),AG$6,0)+IF(AND(AJ$8&gt;0,AL233=0),AJ$6,0),2)</f>
        <v>330</v>
      </c>
      <c r="F234" s="24">
        <f>ROUND(I234+L234+O234+R234+U234+X234+AA234+AD234+AG234+AJ234,2)</f>
        <v>0</v>
      </c>
      <c r="G234" s="24">
        <f>ROUND(J234+M234+P234+S234+V234+Y234+AB234+AE234+AH234+AK234,2)</f>
        <v>0</v>
      </c>
      <c r="H234" s="24">
        <f>ROUND(K234+N234+Q234+T234+W234+Z234+AC234+AF234+AI234+AL234,2)</f>
        <v>0</v>
      </c>
      <c r="I234" s="24">
        <f>IF(K233&gt;0,MIN(ROUND(I$6+IF(I$5=$C234,$E$5+$E234,0),2),ROUND(K233+J234,2)),0)</f>
        <v>0</v>
      </c>
      <c r="J234" s="24">
        <f>IF(K233&gt;0,ROUND(ROUND(K233*100,0)*ROUND(I$7*10000,0)/12000000,0)/100,0)</f>
        <v>0</v>
      </c>
      <c r="K234" s="24">
        <f>IF(K233&gt;0,ROUND(K233+J234-I234,2),0)</f>
        <v>0</v>
      </c>
      <c r="L234" s="24">
        <f>IF(N233&gt;0,MIN(ROUND(L$6+IF(L$5=$C234,$E$5+$E234,0),2),ROUND(N233+M234,2)),0)</f>
        <v>0</v>
      </c>
      <c r="M234" s="24">
        <f>IF(N233&gt;0,ROUND(ROUND(N233*100,0)*ROUND(L$7*10000,0)/12000000,0)/100,0)</f>
        <v>0</v>
      </c>
      <c r="N234" s="24">
        <f>IF(N233&gt;0,ROUND(N233+M234-L234,2),0)</f>
        <v>0</v>
      </c>
      <c r="O234" s="24">
        <f>IF(Q233&gt;0,MIN(ROUND(O$6+IF(O$5=$C234,$E$5+$E234,0),2),ROUND(Q233+P234,2)),0)</f>
        <v>0</v>
      </c>
      <c r="P234" s="24">
        <f>IF(Q233&gt;0,ROUND(ROUND(Q233*100,0)*ROUND(O$7*10000,0)/12000000,0)/100,0)</f>
        <v>0</v>
      </c>
      <c r="Q234" s="24">
        <f>IF(Q233&gt;0,ROUND(Q233+P234-O234,2),0)</f>
        <v>0</v>
      </c>
      <c r="R234" s="24">
        <f>IF(T233&gt;0,MIN(ROUND(R$6+IF(R$5=$C234,$E$5+$E234,0),2),ROUND(T233+S234,2)),0)</f>
        <v>0</v>
      </c>
      <c r="S234" s="24">
        <f>IF(T233&gt;0,ROUND(ROUND(T233*100,0)*ROUND(R$7*10000,0)/12000000,0)/100,0)</f>
        <v>0</v>
      </c>
      <c r="T234" s="24">
        <f>IF(T233&gt;0,ROUND(T233+S234-R234,2),0)</f>
        <v>0</v>
      </c>
      <c r="U234" s="24">
        <f>IF(W233&gt;0,MIN(ROUND(U$6+IF(U$5=$C234,$E$5+$E234,0),2),ROUND(W233+V234,2)),0)</f>
        <v>0</v>
      </c>
      <c r="V234" s="24">
        <f>IF(W233&gt;0,ROUND(ROUND(W233*100,0)*ROUND(U$7*10000,0)/12000000,0)/100,0)</f>
        <v>0</v>
      </c>
      <c r="W234" s="24">
        <f>IF(W233&gt;0,ROUND(W233+V234-U234,2),0)</f>
        <v>0</v>
      </c>
      <c r="X234" s="24">
        <f>IF(Z233&gt;0,MIN(ROUND(X$6+IF(X$5=$C234,$E$5+$E234,0),2),ROUND(Z233+Y234,2)),0)</f>
        <v>0</v>
      </c>
      <c r="Y234" s="24">
        <f>IF(Z233&gt;0,ROUND(ROUND(Z233*100,0)*ROUND(X$7*10000,0)/12000000,0)/100,0)</f>
        <v>0</v>
      </c>
      <c r="Z234" s="24">
        <f>IF(Z233&gt;0,ROUND(Z233+Y234-X234,2),0)</f>
        <v>0</v>
      </c>
      <c r="AA234" s="24">
        <f>IF(AC233&gt;0,MIN(ROUND(AA$6+IF(AA$5=$C234,$E$5+$E234,0),2),ROUND(AC233+AB234,2)),0)</f>
        <v>0</v>
      </c>
      <c r="AB234" s="24">
        <f>IF(AC233&gt;0,ROUND(ROUND(AC233*100,0)*ROUND(AA$7*10000,0)/12000000,0)/100,0)</f>
        <v>0</v>
      </c>
      <c r="AC234" s="24">
        <f>IF(AC233&gt;0,ROUND(AC233+AB234-AA234,2),0)</f>
        <v>0</v>
      </c>
      <c r="AD234" s="24">
        <f>IF(AF233&gt;0,MIN(ROUND(AD$6+IF(AD$5=$C234,$E$5+$E234,0),2),ROUND(AF233+AE234,2)),0)</f>
        <v>0</v>
      </c>
      <c r="AE234" s="24">
        <f>IF(AF233&gt;0,ROUND(ROUND(AF233*100,0)*ROUND(AD$7*10000,0)/12000000,0)/100,0)</f>
        <v>0</v>
      </c>
      <c r="AF234" s="24">
        <f>IF(AF233&gt;0,ROUND(AF233+AE234-AD234,2),0)</f>
        <v>0</v>
      </c>
      <c r="AG234" s="24">
        <f>IF(AI233&gt;0,MIN(ROUND(AG$6+IF(AG$5=$C234,$E$5+$E234,0),2),ROUND(AI233+AH234,2)),0)</f>
        <v>0</v>
      </c>
      <c r="AH234" s="24">
        <f>IF(AI233&gt;0,ROUND(ROUND(AI233*100,0)*ROUND(AG$7*10000,0)/12000000,0)/100,0)</f>
        <v>0</v>
      </c>
      <c r="AI234" s="24">
        <f>IF(AI233&gt;0,ROUND(AI233+AH234-AG234,2),0)</f>
        <v>0</v>
      </c>
      <c r="AJ234" s="24">
        <f>IF(AL233&gt;0,MIN(ROUND(AJ$6+IF(AJ$5=$C234,$E$5+$E234,0),2),ROUND(AL233+AK234,2)),0)</f>
        <v>0</v>
      </c>
      <c r="AK234" s="24">
        <f>IF(AL233&gt;0,ROUND(ROUND(AL233*100,0)*ROUND(AJ$7*10000,0)/12000000,0)/100,0)</f>
        <v>0</v>
      </c>
      <c r="AL234" s="24">
        <f>IF(AL233&gt;0,ROUND(AL233+AK234-AJ234,2),0)</f>
        <v>0</v>
      </c>
    </row>
    <row r="235" spans="1:38" x14ac:dyDescent="0.25">
      <c r="A235" s="17" t="str">
        <f>IF(F235&gt;0,225,"")</f>
        <v/>
      </c>
      <c r="B235" s="18" t="str">
        <f>IF(F235&gt;0,EDATE($E$6,225),"")</f>
        <v/>
      </c>
      <c r="C235" s="21">
        <f>IF(H234&gt;0,MIN(IF(K234&gt;0,I$5,99),IF(N234&gt;0,L$5,99),IF(Q234&gt;0,O$5,99),IF(T234&gt;0,R$5,99),IF(W234&gt;0,U$5,99),IF(Z234&gt;0,X$5,99),IF(AC234&gt;0,AA$5,99),IF(AF234&gt;0,AD$5,99),IF(AI234&gt;0,AG$5,99),IF(AL234&gt;0,AJ$5,99)),0)</f>
        <v>0</v>
      </c>
      <c r="D235" t="str">
        <f>IF(C235&gt;0,INDEX($I$4:$AL$4,1,MATCH(C235,$I$5:$AL$5,0)),"")</f>
        <v/>
      </c>
      <c r="E235" s="24">
        <f>ROUND(IF(AND(I$8&gt;0,K234=0),I$6,0)+IF(AND(L$8&gt;0,N234=0),L$6,0)+IF(AND(O$8&gt;0,Q234=0),O$6,0)+IF(AND(R$8&gt;0,T234=0),R$6,0)+IF(AND(U$8&gt;0,W234=0),U$6,0)+IF(AND(X$8&gt;0,Z234=0),X$6,0)+IF(AND(AA$8&gt;0,AC234=0),AA$6,0)+IF(AND(AD$8&gt;0,AF234=0),AD$6,0)+IF(AND(AG$8&gt;0,AI234=0),AG$6,0)+IF(AND(AJ$8&gt;0,AL234=0),AJ$6,0),2)</f>
        <v>330</v>
      </c>
      <c r="F235" s="24">
        <f>ROUND(I235+L235+O235+R235+U235+X235+AA235+AD235+AG235+AJ235,2)</f>
        <v>0</v>
      </c>
      <c r="G235" s="24">
        <f>ROUND(J235+M235+P235+S235+V235+Y235+AB235+AE235+AH235+AK235,2)</f>
        <v>0</v>
      </c>
      <c r="H235" s="24">
        <f>ROUND(K235+N235+Q235+T235+W235+Z235+AC235+AF235+AI235+AL235,2)</f>
        <v>0</v>
      </c>
      <c r="I235" s="24">
        <f>IF(K234&gt;0,MIN(ROUND(I$6+IF(I$5=$C235,$E$5+$E235,0),2),ROUND(K234+J235,2)),0)</f>
        <v>0</v>
      </c>
      <c r="J235" s="24">
        <f>IF(K234&gt;0,ROUND(ROUND(K234*100,0)*ROUND(I$7*10000,0)/12000000,0)/100,0)</f>
        <v>0</v>
      </c>
      <c r="K235" s="24">
        <f>IF(K234&gt;0,ROUND(K234+J235-I235,2),0)</f>
        <v>0</v>
      </c>
      <c r="L235" s="24">
        <f>IF(N234&gt;0,MIN(ROUND(L$6+IF(L$5=$C235,$E$5+$E235,0),2),ROUND(N234+M235,2)),0)</f>
        <v>0</v>
      </c>
      <c r="M235" s="24">
        <f>IF(N234&gt;0,ROUND(ROUND(N234*100,0)*ROUND(L$7*10000,0)/12000000,0)/100,0)</f>
        <v>0</v>
      </c>
      <c r="N235" s="24">
        <f>IF(N234&gt;0,ROUND(N234+M235-L235,2),0)</f>
        <v>0</v>
      </c>
      <c r="O235" s="24">
        <f>IF(Q234&gt;0,MIN(ROUND(O$6+IF(O$5=$C235,$E$5+$E235,0),2),ROUND(Q234+P235,2)),0)</f>
        <v>0</v>
      </c>
      <c r="P235" s="24">
        <f>IF(Q234&gt;0,ROUND(ROUND(Q234*100,0)*ROUND(O$7*10000,0)/12000000,0)/100,0)</f>
        <v>0</v>
      </c>
      <c r="Q235" s="24">
        <f>IF(Q234&gt;0,ROUND(Q234+P235-O235,2),0)</f>
        <v>0</v>
      </c>
      <c r="R235" s="24">
        <f>IF(T234&gt;0,MIN(ROUND(R$6+IF(R$5=$C235,$E$5+$E235,0),2),ROUND(T234+S235,2)),0)</f>
        <v>0</v>
      </c>
      <c r="S235" s="24">
        <f>IF(T234&gt;0,ROUND(ROUND(T234*100,0)*ROUND(R$7*10000,0)/12000000,0)/100,0)</f>
        <v>0</v>
      </c>
      <c r="T235" s="24">
        <f>IF(T234&gt;0,ROUND(T234+S235-R235,2),0)</f>
        <v>0</v>
      </c>
      <c r="U235" s="24">
        <f>IF(W234&gt;0,MIN(ROUND(U$6+IF(U$5=$C235,$E$5+$E235,0),2),ROUND(W234+V235,2)),0)</f>
        <v>0</v>
      </c>
      <c r="V235" s="24">
        <f>IF(W234&gt;0,ROUND(ROUND(W234*100,0)*ROUND(U$7*10000,0)/12000000,0)/100,0)</f>
        <v>0</v>
      </c>
      <c r="W235" s="24">
        <f>IF(W234&gt;0,ROUND(W234+V235-U235,2),0)</f>
        <v>0</v>
      </c>
      <c r="X235" s="24">
        <f>IF(Z234&gt;0,MIN(ROUND(X$6+IF(X$5=$C235,$E$5+$E235,0),2),ROUND(Z234+Y235,2)),0)</f>
        <v>0</v>
      </c>
      <c r="Y235" s="24">
        <f>IF(Z234&gt;0,ROUND(ROUND(Z234*100,0)*ROUND(X$7*10000,0)/12000000,0)/100,0)</f>
        <v>0</v>
      </c>
      <c r="Z235" s="24">
        <f>IF(Z234&gt;0,ROUND(Z234+Y235-X235,2),0)</f>
        <v>0</v>
      </c>
      <c r="AA235" s="24">
        <f>IF(AC234&gt;0,MIN(ROUND(AA$6+IF(AA$5=$C235,$E$5+$E235,0),2),ROUND(AC234+AB235,2)),0)</f>
        <v>0</v>
      </c>
      <c r="AB235" s="24">
        <f>IF(AC234&gt;0,ROUND(ROUND(AC234*100,0)*ROUND(AA$7*10000,0)/12000000,0)/100,0)</f>
        <v>0</v>
      </c>
      <c r="AC235" s="24">
        <f>IF(AC234&gt;0,ROUND(AC234+AB235-AA235,2),0)</f>
        <v>0</v>
      </c>
      <c r="AD235" s="24">
        <f>IF(AF234&gt;0,MIN(ROUND(AD$6+IF(AD$5=$C235,$E$5+$E235,0),2),ROUND(AF234+AE235,2)),0)</f>
        <v>0</v>
      </c>
      <c r="AE235" s="24">
        <f>IF(AF234&gt;0,ROUND(ROUND(AF234*100,0)*ROUND(AD$7*10000,0)/12000000,0)/100,0)</f>
        <v>0</v>
      </c>
      <c r="AF235" s="24">
        <f>IF(AF234&gt;0,ROUND(AF234+AE235-AD235,2),0)</f>
        <v>0</v>
      </c>
      <c r="AG235" s="24">
        <f>IF(AI234&gt;0,MIN(ROUND(AG$6+IF(AG$5=$C235,$E$5+$E235,0),2),ROUND(AI234+AH235,2)),0)</f>
        <v>0</v>
      </c>
      <c r="AH235" s="24">
        <f>IF(AI234&gt;0,ROUND(ROUND(AI234*100,0)*ROUND(AG$7*10000,0)/12000000,0)/100,0)</f>
        <v>0</v>
      </c>
      <c r="AI235" s="24">
        <f>IF(AI234&gt;0,ROUND(AI234+AH235-AG235,2),0)</f>
        <v>0</v>
      </c>
      <c r="AJ235" s="24">
        <f>IF(AL234&gt;0,MIN(ROUND(AJ$6+IF(AJ$5=$C235,$E$5+$E235,0),2),ROUND(AL234+AK235,2)),0)</f>
        <v>0</v>
      </c>
      <c r="AK235" s="24">
        <f>IF(AL234&gt;0,ROUND(ROUND(AL234*100,0)*ROUND(AJ$7*10000,0)/12000000,0)/100,0)</f>
        <v>0</v>
      </c>
      <c r="AL235" s="24">
        <f>IF(AL234&gt;0,ROUND(AL234+AK235-AJ235,2),0)</f>
        <v>0</v>
      </c>
    </row>
    <row r="236" spans="1:38" x14ac:dyDescent="0.25">
      <c r="A236" s="17" t="str">
        <f>IF(F236&gt;0,226,"")</f>
        <v/>
      </c>
      <c r="B236" s="18" t="str">
        <f>IF(F236&gt;0,EDATE($E$6,226),"")</f>
        <v/>
      </c>
      <c r="C236" s="21">
        <f>IF(H235&gt;0,MIN(IF(K235&gt;0,I$5,99),IF(N235&gt;0,L$5,99),IF(Q235&gt;0,O$5,99),IF(T235&gt;0,R$5,99),IF(W235&gt;0,U$5,99),IF(Z235&gt;0,X$5,99),IF(AC235&gt;0,AA$5,99),IF(AF235&gt;0,AD$5,99),IF(AI235&gt;0,AG$5,99),IF(AL235&gt;0,AJ$5,99)),0)</f>
        <v>0</v>
      </c>
      <c r="D236" t="str">
        <f>IF(C236&gt;0,INDEX($I$4:$AL$4,1,MATCH(C236,$I$5:$AL$5,0)),"")</f>
        <v/>
      </c>
      <c r="E236" s="24">
        <f>ROUND(IF(AND(I$8&gt;0,K235=0),I$6,0)+IF(AND(L$8&gt;0,N235=0),L$6,0)+IF(AND(O$8&gt;0,Q235=0),O$6,0)+IF(AND(R$8&gt;0,T235=0),R$6,0)+IF(AND(U$8&gt;0,W235=0),U$6,0)+IF(AND(X$8&gt;0,Z235=0),X$6,0)+IF(AND(AA$8&gt;0,AC235=0),AA$6,0)+IF(AND(AD$8&gt;0,AF235=0),AD$6,0)+IF(AND(AG$8&gt;0,AI235=0),AG$6,0)+IF(AND(AJ$8&gt;0,AL235=0),AJ$6,0),2)</f>
        <v>330</v>
      </c>
      <c r="F236" s="24">
        <f>ROUND(I236+L236+O236+R236+U236+X236+AA236+AD236+AG236+AJ236,2)</f>
        <v>0</v>
      </c>
      <c r="G236" s="24">
        <f>ROUND(J236+M236+P236+S236+V236+Y236+AB236+AE236+AH236+AK236,2)</f>
        <v>0</v>
      </c>
      <c r="H236" s="24">
        <f>ROUND(K236+N236+Q236+T236+W236+Z236+AC236+AF236+AI236+AL236,2)</f>
        <v>0</v>
      </c>
      <c r="I236" s="24">
        <f>IF(K235&gt;0,MIN(ROUND(I$6+IF(I$5=$C236,$E$5+$E236,0),2),ROUND(K235+J236,2)),0)</f>
        <v>0</v>
      </c>
      <c r="J236" s="24">
        <f>IF(K235&gt;0,ROUND(ROUND(K235*100,0)*ROUND(I$7*10000,0)/12000000,0)/100,0)</f>
        <v>0</v>
      </c>
      <c r="K236" s="24">
        <f>IF(K235&gt;0,ROUND(K235+J236-I236,2),0)</f>
        <v>0</v>
      </c>
      <c r="L236" s="24">
        <f>IF(N235&gt;0,MIN(ROUND(L$6+IF(L$5=$C236,$E$5+$E236,0),2),ROUND(N235+M236,2)),0)</f>
        <v>0</v>
      </c>
      <c r="M236" s="24">
        <f>IF(N235&gt;0,ROUND(ROUND(N235*100,0)*ROUND(L$7*10000,0)/12000000,0)/100,0)</f>
        <v>0</v>
      </c>
      <c r="N236" s="24">
        <f>IF(N235&gt;0,ROUND(N235+M236-L236,2),0)</f>
        <v>0</v>
      </c>
      <c r="O236" s="24">
        <f>IF(Q235&gt;0,MIN(ROUND(O$6+IF(O$5=$C236,$E$5+$E236,0),2),ROUND(Q235+P236,2)),0)</f>
        <v>0</v>
      </c>
      <c r="P236" s="24">
        <f>IF(Q235&gt;0,ROUND(ROUND(Q235*100,0)*ROUND(O$7*10000,0)/12000000,0)/100,0)</f>
        <v>0</v>
      </c>
      <c r="Q236" s="24">
        <f>IF(Q235&gt;0,ROUND(Q235+P236-O236,2),0)</f>
        <v>0</v>
      </c>
      <c r="R236" s="24">
        <f>IF(T235&gt;0,MIN(ROUND(R$6+IF(R$5=$C236,$E$5+$E236,0),2),ROUND(T235+S236,2)),0)</f>
        <v>0</v>
      </c>
      <c r="S236" s="24">
        <f>IF(T235&gt;0,ROUND(ROUND(T235*100,0)*ROUND(R$7*10000,0)/12000000,0)/100,0)</f>
        <v>0</v>
      </c>
      <c r="T236" s="24">
        <f>IF(T235&gt;0,ROUND(T235+S236-R236,2),0)</f>
        <v>0</v>
      </c>
      <c r="U236" s="24">
        <f>IF(W235&gt;0,MIN(ROUND(U$6+IF(U$5=$C236,$E$5+$E236,0),2),ROUND(W235+V236,2)),0)</f>
        <v>0</v>
      </c>
      <c r="V236" s="24">
        <f>IF(W235&gt;0,ROUND(ROUND(W235*100,0)*ROUND(U$7*10000,0)/12000000,0)/100,0)</f>
        <v>0</v>
      </c>
      <c r="W236" s="24">
        <f>IF(W235&gt;0,ROUND(W235+V236-U236,2),0)</f>
        <v>0</v>
      </c>
      <c r="X236" s="24">
        <f>IF(Z235&gt;0,MIN(ROUND(X$6+IF(X$5=$C236,$E$5+$E236,0),2),ROUND(Z235+Y236,2)),0)</f>
        <v>0</v>
      </c>
      <c r="Y236" s="24">
        <f>IF(Z235&gt;0,ROUND(ROUND(Z235*100,0)*ROUND(X$7*10000,0)/12000000,0)/100,0)</f>
        <v>0</v>
      </c>
      <c r="Z236" s="24">
        <f>IF(Z235&gt;0,ROUND(Z235+Y236-X236,2),0)</f>
        <v>0</v>
      </c>
      <c r="AA236" s="24">
        <f>IF(AC235&gt;0,MIN(ROUND(AA$6+IF(AA$5=$C236,$E$5+$E236,0),2),ROUND(AC235+AB236,2)),0)</f>
        <v>0</v>
      </c>
      <c r="AB236" s="24">
        <f>IF(AC235&gt;0,ROUND(ROUND(AC235*100,0)*ROUND(AA$7*10000,0)/12000000,0)/100,0)</f>
        <v>0</v>
      </c>
      <c r="AC236" s="24">
        <f>IF(AC235&gt;0,ROUND(AC235+AB236-AA236,2),0)</f>
        <v>0</v>
      </c>
      <c r="AD236" s="24">
        <f>IF(AF235&gt;0,MIN(ROUND(AD$6+IF(AD$5=$C236,$E$5+$E236,0),2),ROUND(AF235+AE236,2)),0)</f>
        <v>0</v>
      </c>
      <c r="AE236" s="24">
        <f>IF(AF235&gt;0,ROUND(ROUND(AF235*100,0)*ROUND(AD$7*10000,0)/12000000,0)/100,0)</f>
        <v>0</v>
      </c>
      <c r="AF236" s="24">
        <f>IF(AF235&gt;0,ROUND(AF235+AE236-AD236,2),0)</f>
        <v>0</v>
      </c>
      <c r="AG236" s="24">
        <f>IF(AI235&gt;0,MIN(ROUND(AG$6+IF(AG$5=$C236,$E$5+$E236,0),2),ROUND(AI235+AH236,2)),0)</f>
        <v>0</v>
      </c>
      <c r="AH236" s="24">
        <f>IF(AI235&gt;0,ROUND(ROUND(AI235*100,0)*ROUND(AG$7*10000,0)/12000000,0)/100,0)</f>
        <v>0</v>
      </c>
      <c r="AI236" s="24">
        <f>IF(AI235&gt;0,ROUND(AI235+AH236-AG236,2),0)</f>
        <v>0</v>
      </c>
      <c r="AJ236" s="24">
        <f>IF(AL235&gt;0,MIN(ROUND(AJ$6+IF(AJ$5=$C236,$E$5+$E236,0),2),ROUND(AL235+AK236,2)),0)</f>
        <v>0</v>
      </c>
      <c r="AK236" s="24">
        <f>IF(AL235&gt;0,ROUND(ROUND(AL235*100,0)*ROUND(AJ$7*10000,0)/12000000,0)/100,0)</f>
        <v>0</v>
      </c>
      <c r="AL236" s="24">
        <f>IF(AL235&gt;0,ROUND(AL235+AK236-AJ236,2),0)</f>
        <v>0</v>
      </c>
    </row>
    <row r="237" spans="1:38" x14ac:dyDescent="0.25">
      <c r="A237" s="17" t="str">
        <f>IF(F237&gt;0,227,"")</f>
        <v/>
      </c>
      <c r="B237" s="18" t="str">
        <f>IF(F237&gt;0,EDATE($E$6,227),"")</f>
        <v/>
      </c>
      <c r="C237" s="21">
        <f>IF(H236&gt;0,MIN(IF(K236&gt;0,I$5,99),IF(N236&gt;0,L$5,99),IF(Q236&gt;0,O$5,99),IF(T236&gt;0,R$5,99),IF(W236&gt;0,U$5,99),IF(Z236&gt;0,X$5,99),IF(AC236&gt;0,AA$5,99),IF(AF236&gt;0,AD$5,99),IF(AI236&gt;0,AG$5,99),IF(AL236&gt;0,AJ$5,99)),0)</f>
        <v>0</v>
      </c>
      <c r="D237" t="str">
        <f>IF(C237&gt;0,INDEX($I$4:$AL$4,1,MATCH(C237,$I$5:$AL$5,0)),"")</f>
        <v/>
      </c>
      <c r="E237" s="24">
        <f>ROUND(IF(AND(I$8&gt;0,K236=0),I$6,0)+IF(AND(L$8&gt;0,N236=0),L$6,0)+IF(AND(O$8&gt;0,Q236=0),O$6,0)+IF(AND(R$8&gt;0,T236=0),R$6,0)+IF(AND(U$8&gt;0,W236=0),U$6,0)+IF(AND(X$8&gt;0,Z236=0),X$6,0)+IF(AND(AA$8&gt;0,AC236=0),AA$6,0)+IF(AND(AD$8&gt;0,AF236=0),AD$6,0)+IF(AND(AG$8&gt;0,AI236=0),AG$6,0)+IF(AND(AJ$8&gt;0,AL236=0),AJ$6,0),2)</f>
        <v>330</v>
      </c>
      <c r="F237" s="24">
        <f>ROUND(I237+L237+O237+R237+U237+X237+AA237+AD237+AG237+AJ237,2)</f>
        <v>0</v>
      </c>
      <c r="G237" s="24">
        <f>ROUND(J237+M237+P237+S237+V237+Y237+AB237+AE237+AH237+AK237,2)</f>
        <v>0</v>
      </c>
      <c r="H237" s="24">
        <f>ROUND(K237+N237+Q237+T237+W237+Z237+AC237+AF237+AI237+AL237,2)</f>
        <v>0</v>
      </c>
      <c r="I237" s="24">
        <f>IF(K236&gt;0,MIN(ROUND(I$6+IF(I$5=$C237,$E$5+$E237,0),2),ROUND(K236+J237,2)),0)</f>
        <v>0</v>
      </c>
      <c r="J237" s="24">
        <f>IF(K236&gt;0,ROUND(ROUND(K236*100,0)*ROUND(I$7*10000,0)/12000000,0)/100,0)</f>
        <v>0</v>
      </c>
      <c r="K237" s="24">
        <f>IF(K236&gt;0,ROUND(K236+J237-I237,2),0)</f>
        <v>0</v>
      </c>
      <c r="L237" s="24">
        <f>IF(N236&gt;0,MIN(ROUND(L$6+IF(L$5=$C237,$E$5+$E237,0),2),ROUND(N236+M237,2)),0)</f>
        <v>0</v>
      </c>
      <c r="M237" s="24">
        <f>IF(N236&gt;0,ROUND(ROUND(N236*100,0)*ROUND(L$7*10000,0)/12000000,0)/100,0)</f>
        <v>0</v>
      </c>
      <c r="N237" s="24">
        <f>IF(N236&gt;0,ROUND(N236+M237-L237,2),0)</f>
        <v>0</v>
      </c>
      <c r="O237" s="24">
        <f>IF(Q236&gt;0,MIN(ROUND(O$6+IF(O$5=$C237,$E$5+$E237,0),2),ROUND(Q236+P237,2)),0)</f>
        <v>0</v>
      </c>
      <c r="P237" s="24">
        <f>IF(Q236&gt;0,ROUND(ROUND(Q236*100,0)*ROUND(O$7*10000,0)/12000000,0)/100,0)</f>
        <v>0</v>
      </c>
      <c r="Q237" s="24">
        <f>IF(Q236&gt;0,ROUND(Q236+P237-O237,2),0)</f>
        <v>0</v>
      </c>
      <c r="R237" s="24">
        <f>IF(T236&gt;0,MIN(ROUND(R$6+IF(R$5=$C237,$E$5+$E237,0),2),ROUND(T236+S237,2)),0)</f>
        <v>0</v>
      </c>
      <c r="S237" s="24">
        <f>IF(T236&gt;0,ROUND(ROUND(T236*100,0)*ROUND(R$7*10000,0)/12000000,0)/100,0)</f>
        <v>0</v>
      </c>
      <c r="T237" s="24">
        <f>IF(T236&gt;0,ROUND(T236+S237-R237,2),0)</f>
        <v>0</v>
      </c>
      <c r="U237" s="24">
        <f>IF(W236&gt;0,MIN(ROUND(U$6+IF(U$5=$C237,$E$5+$E237,0),2),ROUND(W236+V237,2)),0)</f>
        <v>0</v>
      </c>
      <c r="V237" s="24">
        <f>IF(W236&gt;0,ROUND(ROUND(W236*100,0)*ROUND(U$7*10000,0)/12000000,0)/100,0)</f>
        <v>0</v>
      </c>
      <c r="W237" s="24">
        <f>IF(W236&gt;0,ROUND(W236+V237-U237,2),0)</f>
        <v>0</v>
      </c>
      <c r="X237" s="24">
        <f>IF(Z236&gt;0,MIN(ROUND(X$6+IF(X$5=$C237,$E$5+$E237,0),2),ROUND(Z236+Y237,2)),0)</f>
        <v>0</v>
      </c>
      <c r="Y237" s="24">
        <f>IF(Z236&gt;0,ROUND(ROUND(Z236*100,0)*ROUND(X$7*10000,0)/12000000,0)/100,0)</f>
        <v>0</v>
      </c>
      <c r="Z237" s="24">
        <f>IF(Z236&gt;0,ROUND(Z236+Y237-X237,2),0)</f>
        <v>0</v>
      </c>
      <c r="AA237" s="24">
        <f>IF(AC236&gt;0,MIN(ROUND(AA$6+IF(AA$5=$C237,$E$5+$E237,0),2),ROUND(AC236+AB237,2)),0)</f>
        <v>0</v>
      </c>
      <c r="AB237" s="24">
        <f>IF(AC236&gt;0,ROUND(ROUND(AC236*100,0)*ROUND(AA$7*10000,0)/12000000,0)/100,0)</f>
        <v>0</v>
      </c>
      <c r="AC237" s="24">
        <f>IF(AC236&gt;0,ROUND(AC236+AB237-AA237,2),0)</f>
        <v>0</v>
      </c>
      <c r="AD237" s="24">
        <f>IF(AF236&gt;0,MIN(ROUND(AD$6+IF(AD$5=$C237,$E$5+$E237,0),2),ROUND(AF236+AE237,2)),0)</f>
        <v>0</v>
      </c>
      <c r="AE237" s="24">
        <f>IF(AF236&gt;0,ROUND(ROUND(AF236*100,0)*ROUND(AD$7*10000,0)/12000000,0)/100,0)</f>
        <v>0</v>
      </c>
      <c r="AF237" s="24">
        <f>IF(AF236&gt;0,ROUND(AF236+AE237-AD237,2),0)</f>
        <v>0</v>
      </c>
      <c r="AG237" s="24">
        <f>IF(AI236&gt;0,MIN(ROUND(AG$6+IF(AG$5=$C237,$E$5+$E237,0),2),ROUND(AI236+AH237,2)),0)</f>
        <v>0</v>
      </c>
      <c r="AH237" s="24">
        <f>IF(AI236&gt;0,ROUND(ROUND(AI236*100,0)*ROUND(AG$7*10000,0)/12000000,0)/100,0)</f>
        <v>0</v>
      </c>
      <c r="AI237" s="24">
        <f>IF(AI236&gt;0,ROUND(AI236+AH237-AG237,2),0)</f>
        <v>0</v>
      </c>
      <c r="AJ237" s="24">
        <f>IF(AL236&gt;0,MIN(ROUND(AJ$6+IF(AJ$5=$C237,$E$5+$E237,0),2),ROUND(AL236+AK237,2)),0)</f>
        <v>0</v>
      </c>
      <c r="AK237" s="24">
        <f>IF(AL236&gt;0,ROUND(ROUND(AL236*100,0)*ROUND(AJ$7*10000,0)/12000000,0)/100,0)</f>
        <v>0</v>
      </c>
      <c r="AL237" s="24">
        <f>IF(AL236&gt;0,ROUND(AL236+AK237-AJ237,2),0)</f>
        <v>0</v>
      </c>
    </row>
    <row r="238" spans="1:38" x14ac:dyDescent="0.25">
      <c r="A238" s="17" t="str">
        <f>IF(F238&gt;0,228,"")</f>
        <v/>
      </c>
      <c r="B238" s="18" t="str">
        <f>IF(F238&gt;0,EDATE($E$6,228),"")</f>
        <v/>
      </c>
      <c r="C238" s="21">
        <f>IF(H237&gt;0,MIN(IF(K237&gt;0,I$5,99),IF(N237&gt;0,L$5,99),IF(Q237&gt;0,O$5,99),IF(T237&gt;0,R$5,99),IF(W237&gt;0,U$5,99),IF(Z237&gt;0,X$5,99),IF(AC237&gt;0,AA$5,99),IF(AF237&gt;0,AD$5,99),IF(AI237&gt;0,AG$5,99),IF(AL237&gt;0,AJ$5,99)),0)</f>
        <v>0</v>
      </c>
      <c r="D238" t="str">
        <f>IF(C238&gt;0,INDEX($I$4:$AL$4,1,MATCH(C238,$I$5:$AL$5,0)),"")</f>
        <v/>
      </c>
      <c r="E238" s="24">
        <f>ROUND(IF(AND(I$8&gt;0,K237=0),I$6,0)+IF(AND(L$8&gt;0,N237=0),L$6,0)+IF(AND(O$8&gt;0,Q237=0),O$6,0)+IF(AND(R$8&gt;0,T237=0),R$6,0)+IF(AND(U$8&gt;0,W237=0),U$6,0)+IF(AND(X$8&gt;0,Z237=0),X$6,0)+IF(AND(AA$8&gt;0,AC237=0),AA$6,0)+IF(AND(AD$8&gt;0,AF237=0),AD$6,0)+IF(AND(AG$8&gt;0,AI237=0),AG$6,0)+IF(AND(AJ$8&gt;0,AL237=0),AJ$6,0),2)</f>
        <v>330</v>
      </c>
      <c r="F238" s="24">
        <f>ROUND(I238+L238+O238+R238+U238+X238+AA238+AD238+AG238+AJ238,2)</f>
        <v>0</v>
      </c>
      <c r="G238" s="24">
        <f>ROUND(J238+M238+P238+S238+V238+Y238+AB238+AE238+AH238+AK238,2)</f>
        <v>0</v>
      </c>
      <c r="H238" s="24">
        <f>ROUND(K238+N238+Q238+T238+W238+Z238+AC238+AF238+AI238+AL238,2)</f>
        <v>0</v>
      </c>
      <c r="I238" s="24">
        <f>IF(K237&gt;0,MIN(ROUND(I$6+IF(I$5=$C238,$E$5+$E238,0),2),ROUND(K237+J238,2)),0)</f>
        <v>0</v>
      </c>
      <c r="J238" s="24">
        <f>IF(K237&gt;0,ROUND(ROUND(K237*100,0)*ROUND(I$7*10000,0)/12000000,0)/100,0)</f>
        <v>0</v>
      </c>
      <c r="K238" s="24">
        <f>IF(K237&gt;0,ROUND(K237+J238-I238,2),0)</f>
        <v>0</v>
      </c>
      <c r="L238" s="24">
        <f>IF(N237&gt;0,MIN(ROUND(L$6+IF(L$5=$C238,$E$5+$E238,0),2),ROUND(N237+M238,2)),0)</f>
        <v>0</v>
      </c>
      <c r="M238" s="24">
        <f>IF(N237&gt;0,ROUND(ROUND(N237*100,0)*ROUND(L$7*10000,0)/12000000,0)/100,0)</f>
        <v>0</v>
      </c>
      <c r="N238" s="24">
        <f>IF(N237&gt;0,ROUND(N237+M238-L238,2),0)</f>
        <v>0</v>
      </c>
      <c r="O238" s="24">
        <f>IF(Q237&gt;0,MIN(ROUND(O$6+IF(O$5=$C238,$E$5+$E238,0),2),ROUND(Q237+P238,2)),0)</f>
        <v>0</v>
      </c>
      <c r="P238" s="24">
        <f>IF(Q237&gt;0,ROUND(ROUND(Q237*100,0)*ROUND(O$7*10000,0)/12000000,0)/100,0)</f>
        <v>0</v>
      </c>
      <c r="Q238" s="24">
        <f>IF(Q237&gt;0,ROUND(Q237+P238-O238,2),0)</f>
        <v>0</v>
      </c>
      <c r="R238" s="24">
        <f>IF(T237&gt;0,MIN(ROUND(R$6+IF(R$5=$C238,$E$5+$E238,0),2),ROUND(T237+S238,2)),0)</f>
        <v>0</v>
      </c>
      <c r="S238" s="24">
        <f>IF(T237&gt;0,ROUND(ROUND(T237*100,0)*ROUND(R$7*10000,0)/12000000,0)/100,0)</f>
        <v>0</v>
      </c>
      <c r="T238" s="24">
        <f>IF(T237&gt;0,ROUND(T237+S238-R238,2),0)</f>
        <v>0</v>
      </c>
      <c r="U238" s="24">
        <f>IF(W237&gt;0,MIN(ROUND(U$6+IF(U$5=$C238,$E$5+$E238,0),2),ROUND(W237+V238,2)),0)</f>
        <v>0</v>
      </c>
      <c r="V238" s="24">
        <f>IF(W237&gt;0,ROUND(ROUND(W237*100,0)*ROUND(U$7*10000,0)/12000000,0)/100,0)</f>
        <v>0</v>
      </c>
      <c r="W238" s="24">
        <f>IF(W237&gt;0,ROUND(W237+V238-U238,2),0)</f>
        <v>0</v>
      </c>
      <c r="X238" s="24">
        <f>IF(Z237&gt;0,MIN(ROUND(X$6+IF(X$5=$C238,$E$5+$E238,0),2),ROUND(Z237+Y238,2)),0)</f>
        <v>0</v>
      </c>
      <c r="Y238" s="24">
        <f>IF(Z237&gt;0,ROUND(ROUND(Z237*100,0)*ROUND(X$7*10000,0)/12000000,0)/100,0)</f>
        <v>0</v>
      </c>
      <c r="Z238" s="24">
        <f>IF(Z237&gt;0,ROUND(Z237+Y238-X238,2),0)</f>
        <v>0</v>
      </c>
      <c r="AA238" s="24">
        <f>IF(AC237&gt;0,MIN(ROUND(AA$6+IF(AA$5=$C238,$E$5+$E238,0),2),ROUND(AC237+AB238,2)),0)</f>
        <v>0</v>
      </c>
      <c r="AB238" s="24">
        <f>IF(AC237&gt;0,ROUND(ROUND(AC237*100,0)*ROUND(AA$7*10000,0)/12000000,0)/100,0)</f>
        <v>0</v>
      </c>
      <c r="AC238" s="24">
        <f>IF(AC237&gt;0,ROUND(AC237+AB238-AA238,2),0)</f>
        <v>0</v>
      </c>
      <c r="AD238" s="24">
        <f>IF(AF237&gt;0,MIN(ROUND(AD$6+IF(AD$5=$C238,$E$5+$E238,0),2),ROUND(AF237+AE238,2)),0)</f>
        <v>0</v>
      </c>
      <c r="AE238" s="24">
        <f>IF(AF237&gt;0,ROUND(ROUND(AF237*100,0)*ROUND(AD$7*10000,0)/12000000,0)/100,0)</f>
        <v>0</v>
      </c>
      <c r="AF238" s="24">
        <f>IF(AF237&gt;0,ROUND(AF237+AE238-AD238,2),0)</f>
        <v>0</v>
      </c>
      <c r="AG238" s="24">
        <f>IF(AI237&gt;0,MIN(ROUND(AG$6+IF(AG$5=$C238,$E$5+$E238,0),2),ROUND(AI237+AH238,2)),0)</f>
        <v>0</v>
      </c>
      <c r="AH238" s="24">
        <f>IF(AI237&gt;0,ROUND(ROUND(AI237*100,0)*ROUND(AG$7*10000,0)/12000000,0)/100,0)</f>
        <v>0</v>
      </c>
      <c r="AI238" s="24">
        <f>IF(AI237&gt;0,ROUND(AI237+AH238-AG238,2),0)</f>
        <v>0</v>
      </c>
      <c r="AJ238" s="24">
        <f>IF(AL237&gt;0,MIN(ROUND(AJ$6+IF(AJ$5=$C238,$E$5+$E238,0),2),ROUND(AL237+AK238,2)),0)</f>
        <v>0</v>
      </c>
      <c r="AK238" s="24">
        <f>IF(AL237&gt;0,ROUND(ROUND(AL237*100,0)*ROUND(AJ$7*10000,0)/12000000,0)/100,0)</f>
        <v>0</v>
      </c>
      <c r="AL238" s="24">
        <f>IF(AL237&gt;0,ROUND(AL237+AK238-AJ238,2),0)</f>
        <v>0</v>
      </c>
    </row>
    <row r="239" spans="1:38" x14ac:dyDescent="0.25">
      <c r="A239" s="17" t="str">
        <f>IF(F239&gt;0,229,"")</f>
        <v/>
      </c>
      <c r="B239" s="18" t="str">
        <f>IF(F239&gt;0,EDATE($E$6,229),"")</f>
        <v/>
      </c>
      <c r="C239" s="21">
        <f>IF(H238&gt;0,MIN(IF(K238&gt;0,I$5,99),IF(N238&gt;0,L$5,99),IF(Q238&gt;0,O$5,99),IF(T238&gt;0,R$5,99),IF(W238&gt;0,U$5,99),IF(Z238&gt;0,X$5,99),IF(AC238&gt;0,AA$5,99),IF(AF238&gt;0,AD$5,99),IF(AI238&gt;0,AG$5,99),IF(AL238&gt;0,AJ$5,99)),0)</f>
        <v>0</v>
      </c>
      <c r="D239" t="str">
        <f>IF(C239&gt;0,INDEX($I$4:$AL$4,1,MATCH(C239,$I$5:$AL$5,0)),"")</f>
        <v/>
      </c>
      <c r="E239" s="24">
        <f>ROUND(IF(AND(I$8&gt;0,K238=0),I$6,0)+IF(AND(L$8&gt;0,N238=0),L$6,0)+IF(AND(O$8&gt;0,Q238=0),O$6,0)+IF(AND(R$8&gt;0,T238=0),R$6,0)+IF(AND(U$8&gt;0,W238=0),U$6,0)+IF(AND(X$8&gt;0,Z238=0),X$6,0)+IF(AND(AA$8&gt;0,AC238=0),AA$6,0)+IF(AND(AD$8&gt;0,AF238=0),AD$6,0)+IF(AND(AG$8&gt;0,AI238=0),AG$6,0)+IF(AND(AJ$8&gt;0,AL238=0),AJ$6,0),2)</f>
        <v>330</v>
      </c>
      <c r="F239" s="24">
        <f>ROUND(I239+L239+O239+R239+U239+X239+AA239+AD239+AG239+AJ239,2)</f>
        <v>0</v>
      </c>
      <c r="G239" s="24">
        <f>ROUND(J239+M239+P239+S239+V239+Y239+AB239+AE239+AH239+AK239,2)</f>
        <v>0</v>
      </c>
      <c r="H239" s="24">
        <f>ROUND(K239+N239+Q239+T239+W239+Z239+AC239+AF239+AI239+AL239,2)</f>
        <v>0</v>
      </c>
      <c r="I239" s="24">
        <f>IF(K238&gt;0,MIN(ROUND(I$6+IF(I$5=$C239,$E$5+$E239,0),2),ROUND(K238+J239,2)),0)</f>
        <v>0</v>
      </c>
      <c r="J239" s="24">
        <f>IF(K238&gt;0,ROUND(ROUND(K238*100,0)*ROUND(I$7*10000,0)/12000000,0)/100,0)</f>
        <v>0</v>
      </c>
      <c r="K239" s="24">
        <f>IF(K238&gt;0,ROUND(K238+J239-I239,2),0)</f>
        <v>0</v>
      </c>
      <c r="L239" s="24">
        <f>IF(N238&gt;0,MIN(ROUND(L$6+IF(L$5=$C239,$E$5+$E239,0),2),ROUND(N238+M239,2)),0)</f>
        <v>0</v>
      </c>
      <c r="M239" s="24">
        <f>IF(N238&gt;0,ROUND(ROUND(N238*100,0)*ROUND(L$7*10000,0)/12000000,0)/100,0)</f>
        <v>0</v>
      </c>
      <c r="N239" s="24">
        <f>IF(N238&gt;0,ROUND(N238+M239-L239,2),0)</f>
        <v>0</v>
      </c>
      <c r="O239" s="24">
        <f>IF(Q238&gt;0,MIN(ROUND(O$6+IF(O$5=$C239,$E$5+$E239,0),2),ROUND(Q238+P239,2)),0)</f>
        <v>0</v>
      </c>
      <c r="P239" s="24">
        <f>IF(Q238&gt;0,ROUND(ROUND(Q238*100,0)*ROUND(O$7*10000,0)/12000000,0)/100,0)</f>
        <v>0</v>
      </c>
      <c r="Q239" s="24">
        <f>IF(Q238&gt;0,ROUND(Q238+P239-O239,2),0)</f>
        <v>0</v>
      </c>
      <c r="R239" s="24">
        <f>IF(T238&gt;0,MIN(ROUND(R$6+IF(R$5=$C239,$E$5+$E239,0),2),ROUND(T238+S239,2)),0)</f>
        <v>0</v>
      </c>
      <c r="S239" s="24">
        <f>IF(T238&gt;0,ROUND(ROUND(T238*100,0)*ROUND(R$7*10000,0)/12000000,0)/100,0)</f>
        <v>0</v>
      </c>
      <c r="T239" s="24">
        <f>IF(T238&gt;0,ROUND(T238+S239-R239,2),0)</f>
        <v>0</v>
      </c>
      <c r="U239" s="24">
        <f>IF(W238&gt;0,MIN(ROUND(U$6+IF(U$5=$C239,$E$5+$E239,0),2),ROUND(W238+V239,2)),0)</f>
        <v>0</v>
      </c>
      <c r="V239" s="24">
        <f>IF(W238&gt;0,ROUND(ROUND(W238*100,0)*ROUND(U$7*10000,0)/12000000,0)/100,0)</f>
        <v>0</v>
      </c>
      <c r="W239" s="24">
        <f>IF(W238&gt;0,ROUND(W238+V239-U239,2),0)</f>
        <v>0</v>
      </c>
      <c r="X239" s="24">
        <f>IF(Z238&gt;0,MIN(ROUND(X$6+IF(X$5=$C239,$E$5+$E239,0),2),ROUND(Z238+Y239,2)),0)</f>
        <v>0</v>
      </c>
      <c r="Y239" s="24">
        <f>IF(Z238&gt;0,ROUND(ROUND(Z238*100,0)*ROUND(X$7*10000,0)/12000000,0)/100,0)</f>
        <v>0</v>
      </c>
      <c r="Z239" s="24">
        <f>IF(Z238&gt;0,ROUND(Z238+Y239-X239,2),0)</f>
        <v>0</v>
      </c>
      <c r="AA239" s="24">
        <f>IF(AC238&gt;0,MIN(ROUND(AA$6+IF(AA$5=$C239,$E$5+$E239,0),2),ROUND(AC238+AB239,2)),0)</f>
        <v>0</v>
      </c>
      <c r="AB239" s="24">
        <f>IF(AC238&gt;0,ROUND(ROUND(AC238*100,0)*ROUND(AA$7*10000,0)/12000000,0)/100,0)</f>
        <v>0</v>
      </c>
      <c r="AC239" s="24">
        <f>IF(AC238&gt;0,ROUND(AC238+AB239-AA239,2),0)</f>
        <v>0</v>
      </c>
      <c r="AD239" s="24">
        <f>IF(AF238&gt;0,MIN(ROUND(AD$6+IF(AD$5=$C239,$E$5+$E239,0),2),ROUND(AF238+AE239,2)),0)</f>
        <v>0</v>
      </c>
      <c r="AE239" s="24">
        <f>IF(AF238&gt;0,ROUND(ROUND(AF238*100,0)*ROUND(AD$7*10000,0)/12000000,0)/100,0)</f>
        <v>0</v>
      </c>
      <c r="AF239" s="24">
        <f>IF(AF238&gt;0,ROUND(AF238+AE239-AD239,2),0)</f>
        <v>0</v>
      </c>
      <c r="AG239" s="24">
        <f>IF(AI238&gt;0,MIN(ROUND(AG$6+IF(AG$5=$C239,$E$5+$E239,0),2),ROUND(AI238+AH239,2)),0)</f>
        <v>0</v>
      </c>
      <c r="AH239" s="24">
        <f>IF(AI238&gt;0,ROUND(ROUND(AI238*100,0)*ROUND(AG$7*10000,0)/12000000,0)/100,0)</f>
        <v>0</v>
      </c>
      <c r="AI239" s="24">
        <f>IF(AI238&gt;0,ROUND(AI238+AH239-AG239,2),0)</f>
        <v>0</v>
      </c>
      <c r="AJ239" s="24">
        <f>IF(AL238&gt;0,MIN(ROUND(AJ$6+IF(AJ$5=$C239,$E$5+$E239,0),2),ROUND(AL238+AK239,2)),0)</f>
        <v>0</v>
      </c>
      <c r="AK239" s="24">
        <f>IF(AL238&gt;0,ROUND(ROUND(AL238*100,0)*ROUND(AJ$7*10000,0)/12000000,0)/100,0)</f>
        <v>0</v>
      </c>
      <c r="AL239" s="24">
        <f>IF(AL238&gt;0,ROUND(AL238+AK239-AJ239,2),0)</f>
        <v>0</v>
      </c>
    </row>
    <row r="240" spans="1:38" x14ac:dyDescent="0.25">
      <c r="A240" s="17" t="str">
        <f>IF(F240&gt;0,230,"")</f>
        <v/>
      </c>
      <c r="B240" s="18" t="str">
        <f>IF(F240&gt;0,EDATE($E$6,230),"")</f>
        <v/>
      </c>
      <c r="C240" s="21">
        <f>IF(H239&gt;0,MIN(IF(K239&gt;0,I$5,99),IF(N239&gt;0,L$5,99),IF(Q239&gt;0,O$5,99),IF(T239&gt;0,R$5,99),IF(W239&gt;0,U$5,99),IF(Z239&gt;0,X$5,99),IF(AC239&gt;0,AA$5,99),IF(AF239&gt;0,AD$5,99),IF(AI239&gt;0,AG$5,99),IF(AL239&gt;0,AJ$5,99)),0)</f>
        <v>0</v>
      </c>
      <c r="D240" t="str">
        <f>IF(C240&gt;0,INDEX($I$4:$AL$4,1,MATCH(C240,$I$5:$AL$5,0)),"")</f>
        <v/>
      </c>
      <c r="E240" s="24">
        <f>ROUND(IF(AND(I$8&gt;0,K239=0),I$6,0)+IF(AND(L$8&gt;0,N239=0),L$6,0)+IF(AND(O$8&gt;0,Q239=0),O$6,0)+IF(AND(R$8&gt;0,T239=0),R$6,0)+IF(AND(U$8&gt;0,W239=0),U$6,0)+IF(AND(X$8&gt;0,Z239=0),X$6,0)+IF(AND(AA$8&gt;0,AC239=0),AA$6,0)+IF(AND(AD$8&gt;0,AF239=0),AD$6,0)+IF(AND(AG$8&gt;0,AI239=0),AG$6,0)+IF(AND(AJ$8&gt;0,AL239=0),AJ$6,0),2)</f>
        <v>330</v>
      </c>
      <c r="F240" s="24">
        <f>ROUND(I240+L240+O240+R240+U240+X240+AA240+AD240+AG240+AJ240,2)</f>
        <v>0</v>
      </c>
      <c r="G240" s="24">
        <f>ROUND(J240+M240+P240+S240+V240+Y240+AB240+AE240+AH240+AK240,2)</f>
        <v>0</v>
      </c>
      <c r="H240" s="24">
        <f>ROUND(K240+N240+Q240+T240+W240+Z240+AC240+AF240+AI240+AL240,2)</f>
        <v>0</v>
      </c>
      <c r="I240" s="24">
        <f>IF(K239&gt;0,MIN(ROUND(I$6+IF(I$5=$C240,$E$5+$E240,0),2),ROUND(K239+J240,2)),0)</f>
        <v>0</v>
      </c>
      <c r="J240" s="24">
        <f>IF(K239&gt;0,ROUND(ROUND(K239*100,0)*ROUND(I$7*10000,0)/12000000,0)/100,0)</f>
        <v>0</v>
      </c>
      <c r="K240" s="24">
        <f>IF(K239&gt;0,ROUND(K239+J240-I240,2),0)</f>
        <v>0</v>
      </c>
      <c r="L240" s="24">
        <f>IF(N239&gt;0,MIN(ROUND(L$6+IF(L$5=$C240,$E$5+$E240,0),2),ROUND(N239+M240,2)),0)</f>
        <v>0</v>
      </c>
      <c r="M240" s="24">
        <f>IF(N239&gt;0,ROUND(ROUND(N239*100,0)*ROUND(L$7*10000,0)/12000000,0)/100,0)</f>
        <v>0</v>
      </c>
      <c r="N240" s="24">
        <f>IF(N239&gt;0,ROUND(N239+M240-L240,2),0)</f>
        <v>0</v>
      </c>
      <c r="O240" s="24">
        <f>IF(Q239&gt;0,MIN(ROUND(O$6+IF(O$5=$C240,$E$5+$E240,0),2),ROUND(Q239+P240,2)),0)</f>
        <v>0</v>
      </c>
      <c r="P240" s="24">
        <f>IF(Q239&gt;0,ROUND(ROUND(Q239*100,0)*ROUND(O$7*10000,0)/12000000,0)/100,0)</f>
        <v>0</v>
      </c>
      <c r="Q240" s="24">
        <f>IF(Q239&gt;0,ROUND(Q239+P240-O240,2),0)</f>
        <v>0</v>
      </c>
      <c r="R240" s="24">
        <f>IF(T239&gt;0,MIN(ROUND(R$6+IF(R$5=$C240,$E$5+$E240,0),2),ROUND(T239+S240,2)),0)</f>
        <v>0</v>
      </c>
      <c r="S240" s="24">
        <f>IF(T239&gt;0,ROUND(ROUND(T239*100,0)*ROUND(R$7*10000,0)/12000000,0)/100,0)</f>
        <v>0</v>
      </c>
      <c r="T240" s="24">
        <f>IF(T239&gt;0,ROUND(T239+S240-R240,2),0)</f>
        <v>0</v>
      </c>
      <c r="U240" s="24">
        <f>IF(W239&gt;0,MIN(ROUND(U$6+IF(U$5=$C240,$E$5+$E240,0),2),ROUND(W239+V240,2)),0)</f>
        <v>0</v>
      </c>
      <c r="V240" s="24">
        <f>IF(W239&gt;0,ROUND(ROUND(W239*100,0)*ROUND(U$7*10000,0)/12000000,0)/100,0)</f>
        <v>0</v>
      </c>
      <c r="W240" s="24">
        <f>IF(W239&gt;0,ROUND(W239+V240-U240,2),0)</f>
        <v>0</v>
      </c>
      <c r="X240" s="24">
        <f>IF(Z239&gt;0,MIN(ROUND(X$6+IF(X$5=$C240,$E$5+$E240,0),2),ROUND(Z239+Y240,2)),0)</f>
        <v>0</v>
      </c>
      <c r="Y240" s="24">
        <f>IF(Z239&gt;0,ROUND(ROUND(Z239*100,0)*ROUND(X$7*10000,0)/12000000,0)/100,0)</f>
        <v>0</v>
      </c>
      <c r="Z240" s="24">
        <f>IF(Z239&gt;0,ROUND(Z239+Y240-X240,2),0)</f>
        <v>0</v>
      </c>
      <c r="AA240" s="24">
        <f>IF(AC239&gt;0,MIN(ROUND(AA$6+IF(AA$5=$C240,$E$5+$E240,0),2),ROUND(AC239+AB240,2)),0)</f>
        <v>0</v>
      </c>
      <c r="AB240" s="24">
        <f>IF(AC239&gt;0,ROUND(ROUND(AC239*100,0)*ROUND(AA$7*10000,0)/12000000,0)/100,0)</f>
        <v>0</v>
      </c>
      <c r="AC240" s="24">
        <f>IF(AC239&gt;0,ROUND(AC239+AB240-AA240,2),0)</f>
        <v>0</v>
      </c>
      <c r="AD240" s="24">
        <f>IF(AF239&gt;0,MIN(ROUND(AD$6+IF(AD$5=$C240,$E$5+$E240,0),2),ROUND(AF239+AE240,2)),0)</f>
        <v>0</v>
      </c>
      <c r="AE240" s="24">
        <f>IF(AF239&gt;0,ROUND(ROUND(AF239*100,0)*ROUND(AD$7*10000,0)/12000000,0)/100,0)</f>
        <v>0</v>
      </c>
      <c r="AF240" s="24">
        <f>IF(AF239&gt;0,ROUND(AF239+AE240-AD240,2),0)</f>
        <v>0</v>
      </c>
      <c r="AG240" s="24">
        <f>IF(AI239&gt;0,MIN(ROUND(AG$6+IF(AG$5=$C240,$E$5+$E240,0),2),ROUND(AI239+AH240,2)),0)</f>
        <v>0</v>
      </c>
      <c r="AH240" s="24">
        <f>IF(AI239&gt;0,ROUND(ROUND(AI239*100,0)*ROUND(AG$7*10000,0)/12000000,0)/100,0)</f>
        <v>0</v>
      </c>
      <c r="AI240" s="24">
        <f>IF(AI239&gt;0,ROUND(AI239+AH240-AG240,2),0)</f>
        <v>0</v>
      </c>
      <c r="AJ240" s="24">
        <f>IF(AL239&gt;0,MIN(ROUND(AJ$6+IF(AJ$5=$C240,$E$5+$E240,0),2),ROUND(AL239+AK240,2)),0)</f>
        <v>0</v>
      </c>
      <c r="AK240" s="24">
        <f>IF(AL239&gt;0,ROUND(ROUND(AL239*100,0)*ROUND(AJ$7*10000,0)/12000000,0)/100,0)</f>
        <v>0</v>
      </c>
      <c r="AL240" s="24">
        <f>IF(AL239&gt;0,ROUND(AL239+AK240-AJ240,2),0)</f>
        <v>0</v>
      </c>
    </row>
    <row r="241" spans="1:38" x14ac:dyDescent="0.25">
      <c r="A241" s="17" t="str">
        <f>IF(F241&gt;0,231,"")</f>
        <v/>
      </c>
      <c r="B241" s="18" t="str">
        <f>IF(F241&gt;0,EDATE($E$6,231),"")</f>
        <v/>
      </c>
      <c r="C241" s="21">
        <f>IF(H240&gt;0,MIN(IF(K240&gt;0,I$5,99),IF(N240&gt;0,L$5,99),IF(Q240&gt;0,O$5,99),IF(T240&gt;0,R$5,99),IF(W240&gt;0,U$5,99),IF(Z240&gt;0,X$5,99),IF(AC240&gt;0,AA$5,99),IF(AF240&gt;0,AD$5,99),IF(AI240&gt;0,AG$5,99),IF(AL240&gt;0,AJ$5,99)),0)</f>
        <v>0</v>
      </c>
      <c r="D241" t="str">
        <f>IF(C241&gt;0,INDEX($I$4:$AL$4,1,MATCH(C241,$I$5:$AL$5,0)),"")</f>
        <v/>
      </c>
      <c r="E241" s="24">
        <f>ROUND(IF(AND(I$8&gt;0,K240=0),I$6,0)+IF(AND(L$8&gt;0,N240=0),L$6,0)+IF(AND(O$8&gt;0,Q240=0),O$6,0)+IF(AND(R$8&gt;0,T240=0),R$6,0)+IF(AND(U$8&gt;0,W240=0),U$6,0)+IF(AND(X$8&gt;0,Z240=0),X$6,0)+IF(AND(AA$8&gt;0,AC240=0),AA$6,0)+IF(AND(AD$8&gt;0,AF240=0),AD$6,0)+IF(AND(AG$8&gt;0,AI240=0),AG$6,0)+IF(AND(AJ$8&gt;0,AL240=0),AJ$6,0),2)</f>
        <v>330</v>
      </c>
      <c r="F241" s="24">
        <f>ROUND(I241+L241+O241+R241+U241+X241+AA241+AD241+AG241+AJ241,2)</f>
        <v>0</v>
      </c>
      <c r="G241" s="24">
        <f>ROUND(J241+M241+P241+S241+V241+Y241+AB241+AE241+AH241+AK241,2)</f>
        <v>0</v>
      </c>
      <c r="H241" s="24">
        <f>ROUND(K241+N241+Q241+T241+W241+Z241+AC241+AF241+AI241+AL241,2)</f>
        <v>0</v>
      </c>
      <c r="I241" s="24">
        <f>IF(K240&gt;0,MIN(ROUND(I$6+IF(I$5=$C241,$E$5+$E241,0),2),ROUND(K240+J241,2)),0)</f>
        <v>0</v>
      </c>
      <c r="J241" s="24">
        <f>IF(K240&gt;0,ROUND(ROUND(K240*100,0)*ROUND(I$7*10000,0)/12000000,0)/100,0)</f>
        <v>0</v>
      </c>
      <c r="K241" s="24">
        <f>IF(K240&gt;0,ROUND(K240+J241-I241,2),0)</f>
        <v>0</v>
      </c>
      <c r="L241" s="24">
        <f>IF(N240&gt;0,MIN(ROUND(L$6+IF(L$5=$C241,$E$5+$E241,0),2),ROUND(N240+M241,2)),0)</f>
        <v>0</v>
      </c>
      <c r="M241" s="24">
        <f>IF(N240&gt;0,ROUND(ROUND(N240*100,0)*ROUND(L$7*10000,0)/12000000,0)/100,0)</f>
        <v>0</v>
      </c>
      <c r="N241" s="24">
        <f>IF(N240&gt;0,ROUND(N240+M241-L241,2),0)</f>
        <v>0</v>
      </c>
      <c r="O241" s="24">
        <f>IF(Q240&gt;0,MIN(ROUND(O$6+IF(O$5=$C241,$E$5+$E241,0),2),ROUND(Q240+P241,2)),0)</f>
        <v>0</v>
      </c>
      <c r="P241" s="24">
        <f>IF(Q240&gt;0,ROUND(ROUND(Q240*100,0)*ROUND(O$7*10000,0)/12000000,0)/100,0)</f>
        <v>0</v>
      </c>
      <c r="Q241" s="24">
        <f>IF(Q240&gt;0,ROUND(Q240+P241-O241,2),0)</f>
        <v>0</v>
      </c>
      <c r="R241" s="24">
        <f>IF(T240&gt;0,MIN(ROUND(R$6+IF(R$5=$C241,$E$5+$E241,0),2),ROUND(T240+S241,2)),0)</f>
        <v>0</v>
      </c>
      <c r="S241" s="24">
        <f>IF(T240&gt;0,ROUND(ROUND(T240*100,0)*ROUND(R$7*10000,0)/12000000,0)/100,0)</f>
        <v>0</v>
      </c>
      <c r="T241" s="24">
        <f>IF(T240&gt;0,ROUND(T240+S241-R241,2),0)</f>
        <v>0</v>
      </c>
      <c r="U241" s="24">
        <f>IF(W240&gt;0,MIN(ROUND(U$6+IF(U$5=$C241,$E$5+$E241,0),2),ROUND(W240+V241,2)),0)</f>
        <v>0</v>
      </c>
      <c r="V241" s="24">
        <f>IF(W240&gt;0,ROUND(ROUND(W240*100,0)*ROUND(U$7*10000,0)/12000000,0)/100,0)</f>
        <v>0</v>
      </c>
      <c r="W241" s="24">
        <f>IF(W240&gt;0,ROUND(W240+V241-U241,2),0)</f>
        <v>0</v>
      </c>
      <c r="X241" s="24">
        <f>IF(Z240&gt;0,MIN(ROUND(X$6+IF(X$5=$C241,$E$5+$E241,0),2),ROUND(Z240+Y241,2)),0)</f>
        <v>0</v>
      </c>
      <c r="Y241" s="24">
        <f>IF(Z240&gt;0,ROUND(ROUND(Z240*100,0)*ROUND(X$7*10000,0)/12000000,0)/100,0)</f>
        <v>0</v>
      </c>
      <c r="Z241" s="24">
        <f>IF(Z240&gt;0,ROUND(Z240+Y241-X241,2),0)</f>
        <v>0</v>
      </c>
      <c r="AA241" s="24">
        <f>IF(AC240&gt;0,MIN(ROUND(AA$6+IF(AA$5=$C241,$E$5+$E241,0),2),ROUND(AC240+AB241,2)),0)</f>
        <v>0</v>
      </c>
      <c r="AB241" s="24">
        <f>IF(AC240&gt;0,ROUND(ROUND(AC240*100,0)*ROUND(AA$7*10000,0)/12000000,0)/100,0)</f>
        <v>0</v>
      </c>
      <c r="AC241" s="24">
        <f>IF(AC240&gt;0,ROUND(AC240+AB241-AA241,2),0)</f>
        <v>0</v>
      </c>
      <c r="AD241" s="24">
        <f>IF(AF240&gt;0,MIN(ROUND(AD$6+IF(AD$5=$C241,$E$5+$E241,0),2),ROUND(AF240+AE241,2)),0)</f>
        <v>0</v>
      </c>
      <c r="AE241" s="24">
        <f>IF(AF240&gt;0,ROUND(ROUND(AF240*100,0)*ROUND(AD$7*10000,0)/12000000,0)/100,0)</f>
        <v>0</v>
      </c>
      <c r="AF241" s="24">
        <f>IF(AF240&gt;0,ROUND(AF240+AE241-AD241,2),0)</f>
        <v>0</v>
      </c>
      <c r="AG241" s="24">
        <f>IF(AI240&gt;0,MIN(ROUND(AG$6+IF(AG$5=$C241,$E$5+$E241,0),2),ROUND(AI240+AH241,2)),0)</f>
        <v>0</v>
      </c>
      <c r="AH241" s="24">
        <f>IF(AI240&gt;0,ROUND(ROUND(AI240*100,0)*ROUND(AG$7*10000,0)/12000000,0)/100,0)</f>
        <v>0</v>
      </c>
      <c r="AI241" s="24">
        <f>IF(AI240&gt;0,ROUND(AI240+AH241-AG241,2),0)</f>
        <v>0</v>
      </c>
      <c r="AJ241" s="24">
        <f>IF(AL240&gt;0,MIN(ROUND(AJ$6+IF(AJ$5=$C241,$E$5+$E241,0),2),ROUND(AL240+AK241,2)),0)</f>
        <v>0</v>
      </c>
      <c r="AK241" s="24">
        <f>IF(AL240&gt;0,ROUND(ROUND(AL240*100,0)*ROUND(AJ$7*10000,0)/12000000,0)/100,0)</f>
        <v>0</v>
      </c>
      <c r="AL241" s="24">
        <f>IF(AL240&gt;0,ROUND(AL240+AK241-AJ241,2),0)</f>
        <v>0</v>
      </c>
    </row>
    <row r="242" spans="1:38" x14ac:dyDescent="0.25">
      <c r="A242" s="17" t="str">
        <f>IF(F242&gt;0,232,"")</f>
        <v/>
      </c>
      <c r="B242" s="18" t="str">
        <f>IF(F242&gt;0,EDATE($E$6,232),"")</f>
        <v/>
      </c>
      <c r="C242" s="21">
        <f>IF(H241&gt;0,MIN(IF(K241&gt;0,I$5,99),IF(N241&gt;0,L$5,99),IF(Q241&gt;0,O$5,99),IF(T241&gt;0,R$5,99),IF(W241&gt;0,U$5,99),IF(Z241&gt;0,X$5,99),IF(AC241&gt;0,AA$5,99),IF(AF241&gt;0,AD$5,99),IF(AI241&gt;0,AG$5,99),IF(AL241&gt;0,AJ$5,99)),0)</f>
        <v>0</v>
      </c>
      <c r="D242" t="str">
        <f>IF(C242&gt;0,INDEX($I$4:$AL$4,1,MATCH(C242,$I$5:$AL$5,0)),"")</f>
        <v/>
      </c>
      <c r="E242" s="24">
        <f>ROUND(IF(AND(I$8&gt;0,K241=0),I$6,0)+IF(AND(L$8&gt;0,N241=0),L$6,0)+IF(AND(O$8&gt;0,Q241=0),O$6,0)+IF(AND(R$8&gt;0,T241=0),R$6,0)+IF(AND(U$8&gt;0,W241=0),U$6,0)+IF(AND(X$8&gt;0,Z241=0),X$6,0)+IF(AND(AA$8&gt;0,AC241=0),AA$6,0)+IF(AND(AD$8&gt;0,AF241=0),AD$6,0)+IF(AND(AG$8&gt;0,AI241=0),AG$6,0)+IF(AND(AJ$8&gt;0,AL241=0),AJ$6,0),2)</f>
        <v>330</v>
      </c>
      <c r="F242" s="24">
        <f>ROUND(I242+L242+O242+R242+U242+X242+AA242+AD242+AG242+AJ242,2)</f>
        <v>0</v>
      </c>
      <c r="G242" s="24">
        <f>ROUND(J242+M242+P242+S242+V242+Y242+AB242+AE242+AH242+AK242,2)</f>
        <v>0</v>
      </c>
      <c r="H242" s="24">
        <f>ROUND(K242+N242+Q242+T242+W242+Z242+AC242+AF242+AI242+AL242,2)</f>
        <v>0</v>
      </c>
      <c r="I242" s="24">
        <f>IF(K241&gt;0,MIN(ROUND(I$6+IF(I$5=$C242,$E$5+$E242,0),2),ROUND(K241+J242,2)),0)</f>
        <v>0</v>
      </c>
      <c r="J242" s="24">
        <f>IF(K241&gt;0,ROUND(ROUND(K241*100,0)*ROUND(I$7*10000,0)/12000000,0)/100,0)</f>
        <v>0</v>
      </c>
      <c r="K242" s="24">
        <f>IF(K241&gt;0,ROUND(K241+J242-I242,2),0)</f>
        <v>0</v>
      </c>
      <c r="L242" s="24">
        <f>IF(N241&gt;0,MIN(ROUND(L$6+IF(L$5=$C242,$E$5+$E242,0),2),ROUND(N241+M242,2)),0)</f>
        <v>0</v>
      </c>
      <c r="M242" s="24">
        <f>IF(N241&gt;0,ROUND(ROUND(N241*100,0)*ROUND(L$7*10000,0)/12000000,0)/100,0)</f>
        <v>0</v>
      </c>
      <c r="N242" s="24">
        <f>IF(N241&gt;0,ROUND(N241+M242-L242,2),0)</f>
        <v>0</v>
      </c>
      <c r="O242" s="24">
        <f>IF(Q241&gt;0,MIN(ROUND(O$6+IF(O$5=$C242,$E$5+$E242,0),2),ROUND(Q241+P242,2)),0)</f>
        <v>0</v>
      </c>
      <c r="P242" s="24">
        <f>IF(Q241&gt;0,ROUND(ROUND(Q241*100,0)*ROUND(O$7*10000,0)/12000000,0)/100,0)</f>
        <v>0</v>
      </c>
      <c r="Q242" s="24">
        <f>IF(Q241&gt;0,ROUND(Q241+P242-O242,2),0)</f>
        <v>0</v>
      </c>
      <c r="R242" s="24">
        <f>IF(T241&gt;0,MIN(ROUND(R$6+IF(R$5=$C242,$E$5+$E242,0),2),ROUND(T241+S242,2)),0)</f>
        <v>0</v>
      </c>
      <c r="S242" s="24">
        <f>IF(T241&gt;0,ROUND(ROUND(T241*100,0)*ROUND(R$7*10000,0)/12000000,0)/100,0)</f>
        <v>0</v>
      </c>
      <c r="T242" s="24">
        <f>IF(T241&gt;0,ROUND(T241+S242-R242,2),0)</f>
        <v>0</v>
      </c>
      <c r="U242" s="24">
        <f>IF(W241&gt;0,MIN(ROUND(U$6+IF(U$5=$C242,$E$5+$E242,0),2),ROUND(W241+V242,2)),0)</f>
        <v>0</v>
      </c>
      <c r="V242" s="24">
        <f>IF(W241&gt;0,ROUND(ROUND(W241*100,0)*ROUND(U$7*10000,0)/12000000,0)/100,0)</f>
        <v>0</v>
      </c>
      <c r="W242" s="24">
        <f>IF(W241&gt;0,ROUND(W241+V242-U242,2),0)</f>
        <v>0</v>
      </c>
      <c r="X242" s="24">
        <f>IF(Z241&gt;0,MIN(ROUND(X$6+IF(X$5=$C242,$E$5+$E242,0),2),ROUND(Z241+Y242,2)),0)</f>
        <v>0</v>
      </c>
      <c r="Y242" s="24">
        <f>IF(Z241&gt;0,ROUND(ROUND(Z241*100,0)*ROUND(X$7*10000,0)/12000000,0)/100,0)</f>
        <v>0</v>
      </c>
      <c r="Z242" s="24">
        <f>IF(Z241&gt;0,ROUND(Z241+Y242-X242,2),0)</f>
        <v>0</v>
      </c>
      <c r="AA242" s="24">
        <f>IF(AC241&gt;0,MIN(ROUND(AA$6+IF(AA$5=$C242,$E$5+$E242,0),2),ROUND(AC241+AB242,2)),0)</f>
        <v>0</v>
      </c>
      <c r="AB242" s="24">
        <f>IF(AC241&gt;0,ROUND(ROUND(AC241*100,0)*ROUND(AA$7*10000,0)/12000000,0)/100,0)</f>
        <v>0</v>
      </c>
      <c r="AC242" s="24">
        <f>IF(AC241&gt;0,ROUND(AC241+AB242-AA242,2),0)</f>
        <v>0</v>
      </c>
      <c r="AD242" s="24">
        <f>IF(AF241&gt;0,MIN(ROUND(AD$6+IF(AD$5=$C242,$E$5+$E242,0),2),ROUND(AF241+AE242,2)),0)</f>
        <v>0</v>
      </c>
      <c r="AE242" s="24">
        <f>IF(AF241&gt;0,ROUND(ROUND(AF241*100,0)*ROUND(AD$7*10000,0)/12000000,0)/100,0)</f>
        <v>0</v>
      </c>
      <c r="AF242" s="24">
        <f>IF(AF241&gt;0,ROUND(AF241+AE242-AD242,2),0)</f>
        <v>0</v>
      </c>
      <c r="AG242" s="24">
        <f>IF(AI241&gt;0,MIN(ROUND(AG$6+IF(AG$5=$C242,$E$5+$E242,0),2),ROUND(AI241+AH242,2)),0)</f>
        <v>0</v>
      </c>
      <c r="AH242" s="24">
        <f>IF(AI241&gt;0,ROUND(ROUND(AI241*100,0)*ROUND(AG$7*10000,0)/12000000,0)/100,0)</f>
        <v>0</v>
      </c>
      <c r="AI242" s="24">
        <f>IF(AI241&gt;0,ROUND(AI241+AH242-AG242,2),0)</f>
        <v>0</v>
      </c>
      <c r="AJ242" s="24">
        <f>IF(AL241&gt;0,MIN(ROUND(AJ$6+IF(AJ$5=$C242,$E$5+$E242,0),2),ROUND(AL241+AK242,2)),0)</f>
        <v>0</v>
      </c>
      <c r="AK242" s="24">
        <f>IF(AL241&gt;0,ROUND(ROUND(AL241*100,0)*ROUND(AJ$7*10000,0)/12000000,0)/100,0)</f>
        <v>0</v>
      </c>
      <c r="AL242" s="24">
        <f>IF(AL241&gt;0,ROUND(AL241+AK242-AJ242,2),0)</f>
        <v>0</v>
      </c>
    </row>
    <row r="243" spans="1:38" x14ac:dyDescent="0.25">
      <c r="A243" s="17" t="str">
        <f>IF(F243&gt;0,233,"")</f>
        <v/>
      </c>
      <c r="B243" s="18" t="str">
        <f>IF(F243&gt;0,EDATE($E$6,233),"")</f>
        <v/>
      </c>
      <c r="C243" s="21">
        <f>IF(H242&gt;0,MIN(IF(K242&gt;0,I$5,99),IF(N242&gt;0,L$5,99),IF(Q242&gt;0,O$5,99),IF(T242&gt;0,R$5,99),IF(W242&gt;0,U$5,99),IF(Z242&gt;0,X$5,99),IF(AC242&gt;0,AA$5,99),IF(AF242&gt;0,AD$5,99),IF(AI242&gt;0,AG$5,99),IF(AL242&gt;0,AJ$5,99)),0)</f>
        <v>0</v>
      </c>
      <c r="D243" t="str">
        <f>IF(C243&gt;0,INDEX($I$4:$AL$4,1,MATCH(C243,$I$5:$AL$5,0)),"")</f>
        <v/>
      </c>
      <c r="E243" s="24">
        <f>ROUND(IF(AND(I$8&gt;0,K242=0),I$6,0)+IF(AND(L$8&gt;0,N242=0),L$6,0)+IF(AND(O$8&gt;0,Q242=0),O$6,0)+IF(AND(R$8&gt;0,T242=0),R$6,0)+IF(AND(U$8&gt;0,W242=0),U$6,0)+IF(AND(X$8&gt;0,Z242=0),X$6,0)+IF(AND(AA$8&gt;0,AC242=0),AA$6,0)+IF(AND(AD$8&gt;0,AF242=0),AD$6,0)+IF(AND(AG$8&gt;0,AI242=0),AG$6,0)+IF(AND(AJ$8&gt;0,AL242=0),AJ$6,0),2)</f>
        <v>330</v>
      </c>
      <c r="F243" s="24">
        <f>ROUND(I243+L243+O243+R243+U243+X243+AA243+AD243+AG243+AJ243,2)</f>
        <v>0</v>
      </c>
      <c r="G243" s="24">
        <f>ROUND(J243+M243+P243+S243+V243+Y243+AB243+AE243+AH243+AK243,2)</f>
        <v>0</v>
      </c>
      <c r="H243" s="24">
        <f>ROUND(K243+N243+Q243+T243+W243+Z243+AC243+AF243+AI243+AL243,2)</f>
        <v>0</v>
      </c>
      <c r="I243" s="24">
        <f>IF(K242&gt;0,MIN(ROUND(I$6+IF(I$5=$C243,$E$5+$E243,0),2),ROUND(K242+J243,2)),0)</f>
        <v>0</v>
      </c>
      <c r="J243" s="24">
        <f>IF(K242&gt;0,ROUND(ROUND(K242*100,0)*ROUND(I$7*10000,0)/12000000,0)/100,0)</f>
        <v>0</v>
      </c>
      <c r="K243" s="24">
        <f>IF(K242&gt;0,ROUND(K242+J243-I243,2),0)</f>
        <v>0</v>
      </c>
      <c r="L243" s="24">
        <f>IF(N242&gt;0,MIN(ROUND(L$6+IF(L$5=$C243,$E$5+$E243,0),2),ROUND(N242+M243,2)),0)</f>
        <v>0</v>
      </c>
      <c r="M243" s="24">
        <f>IF(N242&gt;0,ROUND(ROUND(N242*100,0)*ROUND(L$7*10000,0)/12000000,0)/100,0)</f>
        <v>0</v>
      </c>
      <c r="N243" s="24">
        <f>IF(N242&gt;0,ROUND(N242+M243-L243,2),0)</f>
        <v>0</v>
      </c>
      <c r="O243" s="24">
        <f>IF(Q242&gt;0,MIN(ROUND(O$6+IF(O$5=$C243,$E$5+$E243,0),2),ROUND(Q242+P243,2)),0)</f>
        <v>0</v>
      </c>
      <c r="P243" s="24">
        <f>IF(Q242&gt;0,ROUND(ROUND(Q242*100,0)*ROUND(O$7*10000,0)/12000000,0)/100,0)</f>
        <v>0</v>
      </c>
      <c r="Q243" s="24">
        <f>IF(Q242&gt;0,ROUND(Q242+P243-O243,2),0)</f>
        <v>0</v>
      </c>
      <c r="R243" s="24">
        <f>IF(T242&gt;0,MIN(ROUND(R$6+IF(R$5=$C243,$E$5+$E243,0),2),ROUND(T242+S243,2)),0)</f>
        <v>0</v>
      </c>
      <c r="S243" s="24">
        <f>IF(T242&gt;0,ROUND(ROUND(T242*100,0)*ROUND(R$7*10000,0)/12000000,0)/100,0)</f>
        <v>0</v>
      </c>
      <c r="T243" s="24">
        <f>IF(T242&gt;0,ROUND(T242+S243-R243,2),0)</f>
        <v>0</v>
      </c>
      <c r="U243" s="24">
        <f>IF(W242&gt;0,MIN(ROUND(U$6+IF(U$5=$C243,$E$5+$E243,0),2),ROUND(W242+V243,2)),0)</f>
        <v>0</v>
      </c>
      <c r="V243" s="24">
        <f>IF(W242&gt;0,ROUND(ROUND(W242*100,0)*ROUND(U$7*10000,0)/12000000,0)/100,0)</f>
        <v>0</v>
      </c>
      <c r="W243" s="24">
        <f>IF(W242&gt;0,ROUND(W242+V243-U243,2),0)</f>
        <v>0</v>
      </c>
      <c r="X243" s="24">
        <f>IF(Z242&gt;0,MIN(ROUND(X$6+IF(X$5=$C243,$E$5+$E243,0),2),ROUND(Z242+Y243,2)),0)</f>
        <v>0</v>
      </c>
      <c r="Y243" s="24">
        <f>IF(Z242&gt;0,ROUND(ROUND(Z242*100,0)*ROUND(X$7*10000,0)/12000000,0)/100,0)</f>
        <v>0</v>
      </c>
      <c r="Z243" s="24">
        <f>IF(Z242&gt;0,ROUND(Z242+Y243-X243,2),0)</f>
        <v>0</v>
      </c>
      <c r="AA243" s="24">
        <f>IF(AC242&gt;0,MIN(ROUND(AA$6+IF(AA$5=$C243,$E$5+$E243,0),2),ROUND(AC242+AB243,2)),0)</f>
        <v>0</v>
      </c>
      <c r="AB243" s="24">
        <f>IF(AC242&gt;0,ROUND(ROUND(AC242*100,0)*ROUND(AA$7*10000,0)/12000000,0)/100,0)</f>
        <v>0</v>
      </c>
      <c r="AC243" s="24">
        <f>IF(AC242&gt;0,ROUND(AC242+AB243-AA243,2),0)</f>
        <v>0</v>
      </c>
      <c r="AD243" s="24">
        <f>IF(AF242&gt;0,MIN(ROUND(AD$6+IF(AD$5=$C243,$E$5+$E243,0),2),ROUND(AF242+AE243,2)),0)</f>
        <v>0</v>
      </c>
      <c r="AE243" s="24">
        <f>IF(AF242&gt;0,ROUND(ROUND(AF242*100,0)*ROUND(AD$7*10000,0)/12000000,0)/100,0)</f>
        <v>0</v>
      </c>
      <c r="AF243" s="24">
        <f>IF(AF242&gt;0,ROUND(AF242+AE243-AD243,2),0)</f>
        <v>0</v>
      </c>
      <c r="AG243" s="24">
        <f>IF(AI242&gt;0,MIN(ROUND(AG$6+IF(AG$5=$C243,$E$5+$E243,0),2),ROUND(AI242+AH243,2)),0)</f>
        <v>0</v>
      </c>
      <c r="AH243" s="24">
        <f>IF(AI242&gt;0,ROUND(ROUND(AI242*100,0)*ROUND(AG$7*10000,0)/12000000,0)/100,0)</f>
        <v>0</v>
      </c>
      <c r="AI243" s="24">
        <f>IF(AI242&gt;0,ROUND(AI242+AH243-AG243,2),0)</f>
        <v>0</v>
      </c>
      <c r="AJ243" s="24">
        <f>IF(AL242&gt;0,MIN(ROUND(AJ$6+IF(AJ$5=$C243,$E$5+$E243,0),2),ROUND(AL242+AK243,2)),0)</f>
        <v>0</v>
      </c>
      <c r="AK243" s="24">
        <f>IF(AL242&gt;0,ROUND(ROUND(AL242*100,0)*ROUND(AJ$7*10000,0)/12000000,0)/100,0)</f>
        <v>0</v>
      </c>
      <c r="AL243" s="24">
        <f>IF(AL242&gt;0,ROUND(AL242+AK243-AJ243,2),0)</f>
        <v>0</v>
      </c>
    </row>
    <row r="244" spans="1:38" x14ac:dyDescent="0.25">
      <c r="A244" s="17" t="str">
        <f>IF(F244&gt;0,234,"")</f>
        <v/>
      </c>
      <c r="B244" s="18" t="str">
        <f>IF(F244&gt;0,EDATE($E$6,234),"")</f>
        <v/>
      </c>
      <c r="C244" s="21">
        <f>IF(H243&gt;0,MIN(IF(K243&gt;0,I$5,99),IF(N243&gt;0,L$5,99),IF(Q243&gt;0,O$5,99),IF(T243&gt;0,R$5,99),IF(W243&gt;0,U$5,99),IF(Z243&gt;0,X$5,99),IF(AC243&gt;0,AA$5,99),IF(AF243&gt;0,AD$5,99),IF(AI243&gt;0,AG$5,99),IF(AL243&gt;0,AJ$5,99)),0)</f>
        <v>0</v>
      </c>
      <c r="D244" t="str">
        <f>IF(C244&gt;0,INDEX($I$4:$AL$4,1,MATCH(C244,$I$5:$AL$5,0)),"")</f>
        <v/>
      </c>
      <c r="E244" s="24">
        <f>ROUND(IF(AND(I$8&gt;0,K243=0),I$6,0)+IF(AND(L$8&gt;0,N243=0),L$6,0)+IF(AND(O$8&gt;0,Q243=0),O$6,0)+IF(AND(R$8&gt;0,T243=0),R$6,0)+IF(AND(U$8&gt;0,W243=0),U$6,0)+IF(AND(X$8&gt;0,Z243=0),X$6,0)+IF(AND(AA$8&gt;0,AC243=0),AA$6,0)+IF(AND(AD$8&gt;0,AF243=0),AD$6,0)+IF(AND(AG$8&gt;0,AI243=0),AG$6,0)+IF(AND(AJ$8&gt;0,AL243=0),AJ$6,0),2)</f>
        <v>330</v>
      </c>
      <c r="F244" s="24">
        <f>ROUND(I244+L244+O244+R244+U244+X244+AA244+AD244+AG244+AJ244,2)</f>
        <v>0</v>
      </c>
      <c r="G244" s="24">
        <f>ROUND(J244+M244+P244+S244+V244+Y244+AB244+AE244+AH244+AK244,2)</f>
        <v>0</v>
      </c>
      <c r="H244" s="24">
        <f>ROUND(K244+N244+Q244+T244+W244+Z244+AC244+AF244+AI244+AL244,2)</f>
        <v>0</v>
      </c>
      <c r="I244" s="24">
        <f>IF(K243&gt;0,MIN(ROUND(I$6+IF(I$5=$C244,$E$5+$E244,0),2),ROUND(K243+J244,2)),0)</f>
        <v>0</v>
      </c>
      <c r="J244" s="24">
        <f>IF(K243&gt;0,ROUND(ROUND(K243*100,0)*ROUND(I$7*10000,0)/12000000,0)/100,0)</f>
        <v>0</v>
      </c>
      <c r="K244" s="24">
        <f>IF(K243&gt;0,ROUND(K243+J244-I244,2),0)</f>
        <v>0</v>
      </c>
      <c r="L244" s="24">
        <f>IF(N243&gt;0,MIN(ROUND(L$6+IF(L$5=$C244,$E$5+$E244,0),2),ROUND(N243+M244,2)),0)</f>
        <v>0</v>
      </c>
      <c r="M244" s="24">
        <f>IF(N243&gt;0,ROUND(ROUND(N243*100,0)*ROUND(L$7*10000,0)/12000000,0)/100,0)</f>
        <v>0</v>
      </c>
      <c r="N244" s="24">
        <f>IF(N243&gt;0,ROUND(N243+M244-L244,2),0)</f>
        <v>0</v>
      </c>
      <c r="O244" s="24">
        <f>IF(Q243&gt;0,MIN(ROUND(O$6+IF(O$5=$C244,$E$5+$E244,0),2),ROUND(Q243+P244,2)),0)</f>
        <v>0</v>
      </c>
      <c r="P244" s="24">
        <f>IF(Q243&gt;0,ROUND(ROUND(Q243*100,0)*ROUND(O$7*10000,0)/12000000,0)/100,0)</f>
        <v>0</v>
      </c>
      <c r="Q244" s="24">
        <f>IF(Q243&gt;0,ROUND(Q243+P244-O244,2),0)</f>
        <v>0</v>
      </c>
      <c r="R244" s="24">
        <f>IF(T243&gt;0,MIN(ROUND(R$6+IF(R$5=$C244,$E$5+$E244,0),2),ROUND(T243+S244,2)),0)</f>
        <v>0</v>
      </c>
      <c r="S244" s="24">
        <f>IF(T243&gt;0,ROUND(ROUND(T243*100,0)*ROUND(R$7*10000,0)/12000000,0)/100,0)</f>
        <v>0</v>
      </c>
      <c r="T244" s="24">
        <f>IF(T243&gt;0,ROUND(T243+S244-R244,2),0)</f>
        <v>0</v>
      </c>
      <c r="U244" s="24">
        <f>IF(W243&gt;0,MIN(ROUND(U$6+IF(U$5=$C244,$E$5+$E244,0),2),ROUND(W243+V244,2)),0)</f>
        <v>0</v>
      </c>
      <c r="V244" s="24">
        <f>IF(W243&gt;0,ROUND(ROUND(W243*100,0)*ROUND(U$7*10000,0)/12000000,0)/100,0)</f>
        <v>0</v>
      </c>
      <c r="W244" s="24">
        <f>IF(W243&gt;0,ROUND(W243+V244-U244,2),0)</f>
        <v>0</v>
      </c>
      <c r="X244" s="24">
        <f>IF(Z243&gt;0,MIN(ROUND(X$6+IF(X$5=$C244,$E$5+$E244,0),2),ROUND(Z243+Y244,2)),0)</f>
        <v>0</v>
      </c>
      <c r="Y244" s="24">
        <f>IF(Z243&gt;0,ROUND(ROUND(Z243*100,0)*ROUND(X$7*10000,0)/12000000,0)/100,0)</f>
        <v>0</v>
      </c>
      <c r="Z244" s="24">
        <f>IF(Z243&gt;0,ROUND(Z243+Y244-X244,2),0)</f>
        <v>0</v>
      </c>
      <c r="AA244" s="24">
        <f>IF(AC243&gt;0,MIN(ROUND(AA$6+IF(AA$5=$C244,$E$5+$E244,0),2),ROUND(AC243+AB244,2)),0)</f>
        <v>0</v>
      </c>
      <c r="AB244" s="24">
        <f>IF(AC243&gt;0,ROUND(ROUND(AC243*100,0)*ROUND(AA$7*10000,0)/12000000,0)/100,0)</f>
        <v>0</v>
      </c>
      <c r="AC244" s="24">
        <f>IF(AC243&gt;0,ROUND(AC243+AB244-AA244,2),0)</f>
        <v>0</v>
      </c>
      <c r="AD244" s="24">
        <f>IF(AF243&gt;0,MIN(ROUND(AD$6+IF(AD$5=$C244,$E$5+$E244,0),2),ROUND(AF243+AE244,2)),0)</f>
        <v>0</v>
      </c>
      <c r="AE244" s="24">
        <f>IF(AF243&gt;0,ROUND(ROUND(AF243*100,0)*ROUND(AD$7*10000,0)/12000000,0)/100,0)</f>
        <v>0</v>
      </c>
      <c r="AF244" s="24">
        <f>IF(AF243&gt;0,ROUND(AF243+AE244-AD244,2),0)</f>
        <v>0</v>
      </c>
      <c r="AG244" s="24">
        <f>IF(AI243&gt;0,MIN(ROUND(AG$6+IF(AG$5=$C244,$E$5+$E244,0),2),ROUND(AI243+AH244,2)),0)</f>
        <v>0</v>
      </c>
      <c r="AH244" s="24">
        <f>IF(AI243&gt;0,ROUND(ROUND(AI243*100,0)*ROUND(AG$7*10000,0)/12000000,0)/100,0)</f>
        <v>0</v>
      </c>
      <c r="AI244" s="24">
        <f>IF(AI243&gt;0,ROUND(AI243+AH244-AG244,2),0)</f>
        <v>0</v>
      </c>
      <c r="AJ244" s="24">
        <f>IF(AL243&gt;0,MIN(ROUND(AJ$6+IF(AJ$5=$C244,$E$5+$E244,0),2),ROUND(AL243+AK244,2)),0)</f>
        <v>0</v>
      </c>
      <c r="AK244" s="24">
        <f>IF(AL243&gt;0,ROUND(ROUND(AL243*100,0)*ROUND(AJ$7*10000,0)/12000000,0)/100,0)</f>
        <v>0</v>
      </c>
      <c r="AL244" s="24">
        <f>IF(AL243&gt;0,ROUND(AL243+AK244-AJ244,2),0)</f>
        <v>0</v>
      </c>
    </row>
    <row r="245" spans="1:38" x14ac:dyDescent="0.25">
      <c r="A245" s="17" t="str">
        <f>IF(F245&gt;0,235,"")</f>
        <v/>
      </c>
      <c r="B245" s="18" t="str">
        <f>IF(F245&gt;0,EDATE($E$6,235),"")</f>
        <v/>
      </c>
      <c r="C245" s="21">
        <f>IF(H244&gt;0,MIN(IF(K244&gt;0,I$5,99),IF(N244&gt;0,L$5,99),IF(Q244&gt;0,O$5,99),IF(T244&gt;0,R$5,99),IF(W244&gt;0,U$5,99),IF(Z244&gt;0,X$5,99),IF(AC244&gt;0,AA$5,99),IF(AF244&gt;0,AD$5,99),IF(AI244&gt;0,AG$5,99),IF(AL244&gt;0,AJ$5,99)),0)</f>
        <v>0</v>
      </c>
      <c r="D245" t="str">
        <f>IF(C245&gt;0,INDEX($I$4:$AL$4,1,MATCH(C245,$I$5:$AL$5,0)),"")</f>
        <v/>
      </c>
      <c r="E245" s="24">
        <f>ROUND(IF(AND(I$8&gt;0,K244=0),I$6,0)+IF(AND(L$8&gt;0,N244=0),L$6,0)+IF(AND(O$8&gt;0,Q244=0),O$6,0)+IF(AND(R$8&gt;0,T244=0),R$6,0)+IF(AND(U$8&gt;0,W244=0),U$6,0)+IF(AND(X$8&gt;0,Z244=0),X$6,0)+IF(AND(AA$8&gt;0,AC244=0),AA$6,0)+IF(AND(AD$8&gt;0,AF244=0),AD$6,0)+IF(AND(AG$8&gt;0,AI244=0),AG$6,0)+IF(AND(AJ$8&gt;0,AL244=0),AJ$6,0),2)</f>
        <v>330</v>
      </c>
      <c r="F245" s="24">
        <f>ROUND(I245+L245+O245+R245+U245+X245+AA245+AD245+AG245+AJ245,2)</f>
        <v>0</v>
      </c>
      <c r="G245" s="24">
        <f>ROUND(J245+M245+P245+S245+V245+Y245+AB245+AE245+AH245+AK245,2)</f>
        <v>0</v>
      </c>
      <c r="H245" s="24">
        <f>ROUND(K245+N245+Q245+T245+W245+Z245+AC245+AF245+AI245+AL245,2)</f>
        <v>0</v>
      </c>
      <c r="I245" s="24">
        <f>IF(K244&gt;0,MIN(ROUND(I$6+IF(I$5=$C245,$E$5+$E245,0),2),ROUND(K244+J245,2)),0)</f>
        <v>0</v>
      </c>
      <c r="J245" s="24">
        <f>IF(K244&gt;0,ROUND(ROUND(K244*100,0)*ROUND(I$7*10000,0)/12000000,0)/100,0)</f>
        <v>0</v>
      </c>
      <c r="K245" s="24">
        <f>IF(K244&gt;0,ROUND(K244+J245-I245,2),0)</f>
        <v>0</v>
      </c>
      <c r="L245" s="24">
        <f>IF(N244&gt;0,MIN(ROUND(L$6+IF(L$5=$C245,$E$5+$E245,0),2),ROUND(N244+M245,2)),0)</f>
        <v>0</v>
      </c>
      <c r="M245" s="24">
        <f>IF(N244&gt;0,ROUND(ROUND(N244*100,0)*ROUND(L$7*10000,0)/12000000,0)/100,0)</f>
        <v>0</v>
      </c>
      <c r="N245" s="24">
        <f>IF(N244&gt;0,ROUND(N244+M245-L245,2),0)</f>
        <v>0</v>
      </c>
      <c r="O245" s="24">
        <f>IF(Q244&gt;0,MIN(ROUND(O$6+IF(O$5=$C245,$E$5+$E245,0),2),ROUND(Q244+P245,2)),0)</f>
        <v>0</v>
      </c>
      <c r="P245" s="24">
        <f>IF(Q244&gt;0,ROUND(ROUND(Q244*100,0)*ROUND(O$7*10000,0)/12000000,0)/100,0)</f>
        <v>0</v>
      </c>
      <c r="Q245" s="24">
        <f>IF(Q244&gt;0,ROUND(Q244+P245-O245,2),0)</f>
        <v>0</v>
      </c>
      <c r="R245" s="24">
        <f>IF(T244&gt;0,MIN(ROUND(R$6+IF(R$5=$C245,$E$5+$E245,0),2),ROUND(T244+S245,2)),0)</f>
        <v>0</v>
      </c>
      <c r="S245" s="24">
        <f>IF(T244&gt;0,ROUND(ROUND(T244*100,0)*ROUND(R$7*10000,0)/12000000,0)/100,0)</f>
        <v>0</v>
      </c>
      <c r="T245" s="24">
        <f>IF(T244&gt;0,ROUND(T244+S245-R245,2),0)</f>
        <v>0</v>
      </c>
      <c r="U245" s="24">
        <f>IF(W244&gt;0,MIN(ROUND(U$6+IF(U$5=$C245,$E$5+$E245,0),2),ROUND(W244+V245,2)),0)</f>
        <v>0</v>
      </c>
      <c r="V245" s="24">
        <f>IF(W244&gt;0,ROUND(ROUND(W244*100,0)*ROUND(U$7*10000,0)/12000000,0)/100,0)</f>
        <v>0</v>
      </c>
      <c r="W245" s="24">
        <f>IF(W244&gt;0,ROUND(W244+V245-U245,2),0)</f>
        <v>0</v>
      </c>
      <c r="X245" s="24">
        <f>IF(Z244&gt;0,MIN(ROUND(X$6+IF(X$5=$C245,$E$5+$E245,0),2),ROUND(Z244+Y245,2)),0)</f>
        <v>0</v>
      </c>
      <c r="Y245" s="24">
        <f>IF(Z244&gt;0,ROUND(ROUND(Z244*100,0)*ROUND(X$7*10000,0)/12000000,0)/100,0)</f>
        <v>0</v>
      </c>
      <c r="Z245" s="24">
        <f>IF(Z244&gt;0,ROUND(Z244+Y245-X245,2),0)</f>
        <v>0</v>
      </c>
      <c r="AA245" s="24">
        <f>IF(AC244&gt;0,MIN(ROUND(AA$6+IF(AA$5=$C245,$E$5+$E245,0),2),ROUND(AC244+AB245,2)),0)</f>
        <v>0</v>
      </c>
      <c r="AB245" s="24">
        <f>IF(AC244&gt;0,ROUND(ROUND(AC244*100,0)*ROUND(AA$7*10000,0)/12000000,0)/100,0)</f>
        <v>0</v>
      </c>
      <c r="AC245" s="24">
        <f>IF(AC244&gt;0,ROUND(AC244+AB245-AA245,2),0)</f>
        <v>0</v>
      </c>
      <c r="AD245" s="24">
        <f>IF(AF244&gt;0,MIN(ROUND(AD$6+IF(AD$5=$C245,$E$5+$E245,0),2),ROUND(AF244+AE245,2)),0)</f>
        <v>0</v>
      </c>
      <c r="AE245" s="24">
        <f>IF(AF244&gt;0,ROUND(ROUND(AF244*100,0)*ROUND(AD$7*10000,0)/12000000,0)/100,0)</f>
        <v>0</v>
      </c>
      <c r="AF245" s="24">
        <f>IF(AF244&gt;0,ROUND(AF244+AE245-AD245,2),0)</f>
        <v>0</v>
      </c>
      <c r="AG245" s="24">
        <f>IF(AI244&gt;0,MIN(ROUND(AG$6+IF(AG$5=$C245,$E$5+$E245,0),2),ROUND(AI244+AH245,2)),0)</f>
        <v>0</v>
      </c>
      <c r="AH245" s="24">
        <f>IF(AI244&gt;0,ROUND(ROUND(AI244*100,0)*ROUND(AG$7*10000,0)/12000000,0)/100,0)</f>
        <v>0</v>
      </c>
      <c r="AI245" s="24">
        <f>IF(AI244&gt;0,ROUND(AI244+AH245-AG245,2),0)</f>
        <v>0</v>
      </c>
      <c r="AJ245" s="24">
        <f>IF(AL244&gt;0,MIN(ROUND(AJ$6+IF(AJ$5=$C245,$E$5+$E245,0),2),ROUND(AL244+AK245,2)),0)</f>
        <v>0</v>
      </c>
      <c r="AK245" s="24">
        <f>IF(AL244&gt;0,ROUND(ROUND(AL244*100,0)*ROUND(AJ$7*10000,0)/12000000,0)/100,0)</f>
        <v>0</v>
      </c>
      <c r="AL245" s="24">
        <f>IF(AL244&gt;0,ROUND(AL244+AK245-AJ245,2),0)</f>
        <v>0</v>
      </c>
    </row>
    <row r="246" spans="1:38" x14ac:dyDescent="0.25">
      <c r="A246" s="17" t="str">
        <f>IF(F246&gt;0,236,"")</f>
        <v/>
      </c>
      <c r="B246" s="18" t="str">
        <f>IF(F246&gt;0,EDATE($E$6,236),"")</f>
        <v/>
      </c>
      <c r="C246" s="21">
        <f>IF(H245&gt;0,MIN(IF(K245&gt;0,I$5,99),IF(N245&gt;0,L$5,99),IF(Q245&gt;0,O$5,99),IF(T245&gt;0,R$5,99),IF(W245&gt;0,U$5,99),IF(Z245&gt;0,X$5,99),IF(AC245&gt;0,AA$5,99),IF(AF245&gt;0,AD$5,99),IF(AI245&gt;0,AG$5,99),IF(AL245&gt;0,AJ$5,99)),0)</f>
        <v>0</v>
      </c>
      <c r="D246" t="str">
        <f>IF(C246&gt;0,INDEX($I$4:$AL$4,1,MATCH(C246,$I$5:$AL$5,0)),"")</f>
        <v/>
      </c>
      <c r="E246" s="24">
        <f>ROUND(IF(AND(I$8&gt;0,K245=0),I$6,0)+IF(AND(L$8&gt;0,N245=0),L$6,0)+IF(AND(O$8&gt;0,Q245=0),O$6,0)+IF(AND(R$8&gt;0,T245=0),R$6,0)+IF(AND(U$8&gt;0,W245=0),U$6,0)+IF(AND(X$8&gt;0,Z245=0),X$6,0)+IF(AND(AA$8&gt;0,AC245=0),AA$6,0)+IF(AND(AD$8&gt;0,AF245=0),AD$6,0)+IF(AND(AG$8&gt;0,AI245=0),AG$6,0)+IF(AND(AJ$8&gt;0,AL245=0),AJ$6,0),2)</f>
        <v>330</v>
      </c>
      <c r="F246" s="24">
        <f>ROUND(I246+L246+O246+R246+U246+X246+AA246+AD246+AG246+AJ246,2)</f>
        <v>0</v>
      </c>
      <c r="G246" s="24">
        <f>ROUND(J246+M246+P246+S246+V246+Y246+AB246+AE246+AH246+AK246,2)</f>
        <v>0</v>
      </c>
      <c r="H246" s="24">
        <f>ROUND(K246+N246+Q246+T246+W246+Z246+AC246+AF246+AI246+AL246,2)</f>
        <v>0</v>
      </c>
      <c r="I246" s="24">
        <f>IF(K245&gt;0,MIN(ROUND(I$6+IF(I$5=$C246,$E$5+$E246,0),2),ROUND(K245+J246,2)),0)</f>
        <v>0</v>
      </c>
      <c r="J246" s="24">
        <f>IF(K245&gt;0,ROUND(ROUND(K245*100,0)*ROUND(I$7*10000,0)/12000000,0)/100,0)</f>
        <v>0</v>
      </c>
      <c r="K246" s="24">
        <f>IF(K245&gt;0,ROUND(K245+J246-I246,2),0)</f>
        <v>0</v>
      </c>
      <c r="L246" s="24">
        <f>IF(N245&gt;0,MIN(ROUND(L$6+IF(L$5=$C246,$E$5+$E246,0),2),ROUND(N245+M246,2)),0)</f>
        <v>0</v>
      </c>
      <c r="M246" s="24">
        <f>IF(N245&gt;0,ROUND(ROUND(N245*100,0)*ROUND(L$7*10000,0)/12000000,0)/100,0)</f>
        <v>0</v>
      </c>
      <c r="N246" s="24">
        <f>IF(N245&gt;0,ROUND(N245+M246-L246,2),0)</f>
        <v>0</v>
      </c>
      <c r="O246" s="24">
        <f>IF(Q245&gt;0,MIN(ROUND(O$6+IF(O$5=$C246,$E$5+$E246,0),2),ROUND(Q245+P246,2)),0)</f>
        <v>0</v>
      </c>
      <c r="P246" s="24">
        <f>IF(Q245&gt;0,ROUND(ROUND(Q245*100,0)*ROUND(O$7*10000,0)/12000000,0)/100,0)</f>
        <v>0</v>
      </c>
      <c r="Q246" s="24">
        <f>IF(Q245&gt;0,ROUND(Q245+P246-O246,2),0)</f>
        <v>0</v>
      </c>
      <c r="R246" s="24">
        <f>IF(T245&gt;0,MIN(ROUND(R$6+IF(R$5=$C246,$E$5+$E246,0),2),ROUND(T245+S246,2)),0)</f>
        <v>0</v>
      </c>
      <c r="S246" s="24">
        <f>IF(T245&gt;0,ROUND(ROUND(T245*100,0)*ROUND(R$7*10000,0)/12000000,0)/100,0)</f>
        <v>0</v>
      </c>
      <c r="T246" s="24">
        <f>IF(T245&gt;0,ROUND(T245+S246-R246,2),0)</f>
        <v>0</v>
      </c>
      <c r="U246" s="24">
        <f>IF(W245&gt;0,MIN(ROUND(U$6+IF(U$5=$C246,$E$5+$E246,0),2),ROUND(W245+V246,2)),0)</f>
        <v>0</v>
      </c>
      <c r="V246" s="24">
        <f>IF(W245&gt;0,ROUND(ROUND(W245*100,0)*ROUND(U$7*10000,0)/12000000,0)/100,0)</f>
        <v>0</v>
      </c>
      <c r="W246" s="24">
        <f>IF(W245&gt;0,ROUND(W245+V246-U246,2),0)</f>
        <v>0</v>
      </c>
      <c r="X246" s="24">
        <f>IF(Z245&gt;0,MIN(ROUND(X$6+IF(X$5=$C246,$E$5+$E246,0),2),ROUND(Z245+Y246,2)),0)</f>
        <v>0</v>
      </c>
      <c r="Y246" s="24">
        <f>IF(Z245&gt;0,ROUND(ROUND(Z245*100,0)*ROUND(X$7*10000,0)/12000000,0)/100,0)</f>
        <v>0</v>
      </c>
      <c r="Z246" s="24">
        <f>IF(Z245&gt;0,ROUND(Z245+Y246-X246,2),0)</f>
        <v>0</v>
      </c>
      <c r="AA246" s="24">
        <f>IF(AC245&gt;0,MIN(ROUND(AA$6+IF(AA$5=$C246,$E$5+$E246,0),2),ROUND(AC245+AB246,2)),0)</f>
        <v>0</v>
      </c>
      <c r="AB246" s="24">
        <f>IF(AC245&gt;0,ROUND(ROUND(AC245*100,0)*ROUND(AA$7*10000,0)/12000000,0)/100,0)</f>
        <v>0</v>
      </c>
      <c r="AC246" s="24">
        <f>IF(AC245&gt;0,ROUND(AC245+AB246-AA246,2),0)</f>
        <v>0</v>
      </c>
      <c r="AD246" s="24">
        <f>IF(AF245&gt;0,MIN(ROUND(AD$6+IF(AD$5=$C246,$E$5+$E246,0),2),ROUND(AF245+AE246,2)),0)</f>
        <v>0</v>
      </c>
      <c r="AE246" s="24">
        <f>IF(AF245&gt;0,ROUND(ROUND(AF245*100,0)*ROUND(AD$7*10000,0)/12000000,0)/100,0)</f>
        <v>0</v>
      </c>
      <c r="AF246" s="24">
        <f>IF(AF245&gt;0,ROUND(AF245+AE246-AD246,2),0)</f>
        <v>0</v>
      </c>
      <c r="AG246" s="24">
        <f>IF(AI245&gt;0,MIN(ROUND(AG$6+IF(AG$5=$C246,$E$5+$E246,0),2),ROUND(AI245+AH246,2)),0)</f>
        <v>0</v>
      </c>
      <c r="AH246" s="24">
        <f>IF(AI245&gt;0,ROUND(ROUND(AI245*100,0)*ROUND(AG$7*10000,0)/12000000,0)/100,0)</f>
        <v>0</v>
      </c>
      <c r="AI246" s="24">
        <f>IF(AI245&gt;0,ROUND(AI245+AH246-AG246,2),0)</f>
        <v>0</v>
      </c>
      <c r="AJ246" s="24">
        <f>IF(AL245&gt;0,MIN(ROUND(AJ$6+IF(AJ$5=$C246,$E$5+$E246,0),2),ROUND(AL245+AK246,2)),0)</f>
        <v>0</v>
      </c>
      <c r="AK246" s="24">
        <f>IF(AL245&gt;0,ROUND(ROUND(AL245*100,0)*ROUND(AJ$7*10000,0)/12000000,0)/100,0)</f>
        <v>0</v>
      </c>
      <c r="AL246" s="24">
        <f>IF(AL245&gt;0,ROUND(AL245+AK246-AJ246,2),0)</f>
        <v>0</v>
      </c>
    </row>
    <row r="247" spans="1:38" x14ac:dyDescent="0.25">
      <c r="A247" s="17" t="str">
        <f>IF(F247&gt;0,237,"")</f>
        <v/>
      </c>
      <c r="B247" s="18" t="str">
        <f>IF(F247&gt;0,EDATE($E$6,237),"")</f>
        <v/>
      </c>
      <c r="C247" s="21">
        <f>IF(H246&gt;0,MIN(IF(K246&gt;0,I$5,99),IF(N246&gt;0,L$5,99),IF(Q246&gt;0,O$5,99),IF(T246&gt;0,R$5,99),IF(W246&gt;0,U$5,99),IF(Z246&gt;0,X$5,99),IF(AC246&gt;0,AA$5,99),IF(AF246&gt;0,AD$5,99),IF(AI246&gt;0,AG$5,99),IF(AL246&gt;0,AJ$5,99)),0)</f>
        <v>0</v>
      </c>
      <c r="D247" t="str">
        <f>IF(C247&gt;0,INDEX($I$4:$AL$4,1,MATCH(C247,$I$5:$AL$5,0)),"")</f>
        <v/>
      </c>
      <c r="E247" s="24">
        <f>ROUND(IF(AND(I$8&gt;0,K246=0),I$6,0)+IF(AND(L$8&gt;0,N246=0),L$6,0)+IF(AND(O$8&gt;0,Q246=0),O$6,0)+IF(AND(R$8&gt;0,T246=0),R$6,0)+IF(AND(U$8&gt;0,W246=0),U$6,0)+IF(AND(X$8&gt;0,Z246=0),X$6,0)+IF(AND(AA$8&gt;0,AC246=0),AA$6,0)+IF(AND(AD$8&gt;0,AF246=0),AD$6,0)+IF(AND(AG$8&gt;0,AI246=0),AG$6,0)+IF(AND(AJ$8&gt;0,AL246=0),AJ$6,0),2)</f>
        <v>330</v>
      </c>
      <c r="F247" s="24">
        <f>ROUND(I247+L247+O247+R247+U247+X247+AA247+AD247+AG247+AJ247,2)</f>
        <v>0</v>
      </c>
      <c r="G247" s="24">
        <f>ROUND(J247+M247+P247+S247+V247+Y247+AB247+AE247+AH247+AK247,2)</f>
        <v>0</v>
      </c>
      <c r="H247" s="24">
        <f>ROUND(K247+N247+Q247+T247+W247+Z247+AC247+AF247+AI247+AL247,2)</f>
        <v>0</v>
      </c>
      <c r="I247" s="24">
        <f>IF(K246&gt;0,MIN(ROUND(I$6+IF(I$5=$C247,$E$5+$E247,0),2),ROUND(K246+J247,2)),0)</f>
        <v>0</v>
      </c>
      <c r="J247" s="24">
        <f>IF(K246&gt;0,ROUND(ROUND(K246*100,0)*ROUND(I$7*10000,0)/12000000,0)/100,0)</f>
        <v>0</v>
      </c>
      <c r="K247" s="24">
        <f>IF(K246&gt;0,ROUND(K246+J247-I247,2),0)</f>
        <v>0</v>
      </c>
      <c r="L247" s="24">
        <f>IF(N246&gt;0,MIN(ROUND(L$6+IF(L$5=$C247,$E$5+$E247,0),2),ROUND(N246+M247,2)),0)</f>
        <v>0</v>
      </c>
      <c r="M247" s="24">
        <f>IF(N246&gt;0,ROUND(ROUND(N246*100,0)*ROUND(L$7*10000,0)/12000000,0)/100,0)</f>
        <v>0</v>
      </c>
      <c r="N247" s="24">
        <f>IF(N246&gt;0,ROUND(N246+M247-L247,2),0)</f>
        <v>0</v>
      </c>
      <c r="O247" s="24">
        <f>IF(Q246&gt;0,MIN(ROUND(O$6+IF(O$5=$C247,$E$5+$E247,0),2),ROUND(Q246+P247,2)),0)</f>
        <v>0</v>
      </c>
      <c r="P247" s="24">
        <f>IF(Q246&gt;0,ROUND(ROUND(Q246*100,0)*ROUND(O$7*10000,0)/12000000,0)/100,0)</f>
        <v>0</v>
      </c>
      <c r="Q247" s="24">
        <f>IF(Q246&gt;0,ROUND(Q246+P247-O247,2),0)</f>
        <v>0</v>
      </c>
      <c r="R247" s="24">
        <f>IF(T246&gt;0,MIN(ROUND(R$6+IF(R$5=$C247,$E$5+$E247,0),2),ROUND(T246+S247,2)),0)</f>
        <v>0</v>
      </c>
      <c r="S247" s="24">
        <f>IF(T246&gt;0,ROUND(ROUND(T246*100,0)*ROUND(R$7*10000,0)/12000000,0)/100,0)</f>
        <v>0</v>
      </c>
      <c r="T247" s="24">
        <f>IF(T246&gt;0,ROUND(T246+S247-R247,2),0)</f>
        <v>0</v>
      </c>
      <c r="U247" s="24">
        <f>IF(W246&gt;0,MIN(ROUND(U$6+IF(U$5=$C247,$E$5+$E247,0),2),ROUND(W246+V247,2)),0)</f>
        <v>0</v>
      </c>
      <c r="V247" s="24">
        <f>IF(W246&gt;0,ROUND(ROUND(W246*100,0)*ROUND(U$7*10000,0)/12000000,0)/100,0)</f>
        <v>0</v>
      </c>
      <c r="W247" s="24">
        <f>IF(W246&gt;0,ROUND(W246+V247-U247,2),0)</f>
        <v>0</v>
      </c>
      <c r="X247" s="24">
        <f>IF(Z246&gt;0,MIN(ROUND(X$6+IF(X$5=$C247,$E$5+$E247,0),2),ROUND(Z246+Y247,2)),0)</f>
        <v>0</v>
      </c>
      <c r="Y247" s="24">
        <f>IF(Z246&gt;0,ROUND(ROUND(Z246*100,0)*ROUND(X$7*10000,0)/12000000,0)/100,0)</f>
        <v>0</v>
      </c>
      <c r="Z247" s="24">
        <f>IF(Z246&gt;0,ROUND(Z246+Y247-X247,2),0)</f>
        <v>0</v>
      </c>
      <c r="AA247" s="24">
        <f>IF(AC246&gt;0,MIN(ROUND(AA$6+IF(AA$5=$C247,$E$5+$E247,0),2),ROUND(AC246+AB247,2)),0)</f>
        <v>0</v>
      </c>
      <c r="AB247" s="24">
        <f>IF(AC246&gt;0,ROUND(ROUND(AC246*100,0)*ROUND(AA$7*10000,0)/12000000,0)/100,0)</f>
        <v>0</v>
      </c>
      <c r="AC247" s="24">
        <f>IF(AC246&gt;0,ROUND(AC246+AB247-AA247,2),0)</f>
        <v>0</v>
      </c>
      <c r="AD247" s="24">
        <f>IF(AF246&gt;0,MIN(ROUND(AD$6+IF(AD$5=$C247,$E$5+$E247,0),2),ROUND(AF246+AE247,2)),0)</f>
        <v>0</v>
      </c>
      <c r="AE247" s="24">
        <f>IF(AF246&gt;0,ROUND(ROUND(AF246*100,0)*ROUND(AD$7*10000,0)/12000000,0)/100,0)</f>
        <v>0</v>
      </c>
      <c r="AF247" s="24">
        <f>IF(AF246&gt;0,ROUND(AF246+AE247-AD247,2),0)</f>
        <v>0</v>
      </c>
      <c r="AG247" s="24">
        <f>IF(AI246&gt;0,MIN(ROUND(AG$6+IF(AG$5=$C247,$E$5+$E247,0),2),ROUND(AI246+AH247,2)),0)</f>
        <v>0</v>
      </c>
      <c r="AH247" s="24">
        <f>IF(AI246&gt;0,ROUND(ROUND(AI246*100,0)*ROUND(AG$7*10000,0)/12000000,0)/100,0)</f>
        <v>0</v>
      </c>
      <c r="AI247" s="24">
        <f>IF(AI246&gt;0,ROUND(AI246+AH247-AG247,2),0)</f>
        <v>0</v>
      </c>
      <c r="AJ247" s="24">
        <f>IF(AL246&gt;0,MIN(ROUND(AJ$6+IF(AJ$5=$C247,$E$5+$E247,0),2),ROUND(AL246+AK247,2)),0)</f>
        <v>0</v>
      </c>
      <c r="AK247" s="24">
        <f>IF(AL246&gt;0,ROUND(ROUND(AL246*100,0)*ROUND(AJ$7*10000,0)/12000000,0)/100,0)</f>
        <v>0</v>
      </c>
      <c r="AL247" s="24">
        <f>IF(AL246&gt;0,ROUND(AL246+AK247-AJ247,2),0)</f>
        <v>0</v>
      </c>
    </row>
    <row r="248" spans="1:38" x14ac:dyDescent="0.25">
      <c r="A248" s="17" t="str">
        <f>IF(F248&gt;0,238,"")</f>
        <v/>
      </c>
      <c r="B248" s="18" t="str">
        <f>IF(F248&gt;0,EDATE($E$6,238),"")</f>
        <v/>
      </c>
      <c r="C248" s="21">
        <f>IF(H247&gt;0,MIN(IF(K247&gt;0,I$5,99),IF(N247&gt;0,L$5,99),IF(Q247&gt;0,O$5,99),IF(T247&gt;0,R$5,99),IF(W247&gt;0,U$5,99),IF(Z247&gt;0,X$5,99),IF(AC247&gt;0,AA$5,99),IF(AF247&gt;0,AD$5,99),IF(AI247&gt;0,AG$5,99),IF(AL247&gt;0,AJ$5,99)),0)</f>
        <v>0</v>
      </c>
      <c r="D248" t="str">
        <f>IF(C248&gt;0,INDEX($I$4:$AL$4,1,MATCH(C248,$I$5:$AL$5,0)),"")</f>
        <v/>
      </c>
      <c r="E248" s="24">
        <f>ROUND(IF(AND(I$8&gt;0,K247=0),I$6,0)+IF(AND(L$8&gt;0,N247=0),L$6,0)+IF(AND(O$8&gt;0,Q247=0),O$6,0)+IF(AND(R$8&gt;0,T247=0),R$6,0)+IF(AND(U$8&gt;0,W247=0),U$6,0)+IF(AND(X$8&gt;0,Z247=0),X$6,0)+IF(AND(AA$8&gt;0,AC247=0),AA$6,0)+IF(AND(AD$8&gt;0,AF247=0),AD$6,0)+IF(AND(AG$8&gt;0,AI247=0),AG$6,0)+IF(AND(AJ$8&gt;0,AL247=0),AJ$6,0),2)</f>
        <v>330</v>
      </c>
      <c r="F248" s="24">
        <f>ROUND(I248+L248+O248+R248+U248+X248+AA248+AD248+AG248+AJ248,2)</f>
        <v>0</v>
      </c>
      <c r="G248" s="24">
        <f>ROUND(J248+M248+P248+S248+V248+Y248+AB248+AE248+AH248+AK248,2)</f>
        <v>0</v>
      </c>
      <c r="H248" s="24">
        <f>ROUND(K248+N248+Q248+T248+W248+Z248+AC248+AF248+AI248+AL248,2)</f>
        <v>0</v>
      </c>
      <c r="I248" s="24">
        <f>IF(K247&gt;0,MIN(ROUND(I$6+IF(I$5=$C248,$E$5+$E248,0),2),ROUND(K247+J248,2)),0)</f>
        <v>0</v>
      </c>
      <c r="J248" s="24">
        <f>IF(K247&gt;0,ROUND(ROUND(K247*100,0)*ROUND(I$7*10000,0)/12000000,0)/100,0)</f>
        <v>0</v>
      </c>
      <c r="K248" s="24">
        <f>IF(K247&gt;0,ROUND(K247+J248-I248,2),0)</f>
        <v>0</v>
      </c>
      <c r="L248" s="24">
        <f>IF(N247&gt;0,MIN(ROUND(L$6+IF(L$5=$C248,$E$5+$E248,0),2),ROUND(N247+M248,2)),0)</f>
        <v>0</v>
      </c>
      <c r="M248" s="24">
        <f>IF(N247&gt;0,ROUND(ROUND(N247*100,0)*ROUND(L$7*10000,0)/12000000,0)/100,0)</f>
        <v>0</v>
      </c>
      <c r="N248" s="24">
        <f>IF(N247&gt;0,ROUND(N247+M248-L248,2),0)</f>
        <v>0</v>
      </c>
      <c r="O248" s="24">
        <f>IF(Q247&gt;0,MIN(ROUND(O$6+IF(O$5=$C248,$E$5+$E248,0),2),ROUND(Q247+P248,2)),0)</f>
        <v>0</v>
      </c>
      <c r="P248" s="24">
        <f>IF(Q247&gt;0,ROUND(ROUND(Q247*100,0)*ROUND(O$7*10000,0)/12000000,0)/100,0)</f>
        <v>0</v>
      </c>
      <c r="Q248" s="24">
        <f>IF(Q247&gt;0,ROUND(Q247+P248-O248,2),0)</f>
        <v>0</v>
      </c>
      <c r="R248" s="24">
        <f>IF(T247&gt;0,MIN(ROUND(R$6+IF(R$5=$C248,$E$5+$E248,0),2),ROUND(T247+S248,2)),0)</f>
        <v>0</v>
      </c>
      <c r="S248" s="24">
        <f>IF(T247&gt;0,ROUND(ROUND(T247*100,0)*ROUND(R$7*10000,0)/12000000,0)/100,0)</f>
        <v>0</v>
      </c>
      <c r="T248" s="24">
        <f>IF(T247&gt;0,ROUND(T247+S248-R248,2),0)</f>
        <v>0</v>
      </c>
      <c r="U248" s="24">
        <f>IF(W247&gt;0,MIN(ROUND(U$6+IF(U$5=$C248,$E$5+$E248,0),2),ROUND(W247+V248,2)),0)</f>
        <v>0</v>
      </c>
      <c r="V248" s="24">
        <f>IF(W247&gt;0,ROUND(ROUND(W247*100,0)*ROUND(U$7*10000,0)/12000000,0)/100,0)</f>
        <v>0</v>
      </c>
      <c r="W248" s="24">
        <f>IF(W247&gt;0,ROUND(W247+V248-U248,2),0)</f>
        <v>0</v>
      </c>
      <c r="X248" s="24">
        <f>IF(Z247&gt;0,MIN(ROUND(X$6+IF(X$5=$C248,$E$5+$E248,0),2),ROUND(Z247+Y248,2)),0)</f>
        <v>0</v>
      </c>
      <c r="Y248" s="24">
        <f>IF(Z247&gt;0,ROUND(ROUND(Z247*100,0)*ROUND(X$7*10000,0)/12000000,0)/100,0)</f>
        <v>0</v>
      </c>
      <c r="Z248" s="24">
        <f>IF(Z247&gt;0,ROUND(Z247+Y248-X248,2),0)</f>
        <v>0</v>
      </c>
      <c r="AA248" s="24">
        <f>IF(AC247&gt;0,MIN(ROUND(AA$6+IF(AA$5=$C248,$E$5+$E248,0),2),ROUND(AC247+AB248,2)),0)</f>
        <v>0</v>
      </c>
      <c r="AB248" s="24">
        <f>IF(AC247&gt;0,ROUND(ROUND(AC247*100,0)*ROUND(AA$7*10000,0)/12000000,0)/100,0)</f>
        <v>0</v>
      </c>
      <c r="AC248" s="24">
        <f>IF(AC247&gt;0,ROUND(AC247+AB248-AA248,2),0)</f>
        <v>0</v>
      </c>
      <c r="AD248" s="24">
        <f>IF(AF247&gt;0,MIN(ROUND(AD$6+IF(AD$5=$C248,$E$5+$E248,0),2),ROUND(AF247+AE248,2)),0)</f>
        <v>0</v>
      </c>
      <c r="AE248" s="24">
        <f>IF(AF247&gt;0,ROUND(ROUND(AF247*100,0)*ROUND(AD$7*10000,0)/12000000,0)/100,0)</f>
        <v>0</v>
      </c>
      <c r="AF248" s="24">
        <f>IF(AF247&gt;0,ROUND(AF247+AE248-AD248,2),0)</f>
        <v>0</v>
      </c>
      <c r="AG248" s="24">
        <f>IF(AI247&gt;0,MIN(ROUND(AG$6+IF(AG$5=$C248,$E$5+$E248,0),2),ROUND(AI247+AH248,2)),0)</f>
        <v>0</v>
      </c>
      <c r="AH248" s="24">
        <f>IF(AI247&gt;0,ROUND(ROUND(AI247*100,0)*ROUND(AG$7*10000,0)/12000000,0)/100,0)</f>
        <v>0</v>
      </c>
      <c r="AI248" s="24">
        <f>IF(AI247&gt;0,ROUND(AI247+AH248-AG248,2),0)</f>
        <v>0</v>
      </c>
      <c r="AJ248" s="24">
        <f>IF(AL247&gt;0,MIN(ROUND(AJ$6+IF(AJ$5=$C248,$E$5+$E248,0),2),ROUND(AL247+AK248,2)),0)</f>
        <v>0</v>
      </c>
      <c r="AK248" s="24">
        <f>IF(AL247&gt;0,ROUND(ROUND(AL247*100,0)*ROUND(AJ$7*10000,0)/12000000,0)/100,0)</f>
        <v>0</v>
      </c>
      <c r="AL248" s="24">
        <f>IF(AL247&gt;0,ROUND(AL247+AK248-AJ248,2),0)</f>
        <v>0</v>
      </c>
    </row>
    <row r="249" spans="1:38" x14ac:dyDescent="0.25">
      <c r="A249" s="17" t="str">
        <f>IF(F249&gt;0,239,"")</f>
        <v/>
      </c>
      <c r="B249" s="18" t="str">
        <f>IF(F249&gt;0,EDATE($E$6,239),"")</f>
        <v/>
      </c>
      <c r="C249" s="21">
        <f>IF(H248&gt;0,MIN(IF(K248&gt;0,I$5,99),IF(N248&gt;0,L$5,99),IF(Q248&gt;0,O$5,99),IF(T248&gt;0,R$5,99),IF(W248&gt;0,U$5,99),IF(Z248&gt;0,X$5,99),IF(AC248&gt;0,AA$5,99),IF(AF248&gt;0,AD$5,99),IF(AI248&gt;0,AG$5,99),IF(AL248&gt;0,AJ$5,99)),0)</f>
        <v>0</v>
      </c>
      <c r="D249" t="str">
        <f>IF(C249&gt;0,INDEX($I$4:$AL$4,1,MATCH(C249,$I$5:$AL$5,0)),"")</f>
        <v/>
      </c>
      <c r="E249" s="24">
        <f>ROUND(IF(AND(I$8&gt;0,K248=0),I$6,0)+IF(AND(L$8&gt;0,N248=0),L$6,0)+IF(AND(O$8&gt;0,Q248=0),O$6,0)+IF(AND(R$8&gt;0,T248=0),R$6,0)+IF(AND(U$8&gt;0,W248=0),U$6,0)+IF(AND(X$8&gt;0,Z248=0),X$6,0)+IF(AND(AA$8&gt;0,AC248=0),AA$6,0)+IF(AND(AD$8&gt;0,AF248=0),AD$6,0)+IF(AND(AG$8&gt;0,AI248=0),AG$6,0)+IF(AND(AJ$8&gt;0,AL248=0),AJ$6,0),2)</f>
        <v>330</v>
      </c>
      <c r="F249" s="24">
        <f>ROUND(I249+L249+O249+R249+U249+X249+AA249+AD249+AG249+AJ249,2)</f>
        <v>0</v>
      </c>
      <c r="G249" s="24">
        <f>ROUND(J249+M249+P249+S249+V249+Y249+AB249+AE249+AH249+AK249,2)</f>
        <v>0</v>
      </c>
      <c r="H249" s="24">
        <f>ROUND(K249+N249+Q249+T249+W249+Z249+AC249+AF249+AI249+AL249,2)</f>
        <v>0</v>
      </c>
      <c r="I249" s="24">
        <f>IF(K248&gt;0,MIN(ROUND(I$6+IF(I$5=$C249,$E$5+$E249,0),2),ROUND(K248+J249,2)),0)</f>
        <v>0</v>
      </c>
      <c r="J249" s="24">
        <f>IF(K248&gt;0,ROUND(ROUND(K248*100,0)*ROUND(I$7*10000,0)/12000000,0)/100,0)</f>
        <v>0</v>
      </c>
      <c r="K249" s="24">
        <f>IF(K248&gt;0,ROUND(K248+J249-I249,2),0)</f>
        <v>0</v>
      </c>
      <c r="L249" s="24">
        <f>IF(N248&gt;0,MIN(ROUND(L$6+IF(L$5=$C249,$E$5+$E249,0),2),ROUND(N248+M249,2)),0)</f>
        <v>0</v>
      </c>
      <c r="M249" s="24">
        <f>IF(N248&gt;0,ROUND(ROUND(N248*100,0)*ROUND(L$7*10000,0)/12000000,0)/100,0)</f>
        <v>0</v>
      </c>
      <c r="N249" s="24">
        <f>IF(N248&gt;0,ROUND(N248+M249-L249,2),0)</f>
        <v>0</v>
      </c>
      <c r="O249" s="24">
        <f>IF(Q248&gt;0,MIN(ROUND(O$6+IF(O$5=$C249,$E$5+$E249,0),2),ROUND(Q248+P249,2)),0)</f>
        <v>0</v>
      </c>
      <c r="P249" s="24">
        <f>IF(Q248&gt;0,ROUND(ROUND(Q248*100,0)*ROUND(O$7*10000,0)/12000000,0)/100,0)</f>
        <v>0</v>
      </c>
      <c r="Q249" s="24">
        <f>IF(Q248&gt;0,ROUND(Q248+P249-O249,2),0)</f>
        <v>0</v>
      </c>
      <c r="R249" s="24">
        <f>IF(T248&gt;0,MIN(ROUND(R$6+IF(R$5=$C249,$E$5+$E249,0),2),ROUND(T248+S249,2)),0)</f>
        <v>0</v>
      </c>
      <c r="S249" s="24">
        <f>IF(T248&gt;0,ROUND(ROUND(T248*100,0)*ROUND(R$7*10000,0)/12000000,0)/100,0)</f>
        <v>0</v>
      </c>
      <c r="T249" s="24">
        <f>IF(T248&gt;0,ROUND(T248+S249-R249,2),0)</f>
        <v>0</v>
      </c>
      <c r="U249" s="24">
        <f>IF(W248&gt;0,MIN(ROUND(U$6+IF(U$5=$C249,$E$5+$E249,0),2),ROUND(W248+V249,2)),0)</f>
        <v>0</v>
      </c>
      <c r="V249" s="24">
        <f>IF(W248&gt;0,ROUND(ROUND(W248*100,0)*ROUND(U$7*10000,0)/12000000,0)/100,0)</f>
        <v>0</v>
      </c>
      <c r="W249" s="24">
        <f>IF(W248&gt;0,ROUND(W248+V249-U249,2),0)</f>
        <v>0</v>
      </c>
      <c r="X249" s="24">
        <f>IF(Z248&gt;0,MIN(ROUND(X$6+IF(X$5=$C249,$E$5+$E249,0),2),ROUND(Z248+Y249,2)),0)</f>
        <v>0</v>
      </c>
      <c r="Y249" s="24">
        <f>IF(Z248&gt;0,ROUND(ROUND(Z248*100,0)*ROUND(X$7*10000,0)/12000000,0)/100,0)</f>
        <v>0</v>
      </c>
      <c r="Z249" s="24">
        <f>IF(Z248&gt;0,ROUND(Z248+Y249-X249,2),0)</f>
        <v>0</v>
      </c>
      <c r="AA249" s="24">
        <f>IF(AC248&gt;0,MIN(ROUND(AA$6+IF(AA$5=$C249,$E$5+$E249,0),2),ROUND(AC248+AB249,2)),0)</f>
        <v>0</v>
      </c>
      <c r="AB249" s="24">
        <f>IF(AC248&gt;0,ROUND(ROUND(AC248*100,0)*ROUND(AA$7*10000,0)/12000000,0)/100,0)</f>
        <v>0</v>
      </c>
      <c r="AC249" s="24">
        <f>IF(AC248&gt;0,ROUND(AC248+AB249-AA249,2),0)</f>
        <v>0</v>
      </c>
      <c r="AD249" s="24">
        <f>IF(AF248&gt;0,MIN(ROUND(AD$6+IF(AD$5=$C249,$E$5+$E249,0),2),ROUND(AF248+AE249,2)),0)</f>
        <v>0</v>
      </c>
      <c r="AE249" s="24">
        <f>IF(AF248&gt;0,ROUND(ROUND(AF248*100,0)*ROUND(AD$7*10000,0)/12000000,0)/100,0)</f>
        <v>0</v>
      </c>
      <c r="AF249" s="24">
        <f>IF(AF248&gt;0,ROUND(AF248+AE249-AD249,2),0)</f>
        <v>0</v>
      </c>
      <c r="AG249" s="24">
        <f>IF(AI248&gt;0,MIN(ROUND(AG$6+IF(AG$5=$C249,$E$5+$E249,0),2),ROUND(AI248+AH249,2)),0)</f>
        <v>0</v>
      </c>
      <c r="AH249" s="24">
        <f>IF(AI248&gt;0,ROUND(ROUND(AI248*100,0)*ROUND(AG$7*10000,0)/12000000,0)/100,0)</f>
        <v>0</v>
      </c>
      <c r="AI249" s="24">
        <f>IF(AI248&gt;0,ROUND(AI248+AH249-AG249,2),0)</f>
        <v>0</v>
      </c>
      <c r="AJ249" s="24">
        <f>IF(AL248&gt;0,MIN(ROUND(AJ$6+IF(AJ$5=$C249,$E$5+$E249,0),2),ROUND(AL248+AK249,2)),0)</f>
        <v>0</v>
      </c>
      <c r="AK249" s="24">
        <f>IF(AL248&gt;0,ROUND(ROUND(AL248*100,0)*ROUND(AJ$7*10000,0)/12000000,0)/100,0)</f>
        <v>0</v>
      </c>
      <c r="AL249" s="24">
        <f>IF(AL248&gt;0,ROUND(AL248+AK249-AJ249,2),0)</f>
        <v>0</v>
      </c>
    </row>
    <row r="250" spans="1:38" x14ac:dyDescent="0.25">
      <c r="A250" s="17" t="str">
        <f>IF(F250&gt;0,240,"")</f>
        <v/>
      </c>
      <c r="B250" s="18" t="str">
        <f>IF(F250&gt;0,EDATE($E$6,240),"")</f>
        <v/>
      </c>
      <c r="C250" s="21">
        <f>IF(H249&gt;0,MIN(IF(K249&gt;0,I$5,99),IF(N249&gt;0,L$5,99),IF(Q249&gt;0,O$5,99),IF(T249&gt;0,R$5,99),IF(W249&gt;0,U$5,99),IF(Z249&gt;0,X$5,99),IF(AC249&gt;0,AA$5,99),IF(AF249&gt;0,AD$5,99),IF(AI249&gt;0,AG$5,99),IF(AL249&gt;0,AJ$5,99)),0)</f>
        <v>0</v>
      </c>
      <c r="D250" t="str">
        <f>IF(C250&gt;0,INDEX($I$4:$AL$4,1,MATCH(C250,$I$5:$AL$5,0)),"")</f>
        <v/>
      </c>
      <c r="E250" s="24">
        <f>ROUND(IF(AND(I$8&gt;0,K249=0),I$6,0)+IF(AND(L$8&gt;0,N249=0),L$6,0)+IF(AND(O$8&gt;0,Q249=0),O$6,0)+IF(AND(R$8&gt;0,T249=0),R$6,0)+IF(AND(U$8&gt;0,W249=0),U$6,0)+IF(AND(X$8&gt;0,Z249=0),X$6,0)+IF(AND(AA$8&gt;0,AC249=0),AA$6,0)+IF(AND(AD$8&gt;0,AF249=0),AD$6,0)+IF(AND(AG$8&gt;0,AI249=0),AG$6,0)+IF(AND(AJ$8&gt;0,AL249=0),AJ$6,0),2)</f>
        <v>330</v>
      </c>
      <c r="F250" s="24">
        <f>ROUND(I250+L250+O250+R250+U250+X250+AA250+AD250+AG250+AJ250,2)</f>
        <v>0</v>
      </c>
      <c r="G250" s="24">
        <f>ROUND(J250+M250+P250+S250+V250+Y250+AB250+AE250+AH250+AK250,2)</f>
        <v>0</v>
      </c>
      <c r="H250" s="24">
        <f>ROUND(K250+N250+Q250+T250+W250+Z250+AC250+AF250+AI250+AL250,2)</f>
        <v>0</v>
      </c>
      <c r="I250" s="24">
        <f>IF(K249&gt;0,MIN(ROUND(I$6+IF(I$5=$C250,$E$5+$E250,0),2),ROUND(K249+J250,2)),0)</f>
        <v>0</v>
      </c>
      <c r="J250" s="24">
        <f>IF(K249&gt;0,ROUND(ROUND(K249*100,0)*ROUND(I$7*10000,0)/12000000,0)/100,0)</f>
        <v>0</v>
      </c>
      <c r="K250" s="24">
        <f>IF(K249&gt;0,ROUND(K249+J250-I250,2),0)</f>
        <v>0</v>
      </c>
      <c r="L250" s="24">
        <f>IF(N249&gt;0,MIN(ROUND(L$6+IF(L$5=$C250,$E$5+$E250,0),2),ROUND(N249+M250,2)),0)</f>
        <v>0</v>
      </c>
      <c r="M250" s="24">
        <f>IF(N249&gt;0,ROUND(ROUND(N249*100,0)*ROUND(L$7*10000,0)/12000000,0)/100,0)</f>
        <v>0</v>
      </c>
      <c r="N250" s="24">
        <f>IF(N249&gt;0,ROUND(N249+M250-L250,2),0)</f>
        <v>0</v>
      </c>
      <c r="O250" s="24">
        <f>IF(Q249&gt;0,MIN(ROUND(O$6+IF(O$5=$C250,$E$5+$E250,0),2),ROUND(Q249+P250,2)),0)</f>
        <v>0</v>
      </c>
      <c r="P250" s="24">
        <f>IF(Q249&gt;0,ROUND(ROUND(Q249*100,0)*ROUND(O$7*10000,0)/12000000,0)/100,0)</f>
        <v>0</v>
      </c>
      <c r="Q250" s="24">
        <f>IF(Q249&gt;0,ROUND(Q249+P250-O250,2),0)</f>
        <v>0</v>
      </c>
      <c r="R250" s="24">
        <f>IF(T249&gt;0,MIN(ROUND(R$6+IF(R$5=$C250,$E$5+$E250,0),2),ROUND(T249+S250,2)),0)</f>
        <v>0</v>
      </c>
      <c r="S250" s="24">
        <f>IF(T249&gt;0,ROUND(ROUND(T249*100,0)*ROUND(R$7*10000,0)/12000000,0)/100,0)</f>
        <v>0</v>
      </c>
      <c r="T250" s="24">
        <f>IF(T249&gt;0,ROUND(T249+S250-R250,2),0)</f>
        <v>0</v>
      </c>
      <c r="U250" s="24">
        <f>IF(W249&gt;0,MIN(ROUND(U$6+IF(U$5=$C250,$E$5+$E250,0),2),ROUND(W249+V250,2)),0)</f>
        <v>0</v>
      </c>
      <c r="V250" s="24">
        <f>IF(W249&gt;0,ROUND(ROUND(W249*100,0)*ROUND(U$7*10000,0)/12000000,0)/100,0)</f>
        <v>0</v>
      </c>
      <c r="W250" s="24">
        <f>IF(W249&gt;0,ROUND(W249+V250-U250,2),0)</f>
        <v>0</v>
      </c>
      <c r="X250" s="24">
        <f>IF(Z249&gt;0,MIN(ROUND(X$6+IF(X$5=$C250,$E$5+$E250,0),2),ROUND(Z249+Y250,2)),0)</f>
        <v>0</v>
      </c>
      <c r="Y250" s="24">
        <f>IF(Z249&gt;0,ROUND(ROUND(Z249*100,0)*ROUND(X$7*10000,0)/12000000,0)/100,0)</f>
        <v>0</v>
      </c>
      <c r="Z250" s="24">
        <f>IF(Z249&gt;0,ROUND(Z249+Y250-X250,2),0)</f>
        <v>0</v>
      </c>
      <c r="AA250" s="24">
        <f>IF(AC249&gt;0,MIN(ROUND(AA$6+IF(AA$5=$C250,$E$5+$E250,0),2),ROUND(AC249+AB250,2)),0)</f>
        <v>0</v>
      </c>
      <c r="AB250" s="24">
        <f>IF(AC249&gt;0,ROUND(ROUND(AC249*100,0)*ROUND(AA$7*10000,0)/12000000,0)/100,0)</f>
        <v>0</v>
      </c>
      <c r="AC250" s="24">
        <f>IF(AC249&gt;0,ROUND(AC249+AB250-AA250,2),0)</f>
        <v>0</v>
      </c>
      <c r="AD250" s="24">
        <f>IF(AF249&gt;0,MIN(ROUND(AD$6+IF(AD$5=$C250,$E$5+$E250,0),2),ROUND(AF249+AE250,2)),0)</f>
        <v>0</v>
      </c>
      <c r="AE250" s="24">
        <f>IF(AF249&gt;0,ROUND(ROUND(AF249*100,0)*ROUND(AD$7*10000,0)/12000000,0)/100,0)</f>
        <v>0</v>
      </c>
      <c r="AF250" s="24">
        <f>IF(AF249&gt;0,ROUND(AF249+AE250-AD250,2),0)</f>
        <v>0</v>
      </c>
      <c r="AG250" s="24">
        <f>IF(AI249&gt;0,MIN(ROUND(AG$6+IF(AG$5=$C250,$E$5+$E250,0),2),ROUND(AI249+AH250,2)),0)</f>
        <v>0</v>
      </c>
      <c r="AH250" s="24">
        <f>IF(AI249&gt;0,ROUND(ROUND(AI249*100,0)*ROUND(AG$7*10000,0)/12000000,0)/100,0)</f>
        <v>0</v>
      </c>
      <c r="AI250" s="24">
        <f>IF(AI249&gt;0,ROUND(AI249+AH250-AG250,2),0)</f>
        <v>0</v>
      </c>
      <c r="AJ250" s="24">
        <f>IF(AL249&gt;0,MIN(ROUND(AJ$6+IF(AJ$5=$C250,$E$5+$E250,0),2),ROUND(AL249+AK250,2)),0)</f>
        <v>0</v>
      </c>
      <c r="AK250" s="24">
        <f>IF(AL249&gt;0,ROUND(ROUND(AL249*100,0)*ROUND(AJ$7*10000,0)/12000000,0)/100,0)</f>
        <v>0</v>
      </c>
      <c r="AL250" s="24">
        <f>IF(AL249&gt;0,ROUND(AL249+AK250-AJ250,2),0)</f>
        <v>0</v>
      </c>
    </row>
    <row r="251" spans="1:38" x14ac:dyDescent="0.25">
      <c r="A251" s="17" t="str">
        <f>IF(F251&gt;0,241,"")</f>
        <v/>
      </c>
      <c r="B251" s="18" t="str">
        <f>IF(F251&gt;0,EDATE($E$6,241),"")</f>
        <v/>
      </c>
      <c r="C251" s="21">
        <f>IF(H250&gt;0,MIN(IF(K250&gt;0,I$5,99),IF(N250&gt;0,L$5,99),IF(Q250&gt;0,O$5,99),IF(T250&gt;0,R$5,99),IF(W250&gt;0,U$5,99),IF(Z250&gt;0,X$5,99),IF(AC250&gt;0,AA$5,99),IF(AF250&gt;0,AD$5,99),IF(AI250&gt;0,AG$5,99),IF(AL250&gt;0,AJ$5,99)),0)</f>
        <v>0</v>
      </c>
      <c r="D251" t="str">
        <f>IF(C251&gt;0,INDEX($I$4:$AL$4,1,MATCH(C251,$I$5:$AL$5,0)),"")</f>
        <v/>
      </c>
      <c r="E251" s="24">
        <f>ROUND(IF(AND(I$8&gt;0,K250=0),I$6,0)+IF(AND(L$8&gt;0,N250=0),L$6,0)+IF(AND(O$8&gt;0,Q250=0),O$6,0)+IF(AND(R$8&gt;0,T250=0),R$6,0)+IF(AND(U$8&gt;0,W250=0),U$6,0)+IF(AND(X$8&gt;0,Z250=0),X$6,0)+IF(AND(AA$8&gt;0,AC250=0),AA$6,0)+IF(AND(AD$8&gt;0,AF250=0),AD$6,0)+IF(AND(AG$8&gt;0,AI250=0),AG$6,0)+IF(AND(AJ$8&gt;0,AL250=0),AJ$6,0),2)</f>
        <v>330</v>
      </c>
      <c r="F251" s="24">
        <f>ROUND(I251+L251+O251+R251+U251+X251+AA251+AD251+AG251+AJ251,2)</f>
        <v>0</v>
      </c>
      <c r="G251" s="24">
        <f>ROUND(J251+M251+P251+S251+V251+Y251+AB251+AE251+AH251+AK251,2)</f>
        <v>0</v>
      </c>
      <c r="H251" s="24">
        <f>ROUND(K251+N251+Q251+T251+W251+Z251+AC251+AF251+AI251+AL251,2)</f>
        <v>0</v>
      </c>
      <c r="I251" s="24">
        <f>IF(K250&gt;0,MIN(ROUND(I$6+IF(I$5=$C251,$E$5+$E251,0),2),ROUND(K250+J251,2)),0)</f>
        <v>0</v>
      </c>
      <c r="J251" s="24">
        <f>IF(K250&gt;0,ROUND(ROUND(K250*100,0)*ROUND(I$7*10000,0)/12000000,0)/100,0)</f>
        <v>0</v>
      </c>
      <c r="K251" s="24">
        <f>IF(K250&gt;0,ROUND(K250+J251-I251,2),0)</f>
        <v>0</v>
      </c>
      <c r="L251" s="24">
        <f>IF(N250&gt;0,MIN(ROUND(L$6+IF(L$5=$C251,$E$5+$E251,0),2),ROUND(N250+M251,2)),0)</f>
        <v>0</v>
      </c>
      <c r="M251" s="24">
        <f>IF(N250&gt;0,ROUND(ROUND(N250*100,0)*ROUND(L$7*10000,0)/12000000,0)/100,0)</f>
        <v>0</v>
      </c>
      <c r="N251" s="24">
        <f>IF(N250&gt;0,ROUND(N250+M251-L251,2),0)</f>
        <v>0</v>
      </c>
      <c r="O251" s="24">
        <f>IF(Q250&gt;0,MIN(ROUND(O$6+IF(O$5=$C251,$E$5+$E251,0),2),ROUND(Q250+P251,2)),0)</f>
        <v>0</v>
      </c>
      <c r="P251" s="24">
        <f>IF(Q250&gt;0,ROUND(ROUND(Q250*100,0)*ROUND(O$7*10000,0)/12000000,0)/100,0)</f>
        <v>0</v>
      </c>
      <c r="Q251" s="24">
        <f>IF(Q250&gt;0,ROUND(Q250+P251-O251,2),0)</f>
        <v>0</v>
      </c>
      <c r="R251" s="24">
        <f>IF(T250&gt;0,MIN(ROUND(R$6+IF(R$5=$C251,$E$5+$E251,0),2),ROUND(T250+S251,2)),0)</f>
        <v>0</v>
      </c>
      <c r="S251" s="24">
        <f>IF(T250&gt;0,ROUND(ROUND(T250*100,0)*ROUND(R$7*10000,0)/12000000,0)/100,0)</f>
        <v>0</v>
      </c>
      <c r="T251" s="24">
        <f>IF(T250&gt;0,ROUND(T250+S251-R251,2),0)</f>
        <v>0</v>
      </c>
      <c r="U251" s="24">
        <f>IF(W250&gt;0,MIN(ROUND(U$6+IF(U$5=$C251,$E$5+$E251,0),2),ROUND(W250+V251,2)),0)</f>
        <v>0</v>
      </c>
      <c r="V251" s="24">
        <f>IF(W250&gt;0,ROUND(ROUND(W250*100,0)*ROUND(U$7*10000,0)/12000000,0)/100,0)</f>
        <v>0</v>
      </c>
      <c r="W251" s="24">
        <f>IF(W250&gt;0,ROUND(W250+V251-U251,2),0)</f>
        <v>0</v>
      </c>
      <c r="X251" s="24">
        <f>IF(Z250&gt;0,MIN(ROUND(X$6+IF(X$5=$C251,$E$5+$E251,0),2),ROUND(Z250+Y251,2)),0)</f>
        <v>0</v>
      </c>
      <c r="Y251" s="24">
        <f>IF(Z250&gt;0,ROUND(ROUND(Z250*100,0)*ROUND(X$7*10000,0)/12000000,0)/100,0)</f>
        <v>0</v>
      </c>
      <c r="Z251" s="24">
        <f>IF(Z250&gt;0,ROUND(Z250+Y251-X251,2),0)</f>
        <v>0</v>
      </c>
      <c r="AA251" s="24">
        <f>IF(AC250&gt;0,MIN(ROUND(AA$6+IF(AA$5=$C251,$E$5+$E251,0),2),ROUND(AC250+AB251,2)),0)</f>
        <v>0</v>
      </c>
      <c r="AB251" s="24">
        <f>IF(AC250&gt;0,ROUND(ROUND(AC250*100,0)*ROUND(AA$7*10000,0)/12000000,0)/100,0)</f>
        <v>0</v>
      </c>
      <c r="AC251" s="24">
        <f>IF(AC250&gt;0,ROUND(AC250+AB251-AA251,2),0)</f>
        <v>0</v>
      </c>
      <c r="AD251" s="24">
        <f>IF(AF250&gt;0,MIN(ROUND(AD$6+IF(AD$5=$C251,$E$5+$E251,0),2),ROUND(AF250+AE251,2)),0)</f>
        <v>0</v>
      </c>
      <c r="AE251" s="24">
        <f>IF(AF250&gt;0,ROUND(ROUND(AF250*100,0)*ROUND(AD$7*10000,0)/12000000,0)/100,0)</f>
        <v>0</v>
      </c>
      <c r="AF251" s="24">
        <f>IF(AF250&gt;0,ROUND(AF250+AE251-AD251,2),0)</f>
        <v>0</v>
      </c>
      <c r="AG251" s="24">
        <f>IF(AI250&gt;0,MIN(ROUND(AG$6+IF(AG$5=$C251,$E$5+$E251,0),2),ROUND(AI250+AH251,2)),0)</f>
        <v>0</v>
      </c>
      <c r="AH251" s="24">
        <f>IF(AI250&gt;0,ROUND(ROUND(AI250*100,0)*ROUND(AG$7*10000,0)/12000000,0)/100,0)</f>
        <v>0</v>
      </c>
      <c r="AI251" s="24">
        <f>IF(AI250&gt;0,ROUND(AI250+AH251-AG251,2),0)</f>
        <v>0</v>
      </c>
      <c r="AJ251" s="24">
        <f>IF(AL250&gt;0,MIN(ROUND(AJ$6+IF(AJ$5=$C251,$E$5+$E251,0),2),ROUND(AL250+AK251,2)),0)</f>
        <v>0</v>
      </c>
      <c r="AK251" s="24">
        <f>IF(AL250&gt;0,ROUND(ROUND(AL250*100,0)*ROUND(AJ$7*10000,0)/12000000,0)/100,0)</f>
        <v>0</v>
      </c>
      <c r="AL251" s="24">
        <f>IF(AL250&gt;0,ROUND(AL250+AK251-AJ251,2),0)</f>
        <v>0</v>
      </c>
    </row>
    <row r="252" spans="1:38" x14ac:dyDescent="0.25">
      <c r="A252" s="17" t="str">
        <f>IF(F252&gt;0,242,"")</f>
        <v/>
      </c>
      <c r="B252" s="18" t="str">
        <f>IF(F252&gt;0,EDATE($E$6,242),"")</f>
        <v/>
      </c>
      <c r="C252" s="21">
        <f>IF(H251&gt;0,MIN(IF(K251&gt;0,I$5,99),IF(N251&gt;0,L$5,99),IF(Q251&gt;0,O$5,99),IF(T251&gt;0,R$5,99),IF(W251&gt;0,U$5,99),IF(Z251&gt;0,X$5,99),IF(AC251&gt;0,AA$5,99),IF(AF251&gt;0,AD$5,99),IF(AI251&gt;0,AG$5,99),IF(AL251&gt;0,AJ$5,99)),0)</f>
        <v>0</v>
      </c>
      <c r="D252" t="str">
        <f>IF(C252&gt;0,INDEX($I$4:$AL$4,1,MATCH(C252,$I$5:$AL$5,0)),"")</f>
        <v/>
      </c>
      <c r="E252" s="24">
        <f>ROUND(IF(AND(I$8&gt;0,K251=0),I$6,0)+IF(AND(L$8&gt;0,N251=0),L$6,0)+IF(AND(O$8&gt;0,Q251=0),O$6,0)+IF(AND(R$8&gt;0,T251=0),R$6,0)+IF(AND(U$8&gt;0,W251=0),U$6,0)+IF(AND(X$8&gt;0,Z251=0),X$6,0)+IF(AND(AA$8&gt;0,AC251=0),AA$6,0)+IF(AND(AD$8&gt;0,AF251=0),AD$6,0)+IF(AND(AG$8&gt;0,AI251=0),AG$6,0)+IF(AND(AJ$8&gt;0,AL251=0),AJ$6,0),2)</f>
        <v>330</v>
      </c>
      <c r="F252" s="24">
        <f>ROUND(I252+L252+O252+R252+U252+X252+AA252+AD252+AG252+AJ252,2)</f>
        <v>0</v>
      </c>
      <c r="G252" s="24">
        <f>ROUND(J252+M252+P252+S252+V252+Y252+AB252+AE252+AH252+AK252,2)</f>
        <v>0</v>
      </c>
      <c r="H252" s="24">
        <f>ROUND(K252+N252+Q252+T252+W252+Z252+AC252+AF252+AI252+AL252,2)</f>
        <v>0</v>
      </c>
      <c r="I252" s="24">
        <f>IF(K251&gt;0,MIN(ROUND(I$6+IF(I$5=$C252,$E$5+$E252,0),2),ROUND(K251+J252,2)),0)</f>
        <v>0</v>
      </c>
      <c r="J252" s="24">
        <f>IF(K251&gt;0,ROUND(ROUND(K251*100,0)*ROUND(I$7*10000,0)/12000000,0)/100,0)</f>
        <v>0</v>
      </c>
      <c r="K252" s="24">
        <f>IF(K251&gt;0,ROUND(K251+J252-I252,2),0)</f>
        <v>0</v>
      </c>
      <c r="L252" s="24">
        <f>IF(N251&gt;0,MIN(ROUND(L$6+IF(L$5=$C252,$E$5+$E252,0),2),ROUND(N251+M252,2)),0)</f>
        <v>0</v>
      </c>
      <c r="M252" s="24">
        <f>IF(N251&gt;0,ROUND(ROUND(N251*100,0)*ROUND(L$7*10000,0)/12000000,0)/100,0)</f>
        <v>0</v>
      </c>
      <c r="N252" s="24">
        <f>IF(N251&gt;0,ROUND(N251+M252-L252,2),0)</f>
        <v>0</v>
      </c>
      <c r="O252" s="24">
        <f>IF(Q251&gt;0,MIN(ROUND(O$6+IF(O$5=$C252,$E$5+$E252,0),2),ROUND(Q251+P252,2)),0)</f>
        <v>0</v>
      </c>
      <c r="P252" s="24">
        <f>IF(Q251&gt;0,ROUND(ROUND(Q251*100,0)*ROUND(O$7*10000,0)/12000000,0)/100,0)</f>
        <v>0</v>
      </c>
      <c r="Q252" s="24">
        <f>IF(Q251&gt;0,ROUND(Q251+P252-O252,2),0)</f>
        <v>0</v>
      </c>
      <c r="R252" s="24">
        <f>IF(T251&gt;0,MIN(ROUND(R$6+IF(R$5=$C252,$E$5+$E252,0),2),ROUND(T251+S252,2)),0)</f>
        <v>0</v>
      </c>
      <c r="S252" s="24">
        <f>IF(T251&gt;0,ROUND(ROUND(T251*100,0)*ROUND(R$7*10000,0)/12000000,0)/100,0)</f>
        <v>0</v>
      </c>
      <c r="T252" s="24">
        <f>IF(T251&gt;0,ROUND(T251+S252-R252,2),0)</f>
        <v>0</v>
      </c>
      <c r="U252" s="24">
        <f>IF(W251&gt;0,MIN(ROUND(U$6+IF(U$5=$C252,$E$5+$E252,0),2),ROUND(W251+V252,2)),0)</f>
        <v>0</v>
      </c>
      <c r="V252" s="24">
        <f>IF(W251&gt;0,ROUND(ROUND(W251*100,0)*ROUND(U$7*10000,0)/12000000,0)/100,0)</f>
        <v>0</v>
      </c>
      <c r="W252" s="24">
        <f>IF(W251&gt;0,ROUND(W251+V252-U252,2),0)</f>
        <v>0</v>
      </c>
      <c r="X252" s="24">
        <f>IF(Z251&gt;0,MIN(ROUND(X$6+IF(X$5=$C252,$E$5+$E252,0),2),ROUND(Z251+Y252,2)),0)</f>
        <v>0</v>
      </c>
      <c r="Y252" s="24">
        <f>IF(Z251&gt;0,ROUND(ROUND(Z251*100,0)*ROUND(X$7*10000,0)/12000000,0)/100,0)</f>
        <v>0</v>
      </c>
      <c r="Z252" s="24">
        <f>IF(Z251&gt;0,ROUND(Z251+Y252-X252,2),0)</f>
        <v>0</v>
      </c>
      <c r="AA252" s="24">
        <f>IF(AC251&gt;0,MIN(ROUND(AA$6+IF(AA$5=$C252,$E$5+$E252,0),2),ROUND(AC251+AB252,2)),0)</f>
        <v>0</v>
      </c>
      <c r="AB252" s="24">
        <f>IF(AC251&gt;0,ROUND(ROUND(AC251*100,0)*ROUND(AA$7*10000,0)/12000000,0)/100,0)</f>
        <v>0</v>
      </c>
      <c r="AC252" s="24">
        <f>IF(AC251&gt;0,ROUND(AC251+AB252-AA252,2),0)</f>
        <v>0</v>
      </c>
      <c r="AD252" s="24">
        <f>IF(AF251&gt;0,MIN(ROUND(AD$6+IF(AD$5=$C252,$E$5+$E252,0),2),ROUND(AF251+AE252,2)),0)</f>
        <v>0</v>
      </c>
      <c r="AE252" s="24">
        <f>IF(AF251&gt;0,ROUND(ROUND(AF251*100,0)*ROUND(AD$7*10000,0)/12000000,0)/100,0)</f>
        <v>0</v>
      </c>
      <c r="AF252" s="24">
        <f>IF(AF251&gt;0,ROUND(AF251+AE252-AD252,2),0)</f>
        <v>0</v>
      </c>
      <c r="AG252" s="24">
        <f>IF(AI251&gt;0,MIN(ROUND(AG$6+IF(AG$5=$C252,$E$5+$E252,0),2),ROUND(AI251+AH252,2)),0)</f>
        <v>0</v>
      </c>
      <c r="AH252" s="24">
        <f>IF(AI251&gt;0,ROUND(ROUND(AI251*100,0)*ROUND(AG$7*10000,0)/12000000,0)/100,0)</f>
        <v>0</v>
      </c>
      <c r="AI252" s="24">
        <f>IF(AI251&gt;0,ROUND(AI251+AH252-AG252,2),0)</f>
        <v>0</v>
      </c>
      <c r="AJ252" s="24">
        <f>IF(AL251&gt;0,MIN(ROUND(AJ$6+IF(AJ$5=$C252,$E$5+$E252,0),2),ROUND(AL251+AK252,2)),0)</f>
        <v>0</v>
      </c>
      <c r="AK252" s="24">
        <f>IF(AL251&gt;0,ROUND(ROUND(AL251*100,0)*ROUND(AJ$7*10000,0)/12000000,0)/100,0)</f>
        <v>0</v>
      </c>
      <c r="AL252" s="24">
        <f>IF(AL251&gt;0,ROUND(AL251+AK252-AJ252,2),0)</f>
        <v>0</v>
      </c>
    </row>
    <row r="253" spans="1:38" x14ac:dyDescent="0.25">
      <c r="A253" s="17" t="str">
        <f>IF(F253&gt;0,243,"")</f>
        <v/>
      </c>
      <c r="B253" s="18" t="str">
        <f>IF(F253&gt;0,EDATE($E$6,243),"")</f>
        <v/>
      </c>
      <c r="C253" s="21">
        <f>IF(H252&gt;0,MIN(IF(K252&gt;0,I$5,99),IF(N252&gt;0,L$5,99),IF(Q252&gt;0,O$5,99),IF(T252&gt;0,R$5,99),IF(W252&gt;0,U$5,99),IF(Z252&gt;0,X$5,99),IF(AC252&gt;0,AA$5,99),IF(AF252&gt;0,AD$5,99),IF(AI252&gt;0,AG$5,99),IF(AL252&gt;0,AJ$5,99)),0)</f>
        <v>0</v>
      </c>
      <c r="D253" t="str">
        <f>IF(C253&gt;0,INDEX($I$4:$AL$4,1,MATCH(C253,$I$5:$AL$5,0)),"")</f>
        <v/>
      </c>
      <c r="E253" s="24">
        <f>ROUND(IF(AND(I$8&gt;0,K252=0),I$6,0)+IF(AND(L$8&gt;0,N252=0),L$6,0)+IF(AND(O$8&gt;0,Q252=0),O$6,0)+IF(AND(R$8&gt;0,T252=0),R$6,0)+IF(AND(U$8&gt;0,W252=0),U$6,0)+IF(AND(X$8&gt;0,Z252=0),X$6,0)+IF(AND(AA$8&gt;0,AC252=0),AA$6,0)+IF(AND(AD$8&gt;0,AF252=0),AD$6,0)+IF(AND(AG$8&gt;0,AI252=0),AG$6,0)+IF(AND(AJ$8&gt;0,AL252=0),AJ$6,0),2)</f>
        <v>330</v>
      </c>
      <c r="F253" s="24">
        <f>ROUND(I253+L253+O253+R253+U253+X253+AA253+AD253+AG253+AJ253,2)</f>
        <v>0</v>
      </c>
      <c r="G253" s="24">
        <f>ROUND(J253+M253+P253+S253+V253+Y253+AB253+AE253+AH253+AK253,2)</f>
        <v>0</v>
      </c>
      <c r="H253" s="24">
        <f>ROUND(K253+N253+Q253+T253+W253+Z253+AC253+AF253+AI253+AL253,2)</f>
        <v>0</v>
      </c>
      <c r="I253" s="24">
        <f>IF(K252&gt;0,MIN(ROUND(I$6+IF(I$5=$C253,$E$5+$E253,0),2),ROUND(K252+J253,2)),0)</f>
        <v>0</v>
      </c>
      <c r="J253" s="24">
        <f>IF(K252&gt;0,ROUND(ROUND(K252*100,0)*ROUND(I$7*10000,0)/12000000,0)/100,0)</f>
        <v>0</v>
      </c>
      <c r="K253" s="24">
        <f>IF(K252&gt;0,ROUND(K252+J253-I253,2),0)</f>
        <v>0</v>
      </c>
      <c r="L253" s="24">
        <f>IF(N252&gt;0,MIN(ROUND(L$6+IF(L$5=$C253,$E$5+$E253,0),2),ROUND(N252+M253,2)),0)</f>
        <v>0</v>
      </c>
      <c r="M253" s="24">
        <f>IF(N252&gt;0,ROUND(ROUND(N252*100,0)*ROUND(L$7*10000,0)/12000000,0)/100,0)</f>
        <v>0</v>
      </c>
      <c r="N253" s="24">
        <f>IF(N252&gt;0,ROUND(N252+M253-L253,2),0)</f>
        <v>0</v>
      </c>
      <c r="O253" s="24">
        <f>IF(Q252&gt;0,MIN(ROUND(O$6+IF(O$5=$C253,$E$5+$E253,0),2),ROUND(Q252+P253,2)),0)</f>
        <v>0</v>
      </c>
      <c r="P253" s="24">
        <f>IF(Q252&gt;0,ROUND(ROUND(Q252*100,0)*ROUND(O$7*10000,0)/12000000,0)/100,0)</f>
        <v>0</v>
      </c>
      <c r="Q253" s="24">
        <f>IF(Q252&gt;0,ROUND(Q252+P253-O253,2),0)</f>
        <v>0</v>
      </c>
      <c r="R253" s="24">
        <f>IF(T252&gt;0,MIN(ROUND(R$6+IF(R$5=$C253,$E$5+$E253,0),2),ROUND(T252+S253,2)),0)</f>
        <v>0</v>
      </c>
      <c r="S253" s="24">
        <f>IF(T252&gt;0,ROUND(ROUND(T252*100,0)*ROUND(R$7*10000,0)/12000000,0)/100,0)</f>
        <v>0</v>
      </c>
      <c r="T253" s="24">
        <f>IF(T252&gt;0,ROUND(T252+S253-R253,2),0)</f>
        <v>0</v>
      </c>
      <c r="U253" s="24">
        <f>IF(W252&gt;0,MIN(ROUND(U$6+IF(U$5=$C253,$E$5+$E253,0),2),ROUND(W252+V253,2)),0)</f>
        <v>0</v>
      </c>
      <c r="V253" s="24">
        <f>IF(W252&gt;0,ROUND(ROUND(W252*100,0)*ROUND(U$7*10000,0)/12000000,0)/100,0)</f>
        <v>0</v>
      </c>
      <c r="W253" s="24">
        <f>IF(W252&gt;0,ROUND(W252+V253-U253,2),0)</f>
        <v>0</v>
      </c>
      <c r="X253" s="24">
        <f>IF(Z252&gt;0,MIN(ROUND(X$6+IF(X$5=$C253,$E$5+$E253,0),2),ROUND(Z252+Y253,2)),0)</f>
        <v>0</v>
      </c>
      <c r="Y253" s="24">
        <f>IF(Z252&gt;0,ROUND(ROUND(Z252*100,0)*ROUND(X$7*10000,0)/12000000,0)/100,0)</f>
        <v>0</v>
      </c>
      <c r="Z253" s="24">
        <f>IF(Z252&gt;0,ROUND(Z252+Y253-X253,2),0)</f>
        <v>0</v>
      </c>
      <c r="AA253" s="24">
        <f>IF(AC252&gt;0,MIN(ROUND(AA$6+IF(AA$5=$C253,$E$5+$E253,0),2),ROUND(AC252+AB253,2)),0)</f>
        <v>0</v>
      </c>
      <c r="AB253" s="24">
        <f>IF(AC252&gt;0,ROUND(ROUND(AC252*100,0)*ROUND(AA$7*10000,0)/12000000,0)/100,0)</f>
        <v>0</v>
      </c>
      <c r="AC253" s="24">
        <f>IF(AC252&gt;0,ROUND(AC252+AB253-AA253,2),0)</f>
        <v>0</v>
      </c>
      <c r="AD253" s="24">
        <f>IF(AF252&gt;0,MIN(ROUND(AD$6+IF(AD$5=$C253,$E$5+$E253,0),2),ROUND(AF252+AE253,2)),0)</f>
        <v>0</v>
      </c>
      <c r="AE253" s="24">
        <f>IF(AF252&gt;0,ROUND(ROUND(AF252*100,0)*ROUND(AD$7*10000,0)/12000000,0)/100,0)</f>
        <v>0</v>
      </c>
      <c r="AF253" s="24">
        <f>IF(AF252&gt;0,ROUND(AF252+AE253-AD253,2),0)</f>
        <v>0</v>
      </c>
      <c r="AG253" s="24">
        <f>IF(AI252&gt;0,MIN(ROUND(AG$6+IF(AG$5=$C253,$E$5+$E253,0),2),ROUND(AI252+AH253,2)),0)</f>
        <v>0</v>
      </c>
      <c r="AH253" s="24">
        <f>IF(AI252&gt;0,ROUND(ROUND(AI252*100,0)*ROUND(AG$7*10000,0)/12000000,0)/100,0)</f>
        <v>0</v>
      </c>
      <c r="AI253" s="24">
        <f>IF(AI252&gt;0,ROUND(AI252+AH253-AG253,2),0)</f>
        <v>0</v>
      </c>
      <c r="AJ253" s="24">
        <f>IF(AL252&gt;0,MIN(ROUND(AJ$6+IF(AJ$5=$C253,$E$5+$E253,0),2),ROUND(AL252+AK253,2)),0)</f>
        <v>0</v>
      </c>
      <c r="AK253" s="24">
        <f>IF(AL252&gt;0,ROUND(ROUND(AL252*100,0)*ROUND(AJ$7*10000,0)/12000000,0)/100,0)</f>
        <v>0</v>
      </c>
      <c r="AL253" s="24">
        <f>IF(AL252&gt;0,ROUND(AL252+AK253-AJ253,2),0)</f>
        <v>0</v>
      </c>
    </row>
    <row r="254" spans="1:38" x14ac:dyDescent="0.25">
      <c r="A254" s="17" t="str">
        <f>IF(F254&gt;0,244,"")</f>
        <v/>
      </c>
      <c r="B254" s="18" t="str">
        <f>IF(F254&gt;0,EDATE($E$6,244),"")</f>
        <v/>
      </c>
      <c r="C254" s="21">
        <f>IF(H253&gt;0,MIN(IF(K253&gt;0,I$5,99),IF(N253&gt;0,L$5,99),IF(Q253&gt;0,O$5,99),IF(T253&gt;0,R$5,99),IF(W253&gt;0,U$5,99),IF(Z253&gt;0,X$5,99),IF(AC253&gt;0,AA$5,99),IF(AF253&gt;0,AD$5,99),IF(AI253&gt;0,AG$5,99),IF(AL253&gt;0,AJ$5,99)),0)</f>
        <v>0</v>
      </c>
      <c r="D254" t="str">
        <f>IF(C254&gt;0,INDEX($I$4:$AL$4,1,MATCH(C254,$I$5:$AL$5,0)),"")</f>
        <v/>
      </c>
      <c r="E254" s="24">
        <f>ROUND(IF(AND(I$8&gt;0,K253=0),I$6,0)+IF(AND(L$8&gt;0,N253=0),L$6,0)+IF(AND(O$8&gt;0,Q253=0),O$6,0)+IF(AND(R$8&gt;0,T253=0),R$6,0)+IF(AND(U$8&gt;0,W253=0),U$6,0)+IF(AND(X$8&gt;0,Z253=0),X$6,0)+IF(AND(AA$8&gt;0,AC253=0),AA$6,0)+IF(AND(AD$8&gt;0,AF253=0),AD$6,0)+IF(AND(AG$8&gt;0,AI253=0),AG$6,0)+IF(AND(AJ$8&gt;0,AL253=0),AJ$6,0),2)</f>
        <v>330</v>
      </c>
      <c r="F254" s="24">
        <f>ROUND(I254+L254+O254+R254+U254+X254+AA254+AD254+AG254+AJ254,2)</f>
        <v>0</v>
      </c>
      <c r="G254" s="24">
        <f>ROUND(J254+M254+P254+S254+V254+Y254+AB254+AE254+AH254+AK254,2)</f>
        <v>0</v>
      </c>
      <c r="H254" s="24">
        <f>ROUND(K254+N254+Q254+T254+W254+Z254+AC254+AF254+AI254+AL254,2)</f>
        <v>0</v>
      </c>
      <c r="I254" s="24">
        <f>IF(K253&gt;0,MIN(ROUND(I$6+IF(I$5=$C254,$E$5+$E254,0),2),ROUND(K253+J254,2)),0)</f>
        <v>0</v>
      </c>
      <c r="J254" s="24">
        <f>IF(K253&gt;0,ROUND(ROUND(K253*100,0)*ROUND(I$7*10000,0)/12000000,0)/100,0)</f>
        <v>0</v>
      </c>
      <c r="K254" s="24">
        <f>IF(K253&gt;0,ROUND(K253+J254-I254,2),0)</f>
        <v>0</v>
      </c>
      <c r="L254" s="24">
        <f>IF(N253&gt;0,MIN(ROUND(L$6+IF(L$5=$C254,$E$5+$E254,0),2),ROUND(N253+M254,2)),0)</f>
        <v>0</v>
      </c>
      <c r="M254" s="24">
        <f>IF(N253&gt;0,ROUND(ROUND(N253*100,0)*ROUND(L$7*10000,0)/12000000,0)/100,0)</f>
        <v>0</v>
      </c>
      <c r="N254" s="24">
        <f>IF(N253&gt;0,ROUND(N253+M254-L254,2),0)</f>
        <v>0</v>
      </c>
      <c r="O254" s="24">
        <f>IF(Q253&gt;0,MIN(ROUND(O$6+IF(O$5=$C254,$E$5+$E254,0),2),ROUND(Q253+P254,2)),0)</f>
        <v>0</v>
      </c>
      <c r="P254" s="24">
        <f>IF(Q253&gt;0,ROUND(ROUND(Q253*100,0)*ROUND(O$7*10000,0)/12000000,0)/100,0)</f>
        <v>0</v>
      </c>
      <c r="Q254" s="24">
        <f>IF(Q253&gt;0,ROUND(Q253+P254-O254,2),0)</f>
        <v>0</v>
      </c>
      <c r="R254" s="24">
        <f>IF(T253&gt;0,MIN(ROUND(R$6+IF(R$5=$C254,$E$5+$E254,0),2),ROUND(T253+S254,2)),0)</f>
        <v>0</v>
      </c>
      <c r="S254" s="24">
        <f>IF(T253&gt;0,ROUND(ROUND(T253*100,0)*ROUND(R$7*10000,0)/12000000,0)/100,0)</f>
        <v>0</v>
      </c>
      <c r="T254" s="24">
        <f>IF(T253&gt;0,ROUND(T253+S254-R254,2),0)</f>
        <v>0</v>
      </c>
      <c r="U254" s="24">
        <f>IF(W253&gt;0,MIN(ROUND(U$6+IF(U$5=$C254,$E$5+$E254,0),2),ROUND(W253+V254,2)),0)</f>
        <v>0</v>
      </c>
      <c r="V254" s="24">
        <f>IF(W253&gt;0,ROUND(ROUND(W253*100,0)*ROUND(U$7*10000,0)/12000000,0)/100,0)</f>
        <v>0</v>
      </c>
      <c r="W254" s="24">
        <f>IF(W253&gt;0,ROUND(W253+V254-U254,2),0)</f>
        <v>0</v>
      </c>
      <c r="X254" s="24">
        <f>IF(Z253&gt;0,MIN(ROUND(X$6+IF(X$5=$C254,$E$5+$E254,0),2),ROUND(Z253+Y254,2)),0)</f>
        <v>0</v>
      </c>
      <c r="Y254" s="24">
        <f>IF(Z253&gt;0,ROUND(ROUND(Z253*100,0)*ROUND(X$7*10000,0)/12000000,0)/100,0)</f>
        <v>0</v>
      </c>
      <c r="Z254" s="24">
        <f>IF(Z253&gt;0,ROUND(Z253+Y254-X254,2),0)</f>
        <v>0</v>
      </c>
      <c r="AA254" s="24">
        <f>IF(AC253&gt;0,MIN(ROUND(AA$6+IF(AA$5=$C254,$E$5+$E254,0),2),ROUND(AC253+AB254,2)),0)</f>
        <v>0</v>
      </c>
      <c r="AB254" s="24">
        <f>IF(AC253&gt;0,ROUND(ROUND(AC253*100,0)*ROUND(AA$7*10000,0)/12000000,0)/100,0)</f>
        <v>0</v>
      </c>
      <c r="AC254" s="24">
        <f>IF(AC253&gt;0,ROUND(AC253+AB254-AA254,2),0)</f>
        <v>0</v>
      </c>
      <c r="AD254" s="24">
        <f>IF(AF253&gt;0,MIN(ROUND(AD$6+IF(AD$5=$C254,$E$5+$E254,0),2),ROUND(AF253+AE254,2)),0)</f>
        <v>0</v>
      </c>
      <c r="AE254" s="24">
        <f>IF(AF253&gt;0,ROUND(ROUND(AF253*100,0)*ROUND(AD$7*10000,0)/12000000,0)/100,0)</f>
        <v>0</v>
      </c>
      <c r="AF254" s="24">
        <f>IF(AF253&gt;0,ROUND(AF253+AE254-AD254,2),0)</f>
        <v>0</v>
      </c>
      <c r="AG254" s="24">
        <f>IF(AI253&gt;0,MIN(ROUND(AG$6+IF(AG$5=$C254,$E$5+$E254,0),2),ROUND(AI253+AH254,2)),0)</f>
        <v>0</v>
      </c>
      <c r="AH254" s="24">
        <f>IF(AI253&gt;0,ROUND(ROUND(AI253*100,0)*ROUND(AG$7*10000,0)/12000000,0)/100,0)</f>
        <v>0</v>
      </c>
      <c r="AI254" s="24">
        <f>IF(AI253&gt;0,ROUND(AI253+AH254-AG254,2),0)</f>
        <v>0</v>
      </c>
      <c r="AJ254" s="24">
        <f>IF(AL253&gt;0,MIN(ROUND(AJ$6+IF(AJ$5=$C254,$E$5+$E254,0),2),ROUND(AL253+AK254,2)),0)</f>
        <v>0</v>
      </c>
      <c r="AK254" s="24">
        <f>IF(AL253&gt;0,ROUND(ROUND(AL253*100,0)*ROUND(AJ$7*10000,0)/12000000,0)/100,0)</f>
        <v>0</v>
      </c>
      <c r="AL254" s="24">
        <f>IF(AL253&gt;0,ROUND(AL253+AK254-AJ254,2),0)</f>
        <v>0</v>
      </c>
    </row>
    <row r="255" spans="1:38" x14ac:dyDescent="0.25">
      <c r="A255" s="17" t="str">
        <f>IF(F255&gt;0,245,"")</f>
        <v/>
      </c>
      <c r="B255" s="18" t="str">
        <f>IF(F255&gt;0,EDATE($E$6,245),"")</f>
        <v/>
      </c>
      <c r="C255" s="21">
        <f>IF(H254&gt;0,MIN(IF(K254&gt;0,I$5,99),IF(N254&gt;0,L$5,99),IF(Q254&gt;0,O$5,99),IF(T254&gt;0,R$5,99),IF(W254&gt;0,U$5,99),IF(Z254&gt;0,X$5,99),IF(AC254&gt;0,AA$5,99),IF(AF254&gt;0,AD$5,99),IF(AI254&gt;0,AG$5,99),IF(AL254&gt;0,AJ$5,99)),0)</f>
        <v>0</v>
      </c>
      <c r="D255" t="str">
        <f>IF(C255&gt;0,INDEX($I$4:$AL$4,1,MATCH(C255,$I$5:$AL$5,0)),"")</f>
        <v/>
      </c>
      <c r="E255" s="24">
        <f>ROUND(IF(AND(I$8&gt;0,K254=0),I$6,0)+IF(AND(L$8&gt;0,N254=0),L$6,0)+IF(AND(O$8&gt;0,Q254=0),O$6,0)+IF(AND(R$8&gt;0,T254=0),R$6,0)+IF(AND(U$8&gt;0,W254=0),U$6,0)+IF(AND(X$8&gt;0,Z254=0),X$6,0)+IF(AND(AA$8&gt;0,AC254=0),AA$6,0)+IF(AND(AD$8&gt;0,AF254=0),AD$6,0)+IF(AND(AG$8&gt;0,AI254=0),AG$6,0)+IF(AND(AJ$8&gt;0,AL254=0),AJ$6,0),2)</f>
        <v>330</v>
      </c>
      <c r="F255" s="24">
        <f>ROUND(I255+L255+O255+R255+U255+X255+AA255+AD255+AG255+AJ255,2)</f>
        <v>0</v>
      </c>
      <c r="G255" s="24">
        <f>ROUND(J255+M255+P255+S255+V255+Y255+AB255+AE255+AH255+AK255,2)</f>
        <v>0</v>
      </c>
      <c r="H255" s="24">
        <f>ROUND(K255+N255+Q255+T255+W255+Z255+AC255+AF255+AI255+AL255,2)</f>
        <v>0</v>
      </c>
      <c r="I255" s="24">
        <f>IF(K254&gt;0,MIN(ROUND(I$6+IF(I$5=$C255,$E$5+$E255,0),2),ROUND(K254+J255,2)),0)</f>
        <v>0</v>
      </c>
      <c r="J255" s="24">
        <f>IF(K254&gt;0,ROUND(ROUND(K254*100,0)*ROUND(I$7*10000,0)/12000000,0)/100,0)</f>
        <v>0</v>
      </c>
      <c r="K255" s="24">
        <f>IF(K254&gt;0,ROUND(K254+J255-I255,2),0)</f>
        <v>0</v>
      </c>
      <c r="L255" s="24">
        <f>IF(N254&gt;0,MIN(ROUND(L$6+IF(L$5=$C255,$E$5+$E255,0),2),ROUND(N254+M255,2)),0)</f>
        <v>0</v>
      </c>
      <c r="M255" s="24">
        <f>IF(N254&gt;0,ROUND(ROUND(N254*100,0)*ROUND(L$7*10000,0)/12000000,0)/100,0)</f>
        <v>0</v>
      </c>
      <c r="N255" s="24">
        <f>IF(N254&gt;0,ROUND(N254+M255-L255,2),0)</f>
        <v>0</v>
      </c>
      <c r="O255" s="24">
        <f>IF(Q254&gt;0,MIN(ROUND(O$6+IF(O$5=$C255,$E$5+$E255,0),2),ROUND(Q254+P255,2)),0)</f>
        <v>0</v>
      </c>
      <c r="P255" s="24">
        <f>IF(Q254&gt;0,ROUND(ROUND(Q254*100,0)*ROUND(O$7*10000,0)/12000000,0)/100,0)</f>
        <v>0</v>
      </c>
      <c r="Q255" s="24">
        <f>IF(Q254&gt;0,ROUND(Q254+P255-O255,2),0)</f>
        <v>0</v>
      </c>
      <c r="R255" s="24">
        <f>IF(T254&gt;0,MIN(ROUND(R$6+IF(R$5=$C255,$E$5+$E255,0),2),ROUND(T254+S255,2)),0)</f>
        <v>0</v>
      </c>
      <c r="S255" s="24">
        <f>IF(T254&gt;0,ROUND(ROUND(T254*100,0)*ROUND(R$7*10000,0)/12000000,0)/100,0)</f>
        <v>0</v>
      </c>
      <c r="T255" s="24">
        <f>IF(T254&gt;0,ROUND(T254+S255-R255,2),0)</f>
        <v>0</v>
      </c>
      <c r="U255" s="24">
        <f>IF(W254&gt;0,MIN(ROUND(U$6+IF(U$5=$C255,$E$5+$E255,0),2),ROUND(W254+V255,2)),0)</f>
        <v>0</v>
      </c>
      <c r="V255" s="24">
        <f>IF(W254&gt;0,ROUND(ROUND(W254*100,0)*ROUND(U$7*10000,0)/12000000,0)/100,0)</f>
        <v>0</v>
      </c>
      <c r="W255" s="24">
        <f>IF(W254&gt;0,ROUND(W254+V255-U255,2),0)</f>
        <v>0</v>
      </c>
      <c r="X255" s="24">
        <f>IF(Z254&gt;0,MIN(ROUND(X$6+IF(X$5=$C255,$E$5+$E255,0),2),ROUND(Z254+Y255,2)),0)</f>
        <v>0</v>
      </c>
      <c r="Y255" s="24">
        <f>IF(Z254&gt;0,ROUND(ROUND(Z254*100,0)*ROUND(X$7*10000,0)/12000000,0)/100,0)</f>
        <v>0</v>
      </c>
      <c r="Z255" s="24">
        <f>IF(Z254&gt;0,ROUND(Z254+Y255-X255,2),0)</f>
        <v>0</v>
      </c>
      <c r="AA255" s="24">
        <f>IF(AC254&gt;0,MIN(ROUND(AA$6+IF(AA$5=$C255,$E$5+$E255,0),2),ROUND(AC254+AB255,2)),0)</f>
        <v>0</v>
      </c>
      <c r="AB255" s="24">
        <f>IF(AC254&gt;0,ROUND(ROUND(AC254*100,0)*ROUND(AA$7*10000,0)/12000000,0)/100,0)</f>
        <v>0</v>
      </c>
      <c r="AC255" s="24">
        <f>IF(AC254&gt;0,ROUND(AC254+AB255-AA255,2),0)</f>
        <v>0</v>
      </c>
      <c r="AD255" s="24">
        <f>IF(AF254&gt;0,MIN(ROUND(AD$6+IF(AD$5=$C255,$E$5+$E255,0),2),ROUND(AF254+AE255,2)),0)</f>
        <v>0</v>
      </c>
      <c r="AE255" s="24">
        <f>IF(AF254&gt;0,ROUND(ROUND(AF254*100,0)*ROUND(AD$7*10000,0)/12000000,0)/100,0)</f>
        <v>0</v>
      </c>
      <c r="AF255" s="24">
        <f>IF(AF254&gt;0,ROUND(AF254+AE255-AD255,2),0)</f>
        <v>0</v>
      </c>
      <c r="AG255" s="24">
        <f>IF(AI254&gt;0,MIN(ROUND(AG$6+IF(AG$5=$C255,$E$5+$E255,0),2),ROUND(AI254+AH255,2)),0)</f>
        <v>0</v>
      </c>
      <c r="AH255" s="24">
        <f>IF(AI254&gt;0,ROUND(ROUND(AI254*100,0)*ROUND(AG$7*10000,0)/12000000,0)/100,0)</f>
        <v>0</v>
      </c>
      <c r="AI255" s="24">
        <f>IF(AI254&gt;0,ROUND(AI254+AH255-AG255,2),0)</f>
        <v>0</v>
      </c>
      <c r="AJ255" s="24">
        <f>IF(AL254&gt;0,MIN(ROUND(AJ$6+IF(AJ$5=$C255,$E$5+$E255,0),2),ROUND(AL254+AK255,2)),0)</f>
        <v>0</v>
      </c>
      <c r="AK255" s="24">
        <f>IF(AL254&gt;0,ROUND(ROUND(AL254*100,0)*ROUND(AJ$7*10000,0)/12000000,0)/100,0)</f>
        <v>0</v>
      </c>
      <c r="AL255" s="24">
        <f>IF(AL254&gt;0,ROUND(AL254+AK255-AJ255,2),0)</f>
        <v>0</v>
      </c>
    </row>
    <row r="256" spans="1:38" x14ac:dyDescent="0.25">
      <c r="A256" s="17" t="str">
        <f>IF(F256&gt;0,246,"")</f>
        <v/>
      </c>
      <c r="B256" s="18" t="str">
        <f>IF(F256&gt;0,EDATE($E$6,246),"")</f>
        <v/>
      </c>
      <c r="C256" s="21">
        <f>IF(H255&gt;0,MIN(IF(K255&gt;0,I$5,99),IF(N255&gt;0,L$5,99),IF(Q255&gt;0,O$5,99),IF(T255&gt;0,R$5,99),IF(W255&gt;0,U$5,99),IF(Z255&gt;0,X$5,99),IF(AC255&gt;0,AA$5,99),IF(AF255&gt;0,AD$5,99),IF(AI255&gt;0,AG$5,99),IF(AL255&gt;0,AJ$5,99)),0)</f>
        <v>0</v>
      </c>
      <c r="D256" t="str">
        <f>IF(C256&gt;0,INDEX($I$4:$AL$4,1,MATCH(C256,$I$5:$AL$5,0)),"")</f>
        <v/>
      </c>
      <c r="E256" s="24">
        <f>ROUND(IF(AND(I$8&gt;0,K255=0),I$6,0)+IF(AND(L$8&gt;0,N255=0),L$6,0)+IF(AND(O$8&gt;0,Q255=0),O$6,0)+IF(AND(R$8&gt;0,T255=0),R$6,0)+IF(AND(U$8&gt;0,W255=0),U$6,0)+IF(AND(X$8&gt;0,Z255=0),X$6,0)+IF(AND(AA$8&gt;0,AC255=0),AA$6,0)+IF(AND(AD$8&gt;0,AF255=0),AD$6,0)+IF(AND(AG$8&gt;0,AI255=0),AG$6,0)+IF(AND(AJ$8&gt;0,AL255=0),AJ$6,0),2)</f>
        <v>330</v>
      </c>
      <c r="F256" s="24">
        <f>ROUND(I256+L256+O256+R256+U256+X256+AA256+AD256+AG256+AJ256,2)</f>
        <v>0</v>
      </c>
      <c r="G256" s="24">
        <f>ROUND(J256+M256+P256+S256+V256+Y256+AB256+AE256+AH256+AK256,2)</f>
        <v>0</v>
      </c>
      <c r="H256" s="24">
        <f>ROUND(K256+N256+Q256+T256+W256+Z256+AC256+AF256+AI256+AL256,2)</f>
        <v>0</v>
      </c>
      <c r="I256" s="24">
        <f>IF(K255&gt;0,MIN(ROUND(I$6+IF(I$5=$C256,$E$5+$E256,0),2),ROUND(K255+J256,2)),0)</f>
        <v>0</v>
      </c>
      <c r="J256" s="24">
        <f>IF(K255&gt;0,ROUND(ROUND(K255*100,0)*ROUND(I$7*10000,0)/12000000,0)/100,0)</f>
        <v>0</v>
      </c>
      <c r="K256" s="24">
        <f>IF(K255&gt;0,ROUND(K255+J256-I256,2),0)</f>
        <v>0</v>
      </c>
      <c r="L256" s="24">
        <f>IF(N255&gt;0,MIN(ROUND(L$6+IF(L$5=$C256,$E$5+$E256,0),2),ROUND(N255+M256,2)),0)</f>
        <v>0</v>
      </c>
      <c r="M256" s="24">
        <f>IF(N255&gt;0,ROUND(ROUND(N255*100,0)*ROUND(L$7*10000,0)/12000000,0)/100,0)</f>
        <v>0</v>
      </c>
      <c r="N256" s="24">
        <f>IF(N255&gt;0,ROUND(N255+M256-L256,2),0)</f>
        <v>0</v>
      </c>
      <c r="O256" s="24">
        <f>IF(Q255&gt;0,MIN(ROUND(O$6+IF(O$5=$C256,$E$5+$E256,0),2),ROUND(Q255+P256,2)),0)</f>
        <v>0</v>
      </c>
      <c r="P256" s="24">
        <f>IF(Q255&gt;0,ROUND(ROUND(Q255*100,0)*ROUND(O$7*10000,0)/12000000,0)/100,0)</f>
        <v>0</v>
      </c>
      <c r="Q256" s="24">
        <f>IF(Q255&gt;0,ROUND(Q255+P256-O256,2),0)</f>
        <v>0</v>
      </c>
      <c r="R256" s="24">
        <f>IF(T255&gt;0,MIN(ROUND(R$6+IF(R$5=$C256,$E$5+$E256,0),2),ROUND(T255+S256,2)),0)</f>
        <v>0</v>
      </c>
      <c r="S256" s="24">
        <f>IF(T255&gt;0,ROUND(ROUND(T255*100,0)*ROUND(R$7*10000,0)/12000000,0)/100,0)</f>
        <v>0</v>
      </c>
      <c r="T256" s="24">
        <f>IF(T255&gt;0,ROUND(T255+S256-R256,2),0)</f>
        <v>0</v>
      </c>
      <c r="U256" s="24">
        <f>IF(W255&gt;0,MIN(ROUND(U$6+IF(U$5=$C256,$E$5+$E256,0),2),ROUND(W255+V256,2)),0)</f>
        <v>0</v>
      </c>
      <c r="V256" s="24">
        <f>IF(W255&gt;0,ROUND(ROUND(W255*100,0)*ROUND(U$7*10000,0)/12000000,0)/100,0)</f>
        <v>0</v>
      </c>
      <c r="W256" s="24">
        <f>IF(W255&gt;0,ROUND(W255+V256-U256,2),0)</f>
        <v>0</v>
      </c>
      <c r="X256" s="24">
        <f>IF(Z255&gt;0,MIN(ROUND(X$6+IF(X$5=$C256,$E$5+$E256,0),2),ROUND(Z255+Y256,2)),0)</f>
        <v>0</v>
      </c>
      <c r="Y256" s="24">
        <f>IF(Z255&gt;0,ROUND(ROUND(Z255*100,0)*ROUND(X$7*10000,0)/12000000,0)/100,0)</f>
        <v>0</v>
      </c>
      <c r="Z256" s="24">
        <f>IF(Z255&gt;0,ROUND(Z255+Y256-X256,2),0)</f>
        <v>0</v>
      </c>
      <c r="AA256" s="24">
        <f>IF(AC255&gt;0,MIN(ROUND(AA$6+IF(AA$5=$C256,$E$5+$E256,0),2),ROUND(AC255+AB256,2)),0)</f>
        <v>0</v>
      </c>
      <c r="AB256" s="24">
        <f>IF(AC255&gt;0,ROUND(ROUND(AC255*100,0)*ROUND(AA$7*10000,0)/12000000,0)/100,0)</f>
        <v>0</v>
      </c>
      <c r="AC256" s="24">
        <f>IF(AC255&gt;0,ROUND(AC255+AB256-AA256,2),0)</f>
        <v>0</v>
      </c>
      <c r="AD256" s="24">
        <f>IF(AF255&gt;0,MIN(ROUND(AD$6+IF(AD$5=$C256,$E$5+$E256,0),2),ROUND(AF255+AE256,2)),0)</f>
        <v>0</v>
      </c>
      <c r="AE256" s="24">
        <f>IF(AF255&gt;0,ROUND(ROUND(AF255*100,0)*ROUND(AD$7*10000,0)/12000000,0)/100,0)</f>
        <v>0</v>
      </c>
      <c r="AF256" s="24">
        <f>IF(AF255&gt;0,ROUND(AF255+AE256-AD256,2),0)</f>
        <v>0</v>
      </c>
      <c r="AG256" s="24">
        <f>IF(AI255&gt;0,MIN(ROUND(AG$6+IF(AG$5=$C256,$E$5+$E256,0),2),ROUND(AI255+AH256,2)),0)</f>
        <v>0</v>
      </c>
      <c r="AH256" s="24">
        <f>IF(AI255&gt;0,ROUND(ROUND(AI255*100,0)*ROUND(AG$7*10000,0)/12000000,0)/100,0)</f>
        <v>0</v>
      </c>
      <c r="AI256" s="24">
        <f>IF(AI255&gt;0,ROUND(AI255+AH256-AG256,2),0)</f>
        <v>0</v>
      </c>
      <c r="AJ256" s="24">
        <f>IF(AL255&gt;0,MIN(ROUND(AJ$6+IF(AJ$5=$C256,$E$5+$E256,0),2),ROUND(AL255+AK256,2)),0)</f>
        <v>0</v>
      </c>
      <c r="AK256" s="24">
        <f>IF(AL255&gt;0,ROUND(ROUND(AL255*100,0)*ROUND(AJ$7*10000,0)/12000000,0)/100,0)</f>
        <v>0</v>
      </c>
      <c r="AL256" s="24">
        <f>IF(AL255&gt;0,ROUND(AL255+AK256-AJ256,2),0)</f>
        <v>0</v>
      </c>
    </row>
    <row r="257" spans="1:38" x14ac:dyDescent="0.25">
      <c r="A257" s="17" t="str">
        <f>IF(F257&gt;0,247,"")</f>
        <v/>
      </c>
      <c r="B257" s="18" t="str">
        <f>IF(F257&gt;0,EDATE($E$6,247),"")</f>
        <v/>
      </c>
      <c r="C257" s="21">
        <f>IF(H256&gt;0,MIN(IF(K256&gt;0,I$5,99),IF(N256&gt;0,L$5,99),IF(Q256&gt;0,O$5,99),IF(T256&gt;0,R$5,99),IF(W256&gt;0,U$5,99),IF(Z256&gt;0,X$5,99),IF(AC256&gt;0,AA$5,99),IF(AF256&gt;0,AD$5,99),IF(AI256&gt;0,AG$5,99),IF(AL256&gt;0,AJ$5,99)),0)</f>
        <v>0</v>
      </c>
      <c r="D257" t="str">
        <f>IF(C257&gt;0,INDEX($I$4:$AL$4,1,MATCH(C257,$I$5:$AL$5,0)),"")</f>
        <v/>
      </c>
      <c r="E257" s="24">
        <f>ROUND(IF(AND(I$8&gt;0,K256=0),I$6,0)+IF(AND(L$8&gt;0,N256=0),L$6,0)+IF(AND(O$8&gt;0,Q256=0),O$6,0)+IF(AND(R$8&gt;0,T256=0),R$6,0)+IF(AND(U$8&gt;0,W256=0),U$6,0)+IF(AND(X$8&gt;0,Z256=0),X$6,0)+IF(AND(AA$8&gt;0,AC256=0),AA$6,0)+IF(AND(AD$8&gt;0,AF256=0),AD$6,0)+IF(AND(AG$8&gt;0,AI256=0),AG$6,0)+IF(AND(AJ$8&gt;0,AL256=0),AJ$6,0),2)</f>
        <v>330</v>
      </c>
      <c r="F257" s="24">
        <f>ROUND(I257+L257+O257+R257+U257+X257+AA257+AD257+AG257+AJ257,2)</f>
        <v>0</v>
      </c>
      <c r="G257" s="24">
        <f>ROUND(J257+M257+P257+S257+V257+Y257+AB257+AE257+AH257+AK257,2)</f>
        <v>0</v>
      </c>
      <c r="H257" s="24">
        <f>ROUND(K257+N257+Q257+T257+W257+Z257+AC257+AF257+AI257+AL257,2)</f>
        <v>0</v>
      </c>
      <c r="I257" s="24">
        <f>IF(K256&gt;0,MIN(ROUND(I$6+IF(I$5=$C257,$E$5+$E257,0),2),ROUND(K256+J257,2)),0)</f>
        <v>0</v>
      </c>
      <c r="J257" s="24">
        <f>IF(K256&gt;0,ROUND(ROUND(K256*100,0)*ROUND(I$7*10000,0)/12000000,0)/100,0)</f>
        <v>0</v>
      </c>
      <c r="K257" s="24">
        <f>IF(K256&gt;0,ROUND(K256+J257-I257,2),0)</f>
        <v>0</v>
      </c>
      <c r="L257" s="24">
        <f>IF(N256&gt;0,MIN(ROUND(L$6+IF(L$5=$C257,$E$5+$E257,0),2),ROUND(N256+M257,2)),0)</f>
        <v>0</v>
      </c>
      <c r="M257" s="24">
        <f>IF(N256&gt;0,ROUND(ROUND(N256*100,0)*ROUND(L$7*10000,0)/12000000,0)/100,0)</f>
        <v>0</v>
      </c>
      <c r="N257" s="24">
        <f>IF(N256&gt;0,ROUND(N256+M257-L257,2),0)</f>
        <v>0</v>
      </c>
      <c r="O257" s="24">
        <f>IF(Q256&gt;0,MIN(ROUND(O$6+IF(O$5=$C257,$E$5+$E257,0),2),ROUND(Q256+P257,2)),0)</f>
        <v>0</v>
      </c>
      <c r="P257" s="24">
        <f>IF(Q256&gt;0,ROUND(ROUND(Q256*100,0)*ROUND(O$7*10000,0)/12000000,0)/100,0)</f>
        <v>0</v>
      </c>
      <c r="Q257" s="24">
        <f>IF(Q256&gt;0,ROUND(Q256+P257-O257,2),0)</f>
        <v>0</v>
      </c>
      <c r="R257" s="24">
        <f>IF(T256&gt;0,MIN(ROUND(R$6+IF(R$5=$C257,$E$5+$E257,0),2),ROUND(T256+S257,2)),0)</f>
        <v>0</v>
      </c>
      <c r="S257" s="24">
        <f>IF(T256&gt;0,ROUND(ROUND(T256*100,0)*ROUND(R$7*10000,0)/12000000,0)/100,0)</f>
        <v>0</v>
      </c>
      <c r="T257" s="24">
        <f>IF(T256&gt;0,ROUND(T256+S257-R257,2),0)</f>
        <v>0</v>
      </c>
      <c r="U257" s="24">
        <f>IF(W256&gt;0,MIN(ROUND(U$6+IF(U$5=$C257,$E$5+$E257,0),2),ROUND(W256+V257,2)),0)</f>
        <v>0</v>
      </c>
      <c r="V257" s="24">
        <f>IF(W256&gt;0,ROUND(ROUND(W256*100,0)*ROUND(U$7*10000,0)/12000000,0)/100,0)</f>
        <v>0</v>
      </c>
      <c r="W257" s="24">
        <f>IF(W256&gt;0,ROUND(W256+V257-U257,2),0)</f>
        <v>0</v>
      </c>
      <c r="X257" s="24">
        <f>IF(Z256&gt;0,MIN(ROUND(X$6+IF(X$5=$C257,$E$5+$E257,0),2),ROUND(Z256+Y257,2)),0)</f>
        <v>0</v>
      </c>
      <c r="Y257" s="24">
        <f>IF(Z256&gt;0,ROUND(ROUND(Z256*100,0)*ROUND(X$7*10000,0)/12000000,0)/100,0)</f>
        <v>0</v>
      </c>
      <c r="Z257" s="24">
        <f>IF(Z256&gt;0,ROUND(Z256+Y257-X257,2),0)</f>
        <v>0</v>
      </c>
      <c r="AA257" s="24">
        <f>IF(AC256&gt;0,MIN(ROUND(AA$6+IF(AA$5=$C257,$E$5+$E257,0),2),ROUND(AC256+AB257,2)),0)</f>
        <v>0</v>
      </c>
      <c r="AB257" s="24">
        <f>IF(AC256&gt;0,ROUND(ROUND(AC256*100,0)*ROUND(AA$7*10000,0)/12000000,0)/100,0)</f>
        <v>0</v>
      </c>
      <c r="AC257" s="24">
        <f>IF(AC256&gt;0,ROUND(AC256+AB257-AA257,2),0)</f>
        <v>0</v>
      </c>
      <c r="AD257" s="24">
        <f>IF(AF256&gt;0,MIN(ROUND(AD$6+IF(AD$5=$C257,$E$5+$E257,0),2),ROUND(AF256+AE257,2)),0)</f>
        <v>0</v>
      </c>
      <c r="AE257" s="24">
        <f>IF(AF256&gt;0,ROUND(ROUND(AF256*100,0)*ROUND(AD$7*10000,0)/12000000,0)/100,0)</f>
        <v>0</v>
      </c>
      <c r="AF257" s="24">
        <f>IF(AF256&gt;0,ROUND(AF256+AE257-AD257,2),0)</f>
        <v>0</v>
      </c>
      <c r="AG257" s="24">
        <f>IF(AI256&gt;0,MIN(ROUND(AG$6+IF(AG$5=$C257,$E$5+$E257,0),2),ROUND(AI256+AH257,2)),0)</f>
        <v>0</v>
      </c>
      <c r="AH257" s="24">
        <f>IF(AI256&gt;0,ROUND(ROUND(AI256*100,0)*ROUND(AG$7*10000,0)/12000000,0)/100,0)</f>
        <v>0</v>
      </c>
      <c r="AI257" s="24">
        <f>IF(AI256&gt;0,ROUND(AI256+AH257-AG257,2),0)</f>
        <v>0</v>
      </c>
      <c r="AJ257" s="24">
        <f>IF(AL256&gt;0,MIN(ROUND(AJ$6+IF(AJ$5=$C257,$E$5+$E257,0),2),ROUND(AL256+AK257,2)),0)</f>
        <v>0</v>
      </c>
      <c r="AK257" s="24">
        <f>IF(AL256&gt;0,ROUND(ROUND(AL256*100,0)*ROUND(AJ$7*10000,0)/12000000,0)/100,0)</f>
        <v>0</v>
      </c>
      <c r="AL257" s="24">
        <f>IF(AL256&gt;0,ROUND(AL256+AK257-AJ257,2),0)</f>
        <v>0</v>
      </c>
    </row>
    <row r="258" spans="1:38" x14ac:dyDescent="0.25">
      <c r="A258" s="17" t="str">
        <f>IF(F258&gt;0,248,"")</f>
        <v/>
      </c>
      <c r="B258" s="18" t="str">
        <f>IF(F258&gt;0,EDATE($E$6,248),"")</f>
        <v/>
      </c>
      <c r="C258" s="21">
        <f>IF(H257&gt;0,MIN(IF(K257&gt;0,I$5,99),IF(N257&gt;0,L$5,99),IF(Q257&gt;0,O$5,99),IF(T257&gt;0,R$5,99),IF(W257&gt;0,U$5,99),IF(Z257&gt;0,X$5,99),IF(AC257&gt;0,AA$5,99),IF(AF257&gt;0,AD$5,99),IF(AI257&gt;0,AG$5,99),IF(AL257&gt;0,AJ$5,99)),0)</f>
        <v>0</v>
      </c>
      <c r="D258" t="str">
        <f>IF(C258&gt;0,INDEX($I$4:$AL$4,1,MATCH(C258,$I$5:$AL$5,0)),"")</f>
        <v/>
      </c>
      <c r="E258" s="24">
        <f>ROUND(IF(AND(I$8&gt;0,K257=0),I$6,0)+IF(AND(L$8&gt;0,N257=0),L$6,0)+IF(AND(O$8&gt;0,Q257=0),O$6,0)+IF(AND(R$8&gt;0,T257=0),R$6,0)+IF(AND(U$8&gt;0,W257=0),U$6,0)+IF(AND(X$8&gt;0,Z257=0),X$6,0)+IF(AND(AA$8&gt;0,AC257=0),AA$6,0)+IF(AND(AD$8&gt;0,AF257=0),AD$6,0)+IF(AND(AG$8&gt;0,AI257=0),AG$6,0)+IF(AND(AJ$8&gt;0,AL257=0),AJ$6,0),2)</f>
        <v>330</v>
      </c>
      <c r="F258" s="24">
        <f>ROUND(I258+L258+O258+R258+U258+X258+AA258+AD258+AG258+AJ258,2)</f>
        <v>0</v>
      </c>
      <c r="G258" s="24">
        <f>ROUND(J258+M258+P258+S258+V258+Y258+AB258+AE258+AH258+AK258,2)</f>
        <v>0</v>
      </c>
      <c r="H258" s="24">
        <f>ROUND(K258+N258+Q258+T258+W258+Z258+AC258+AF258+AI258+AL258,2)</f>
        <v>0</v>
      </c>
      <c r="I258" s="24">
        <f>IF(K257&gt;0,MIN(ROUND(I$6+IF(I$5=$C258,$E$5+$E258,0),2),ROUND(K257+J258,2)),0)</f>
        <v>0</v>
      </c>
      <c r="J258" s="24">
        <f>IF(K257&gt;0,ROUND(ROUND(K257*100,0)*ROUND(I$7*10000,0)/12000000,0)/100,0)</f>
        <v>0</v>
      </c>
      <c r="K258" s="24">
        <f>IF(K257&gt;0,ROUND(K257+J258-I258,2),0)</f>
        <v>0</v>
      </c>
      <c r="L258" s="24">
        <f>IF(N257&gt;0,MIN(ROUND(L$6+IF(L$5=$C258,$E$5+$E258,0),2),ROUND(N257+M258,2)),0)</f>
        <v>0</v>
      </c>
      <c r="M258" s="24">
        <f>IF(N257&gt;0,ROUND(ROUND(N257*100,0)*ROUND(L$7*10000,0)/12000000,0)/100,0)</f>
        <v>0</v>
      </c>
      <c r="N258" s="24">
        <f>IF(N257&gt;0,ROUND(N257+M258-L258,2),0)</f>
        <v>0</v>
      </c>
      <c r="O258" s="24">
        <f>IF(Q257&gt;0,MIN(ROUND(O$6+IF(O$5=$C258,$E$5+$E258,0),2),ROUND(Q257+P258,2)),0)</f>
        <v>0</v>
      </c>
      <c r="P258" s="24">
        <f>IF(Q257&gt;0,ROUND(ROUND(Q257*100,0)*ROUND(O$7*10000,0)/12000000,0)/100,0)</f>
        <v>0</v>
      </c>
      <c r="Q258" s="24">
        <f>IF(Q257&gt;0,ROUND(Q257+P258-O258,2),0)</f>
        <v>0</v>
      </c>
      <c r="R258" s="24">
        <f>IF(T257&gt;0,MIN(ROUND(R$6+IF(R$5=$C258,$E$5+$E258,0),2),ROUND(T257+S258,2)),0)</f>
        <v>0</v>
      </c>
      <c r="S258" s="24">
        <f>IF(T257&gt;0,ROUND(ROUND(T257*100,0)*ROUND(R$7*10000,0)/12000000,0)/100,0)</f>
        <v>0</v>
      </c>
      <c r="T258" s="24">
        <f>IF(T257&gt;0,ROUND(T257+S258-R258,2),0)</f>
        <v>0</v>
      </c>
      <c r="U258" s="24">
        <f>IF(W257&gt;0,MIN(ROUND(U$6+IF(U$5=$C258,$E$5+$E258,0),2),ROUND(W257+V258,2)),0)</f>
        <v>0</v>
      </c>
      <c r="V258" s="24">
        <f>IF(W257&gt;0,ROUND(ROUND(W257*100,0)*ROUND(U$7*10000,0)/12000000,0)/100,0)</f>
        <v>0</v>
      </c>
      <c r="W258" s="24">
        <f>IF(W257&gt;0,ROUND(W257+V258-U258,2),0)</f>
        <v>0</v>
      </c>
      <c r="X258" s="24">
        <f>IF(Z257&gt;0,MIN(ROUND(X$6+IF(X$5=$C258,$E$5+$E258,0),2),ROUND(Z257+Y258,2)),0)</f>
        <v>0</v>
      </c>
      <c r="Y258" s="24">
        <f>IF(Z257&gt;0,ROUND(ROUND(Z257*100,0)*ROUND(X$7*10000,0)/12000000,0)/100,0)</f>
        <v>0</v>
      </c>
      <c r="Z258" s="24">
        <f>IF(Z257&gt;0,ROUND(Z257+Y258-X258,2),0)</f>
        <v>0</v>
      </c>
      <c r="AA258" s="24">
        <f>IF(AC257&gt;0,MIN(ROUND(AA$6+IF(AA$5=$C258,$E$5+$E258,0),2),ROUND(AC257+AB258,2)),0)</f>
        <v>0</v>
      </c>
      <c r="AB258" s="24">
        <f>IF(AC257&gt;0,ROUND(ROUND(AC257*100,0)*ROUND(AA$7*10000,0)/12000000,0)/100,0)</f>
        <v>0</v>
      </c>
      <c r="AC258" s="24">
        <f>IF(AC257&gt;0,ROUND(AC257+AB258-AA258,2),0)</f>
        <v>0</v>
      </c>
      <c r="AD258" s="24">
        <f>IF(AF257&gt;0,MIN(ROUND(AD$6+IF(AD$5=$C258,$E$5+$E258,0),2),ROUND(AF257+AE258,2)),0)</f>
        <v>0</v>
      </c>
      <c r="AE258" s="24">
        <f>IF(AF257&gt;0,ROUND(ROUND(AF257*100,0)*ROUND(AD$7*10000,0)/12000000,0)/100,0)</f>
        <v>0</v>
      </c>
      <c r="AF258" s="24">
        <f>IF(AF257&gt;0,ROUND(AF257+AE258-AD258,2),0)</f>
        <v>0</v>
      </c>
      <c r="AG258" s="24">
        <f>IF(AI257&gt;0,MIN(ROUND(AG$6+IF(AG$5=$C258,$E$5+$E258,0),2),ROUND(AI257+AH258,2)),0)</f>
        <v>0</v>
      </c>
      <c r="AH258" s="24">
        <f>IF(AI257&gt;0,ROUND(ROUND(AI257*100,0)*ROUND(AG$7*10000,0)/12000000,0)/100,0)</f>
        <v>0</v>
      </c>
      <c r="AI258" s="24">
        <f>IF(AI257&gt;0,ROUND(AI257+AH258-AG258,2),0)</f>
        <v>0</v>
      </c>
      <c r="AJ258" s="24">
        <f>IF(AL257&gt;0,MIN(ROUND(AJ$6+IF(AJ$5=$C258,$E$5+$E258,0),2),ROUND(AL257+AK258,2)),0)</f>
        <v>0</v>
      </c>
      <c r="AK258" s="24">
        <f>IF(AL257&gt;0,ROUND(ROUND(AL257*100,0)*ROUND(AJ$7*10000,0)/12000000,0)/100,0)</f>
        <v>0</v>
      </c>
      <c r="AL258" s="24">
        <f>IF(AL257&gt;0,ROUND(AL257+AK258-AJ258,2),0)</f>
        <v>0</v>
      </c>
    </row>
    <row r="259" spans="1:38" x14ac:dyDescent="0.25">
      <c r="A259" s="17" t="str">
        <f>IF(F259&gt;0,249,"")</f>
        <v/>
      </c>
      <c r="B259" s="18" t="str">
        <f>IF(F259&gt;0,EDATE($E$6,249),"")</f>
        <v/>
      </c>
      <c r="C259" s="21">
        <f>IF(H258&gt;0,MIN(IF(K258&gt;0,I$5,99),IF(N258&gt;0,L$5,99),IF(Q258&gt;0,O$5,99),IF(T258&gt;0,R$5,99),IF(W258&gt;0,U$5,99),IF(Z258&gt;0,X$5,99),IF(AC258&gt;0,AA$5,99),IF(AF258&gt;0,AD$5,99),IF(AI258&gt;0,AG$5,99),IF(AL258&gt;0,AJ$5,99)),0)</f>
        <v>0</v>
      </c>
      <c r="D259" t="str">
        <f>IF(C259&gt;0,INDEX($I$4:$AL$4,1,MATCH(C259,$I$5:$AL$5,0)),"")</f>
        <v/>
      </c>
      <c r="E259" s="24">
        <f>ROUND(IF(AND(I$8&gt;0,K258=0),I$6,0)+IF(AND(L$8&gt;0,N258=0),L$6,0)+IF(AND(O$8&gt;0,Q258=0),O$6,0)+IF(AND(R$8&gt;0,T258=0),R$6,0)+IF(AND(U$8&gt;0,W258=0),U$6,0)+IF(AND(X$8&gt;0,Z258=0),X$6,0)+IF(AND(AA$8&gt;0,AC258=0),AA$6,0)+IF(AND(AD$8&gt;0,AF258=0),AD$6,0)+IF(AND(AG$8&gt;0,AI258=0),AG$6,0)+IF(AND(AJ$8&gt;0,AL258=0),AJ$6,0),2)</f>
        <v>330</v>
      </c>
      <c r="F259" s="24">
        <f>ROUND(I259+L259+O259+R259+U259+X259+AA259+AD259+AG259+AJ259,2)</f>
        <v>0</v>
      </c>
      <c r="G259" s="24">
        <f>ROUND(J259+M259+P259+S259+V259+Y259+AB259+AE259+AH259+AK259,2)</f>
        <v>0</v>
      </c>
      <c r="H259" s="24">
        <f>ROUND(K259+N259+Q259+T259+W259+Z259+AC259+AF259+AI259+AL259,2)</f>
        <v>0</v>
      </c>
      <c r="I259" s="24">
        <f>IF(K258&gt;0,MIN(ROUND(I$6+IF(I$5=$C259,$E$5+$E259,0),2),ROUND(K258+J259,2)),0)</f>
        <v>0</v>
      </c>
      <c r="J259" s="24">
        <f>IF(K258&gt;0,ROUND(ROUND(K258*100,0)*ROUND(I$7*10000,0)/12000000,0)/100,0)</f>
        <v>0</v>
      </c>
      <c r="K259" s="24">
        <f>IF(K258&gt;0,ROUND(K258+J259-I259,2),0)</f>
        <v>0</v>
      </c>
      <c r="L259" s="24">
        <f>IF(N258&gt;0,MIN(ROUND(L$6+IF(L$5=$C259,$E$5+$E259,0),2),ROUND(N258+M259,2)),0)</f>
        <v>0</v>
      </c>
      <c r="M259" s="24">
        <f>IF(N258&gt;0,ROUND(ROUND(N258*100,0)*ROUND(L$7*10000,0)/12000000,0)/100,0)</f>
        <v>0</v>
      </c>
      <c r="N259" s="24">
        <f>IF(N258&gt;0,ROUND(N258+M259-L259,2),0)</f>
        <v>0</v>
      </c>
      <c r="O259" s="24">
        <f>IF(Q258&gt;0,MIN(ROUND(O$6+IF(O$5=$C259,$E$5+$E259,0),2),ROUND(Q258+P259,2)),0)</f>
        <v>0</v>
      </c>
      <c r="P259" s="24">
        <f>IF(Q258&gt;0,ROUND(ROUND(Q258*100,0)*ROUND(O$7*10000,0)/12000000,0)/100,0)</f>
        <v>0</v>
      </c>
      <c r="Q259" s="24">
        <f>IF(Q258&gt;0,ROUND(Q258+P259-O259,2),0)</f>
        <v>0</v>
      </c>
      <c r="R259" s="24">
        <f>IF(T258&gt;0,MIN(ROUND(R$6+IF(R$5=$C259,$E$5+$E259,0),2),ROUND(T258+S259,2)),0)</f>
        <v>0</v>
      </c>
      <c r="S259" s="24">
        <f>IF(T258&gt;0,ROUND(ROUND(T258*100,0)*ROUND(R$7*10000,0)/12000000,0)/100,0)</f>
        <v>0</v>
      </c>
      <c r="T259" s="24">
        <f>IF(T258&gt;0,ROUND(T258+S259-R259,2),0)</f>
        <v>0</v>
      </c>
      <c r="U259" s="24">
        <f>IF(W258&gt;0,MIN(ROUND(U$6+IF(U$5=$C259,$E$5+$E259,0),2),ROUND(W258+V259,2)),0)</f>
        <v>0</v>
      </c>
      <c r="V259" s="24">
        <f>IF(W258&gt;0,ROUND(ROUND(W258*100,0)*ROUND(U$7*10000,0)/12000000,0)/100,0)</f>
        <v>0</v>
      </c>
      <c r="W259" s="24">
        <f>IF(W258&gt;0,ROUND(W258+V259-U259,2),0)</f>
        <v>0</v>
      </c>
      <c r="X259" s="24">
        <f>IF(Z258&gt;0,MIN(ROUND(X$6+IF(X$5=$C259,$E$5+$E259,0),2),ROUND(Z258+Y259,2)),0)</f>
        <v>0</v>
      </c>
      <c r="Y259" s="24">
        <f>IF(Z258&gt;0,ROUND(ROUND(Z258*100,0)*ROUND(X$7*10000,0)/12000000,0)/100,0)</f>
        <v>0</v>
      </c>
      <c r="Z259" s="24">
        <f>IF(Z258&gt;0,ROUND(Z258+Y259-X259,2),0)</f>
        <v>0</v>
      </c>
      <c r="AA259" s="24">
        <f>IF(AC258&gt;0,MIN(ROUND(AA$6+IF(AA$5=$C259,$E$5+$E259,0),2),ROUND(AC258+AB259,2)),0)</f>
        <v>0</v>
      </c>
      <c r="AB259" s="24">
        <f>IF(AC258&gt;0,ROUND(ROUND(AC258*100,0)*ROUND(AA$7*10000,0)/12000000,0)/100,0)</f>
        <v>0</v>
      </c>
      <c r="AC259" s="24">
        <f>IF(AC258&gt;0,ROUND(AC258+AB259-AA259,2),0)</f>
        <v>0</v>
      </c>
      <c r="AD259" s="24">
        <f>IF(AF258&gt;0,MIN(ROUND(AD$6+IF(AD$5=$C259,$E$5+$E259,0),2),ROUND(AF258+AE259,2)),0)</f>
        <v>0</v>
      </c>
      <c r="AE259" s="24">
        <f>IF(AF258&gt;0,ROUND(ROUND(AF258*100,0)*ROUND(AD$7*10000,0)/12000000,0)/100,0)</f>
        <v>0</v>
      </c>
      <c r="AF259" s="24">
        <f>IF(AF258&gt;0,ROUND(AF258+AE259-AD259,2),0)</f>
        <v>0</v>
      </c>
      <c r="AG259" s="24">
        <f>IF(AI258&gt;0,MIN(ROUND(AG$6+IF(AG$5=$C259,$E$5+$E259,0),2),ROUND(AI258+AH259,2)),0)</f>
        <v>0</v>
      </c>
      <c r="AH259" s="24">
        <f>IF(AI258&gt;0,ROUND(ROUND(AI258*100,0)*ROUND(AG$7*10000,0)/12000000,0)/100,0)</f>
        <v>0</v>
      </c>
      <c r="AI259" s="24">
        <f>IF(AI258&gt;0,ROUND(AI258+AH259-AG259,2),0)</f>
        <v>0</v>
      </c>
      <c r="AJ259" s="24">
        <f>IF(AL258&gt;0,MIN(ROUND(AJ$6+IF(AJ$5=$C259,$E$5+$E259,0),2),ROUND(AL258+AK259,2)),0)</f>
        <v>0</v>
      </c>
      <c r="AK259" s="24">
        <f>IF(AL258&gt;0,ROUND(ROUND(AL258*100,0)*ROUND(AJ$7*10000,0)/12000000,0)/100,0)</f>
        <v>0</v>
      </c>
      <c r="AL259" s="24">
        <f>IF(AL258&gt;0,ROUND(AL258+AK259-AJ259,2),0)</f>
        <v>0</v>
      </c>
    </row>
    <row r="260" spans="1:38" x14ac:dyDescent="0.25">
      <c r="A260" s="17" t="str">
        <f>IF(F260&gt;0,250,"")</f>
        <v/>
      </c>
      <c r="B260" s="18" t="str">
        <f>IF(F260&gt;0,EDATE($E$6,250),"")</f>
        <v/>
      </c>
      <c r="C260" s="21">
        <f>IF(H259&gt;0,MIN(IF(K259&gt;0,I$5,99),IF(N259&gt;0,L$5,99),IF(Q259&gt;0,O$5,99),IF(T259&gt;0,R$5,99),IF(W259&gt;0,U$5,99),IF(Z259&gt;0,X$5,99),IF(AC259&gt;0,AA$5,99),IF(AF259&gt;0,AD$5,99),IF(AI259&gt;0,AG$5,99),IF(AL259&gt;0,AJ$5,99)),0)</f>
        <v>0</v>
      </c>
      <c r="D260" t="str">
        <f>IF(C260&gt;0,INDEX($I$4:$AL$4,1,MATCH(C260,$I$5:$AL$5,0)),"")</f>
        <v/>
      </c>
      <c r="E260" s="24">
        <f>ROUND(IF(AND(I$8&gt;0,K259=0),I$6,0)+IF(AND(L$8&gt;0,N259=0),L$6,0)+IF(AND(O$8&gt;0,Q259=0),O$6,0)+IF(AND(R$8&gt;0,T259=0),R$6,0)+IF(AND(U$8&gt;0,W259=0),U$6,0)+IF(AND(X$8&gt;0,Z259=0),X$6,0)+IF(AND(AA$8&gt;0,AC259=0),AA$6,0)+IF(AND(AD$8&gt;0,AF259=0),AD$6,0)+IF(AND(AG$8&gt;0,AI259=0),AG$6,0)+IF(AND(AJ$8&gt;0,AL259=0),AJ$6,0),2)</f>
        <v>330</v>
      </c>
      <c r="F260" s="24">
        <f>ROUND(I260+L260+O260+R260+U260+X260+AA260+AD260+AG260+AJ260,2)</f>
        <v>0</v>
      </c>
      <c r="G260" s="24">
        <f>ROUND(J260+M260+P260+S260+V260+Y260+AB260+AE260+AH260+AK260,2)</f>
        <v>0</v>
      </c>
      <c r="H260" s="24">
        <f>ROUND(K260+N260+Q260+T260+W260+Z260+AC260+AF260+AI260+AL260,2)</f>
        <v>0</v>
      </c>
      <c r="I260" s="24">
        <f>IF(K259&gt;0,MIN(ROUND(I$6+IF(I$5=$C260,$E$5+$E260,0),2),ROUND(K259+J260,2)),0)</f>
        <v>0</v>
      </c>
      <c r="J260" s="24">
        <f>IF(K259&gt;0,ROUND(ROUND(K259*100,0)*ROUND(I$7*10000,0)/12000000,0)/100,0)</f>
        <v>0</v>
      </c>
      <c r="K260" s="24">
        <f>IF(K259&gt;0,ROUND(K259+J260-I260,2),0)</f>
        <v>0</v>
      </c>
      <c r="L260" s="24">
        <f>IF(N259&gt;0,MIN(ROUND(L$6+IF(L$5=$C260,$E$5+$E260,0),2),ROUND(N259+M260,2)),0)</f>
        <v>0</v>
      </c>
      <c r="M260" s="24">
        <f>IF(N259&gt;0,ROUND(ROUND(N259*100,0)*ROUND(L$7*10000,0)/12000000,0)/100,0)</f>
        <v>0</v>
      </c>
      <c r="N260" s="24">
        <f>IF(N259&gt;0,ROUND(N259+M260-L260,2),0)</f>
        <v>0</v>
      </c>
      <c r="O260" s="24">
        <f>IF(Q259&gt;0,MIN(ROUND(O$6+IF(O$5=$C260,$E$5+$E260,0),2),ROUND(Q259+P260,2)),0)</f>
        <v>0</v>
      </c>
      <c r="P260" s="24">
        <f>IF(Q259&gt;0,ROUND(ROUND(Q259*100,0)*ROUND(O$7*10000,0)/12000000,0)/100,0)</f>
        <v>0</v>
      </c>
      <c r="Q260" s="24">
        <f>IF(Q259&gt;0,ROUND(Q259+P260-O260,2),0)</f>
        <v>0</v>
      </c>
      <c r="R260" s="24">
        <f>IF(T259&gt;0,MIN(ROUND(R$6+IF(R$5=$C260,$E$5+$E260,0),2),ROUND(T259+S260,2)),0)</f>
        <v>0</v>
      </c>
      <c r="S260" s="24">
        <f>IF(T259&gt;0,ROUND(ROUND(T259*100,0)*ROUND(R$7*10000,0)/12000000,0)/100,0)</f>
        <v>0</v>
      </c>
      <c r="T260" s="24">
        <f>IF(T259&gt;0,ROUND(T259+S260-R260,2),0)</f>
        <v>0</v>
      </c>
      <c r="U260" s="24">
        <f>IF(W259&gt;0,MIN(ROUND(U$6+IF(U$5=$C260,$E$5+$E260,0),2),ROUND(W259+V260,2)),0)</f>
        <v>0</v>
      </c>
      <c r="V260" s="24">
        <f>IF(W259&gt;0,ROUND(ROUND(W259*100,0)*ROUND(U$7*10000,0)/12000000,0)/100,0)</f>
        <v>0</v>
      </c>
      <c r="W260" s="24">
        <f>IF(W259&gt;0,ROUND(W259+V260-U260,2),0)</f>
        <v>0</v>
      </c>
      <c r="X260" s="24">
        <f>IF(Z259&gt;0,MIN(ROUND(X$6+IF(X$5=$C260,$E$5+$E260,0),2),ROUND(Z259+Y260,2)),0)</f>
        <v>0</v>
      </c>
      <c r="Y260" s="24">
        <f>IF(Z259&gt;0,ROUND(ROUND(Z259*100,0)*ROUND(X$7*10000,0)/12000000,0)/100,0)</f>
        <v>0</v>
      </c>
      <c r="Z260" s="24">
        <f>IF(Z259&gt;0,ROUND(Z259+Y260-X260,2),0)</f>
        <v>0</v>
      </c>
      <c r="AA260" s="24">
        <f>IF(AC259&gt;0,MIN(ROUND(AA$6+IF(AA$5=$C260,$E$5+$E260,0),2),ROUND(AC259+AB260,2)),0)</f>
        <v>0</v>
      </c>
      <c r="AB260" s="24">
        <f>IF(AC259&gt;0,ROUND(ROUND(AC259*100,0)*ROUND(AA$7*10000,0)/12000000,0)/100,0)</f>
        <v>0</v>
      </c>
      <c r="AC260" s="24">
        <f>IF(AC259&gt;0,ROUND(AC259+AB260-AA260,2),0)</f>
        <v>0</v>
      </c>
      <c r="AD260" s="24">
        <f>IF(AF259&gt;0,MIN(ROUND(AD$6+IF(AD$5=$C260,$E$5+$E260,0),2),ROUND(AF259+AE260,2)),0)</f>
        <v>0</v>
      </c>
      <c r="AE260" s="24">
        <f>IF(AF259&gt;0,ROUND(ROUND(AF259*100,0)*ROUND(AD$7*10000,0)/12000000,0)/100,0)</f>
        <v>0</v>
      </c>
      <c r="AF260" s="24">
        <f>IF(AF259&gt;0,ROUND(AF259+AE260-AD260,2),0)</f>
        <v>0</v>
      </c>
      <c r="AG260" s="24">
        <f>IF(AI259&gt;0,MIN(ROUND(AG$6+IF(AG$5=$C260,$E$5+$E260,0),2),ROUND(AI259+AH260,2)),0)</f>
        <v>0</v>
      </c>
      <c r="AH260" s="24">
        <f>IF(AI259&gt;0,ROUND(ROUND(AI259*100,0)*ROUND(AG$7*10000,0)/12000000,0)/100,0)</f>
        <v>0</v>
      </c>
      <c r="AI260" s="24">
        <f>IF(AI259&gt;0,ROUND(AI259+AH260-AG260,2),0)</f>
        <v>0</v>
      </c>
      <c r="AJ260" s="24">
        <f>IF(AL259&gt;0,MIN(ROUND(AJ$6+IF(AJ$5=$C260,$E$5+$E260,0),2),ROUND(AL259+AK260,2)),0)</f>
        <v>0</v>
      </c>
      <c r="AK260" s="24">
        <f>IF(AL259&gt;0,ROUND(ROUND(AL259*100,0)*ROUND(AJ$7*10000,0)/12000000,0)/100,0)</f>
        <v>0</v>
      </c>
      <c r="AL260" s="24">
        <f>IF(AL259&gt;0,ROUND(AL259+AK260-AJ260,2),0)</f>
        <v>0</v>
      </c>
    </row>
    <row r="261" spans="1:38" x14ac:dyDescent="0.25">
      <c r="A261" s="17" t="str">
        <f>IF(F261&gt;0,251,"")</f>
        <v/>
      </c>
      <c r="B261" s="18" t="str">
        <f>IF(F261&gt;0,EDATE($E$6,251),"")</f>
        <v/>
      </c>
      <c r="C261" s="21">
        <f>IF(H260&gt;0,MIN(IF(K260&gt;0,I$5,99),IF(N260&gt;0,L$5,99),IF(Q260&gt;0,O$5,99),IF(T260&gt;0,R$5,99),IF(W260&gt;0,U$5,99),IF(Z260&gt;0,X$5,99),IF(AC260&gt;0,AA$5,99),IF(AF260&gt;0,AD$5,99),IF(AI260&gt;0,AG$5,99),IF(AL260&gt;0,AJ$5,99)),0)</f>
        <v>0</v>
      </c>
      <c r="D261" t="str">
        <f>IF(C261&gt;0,INDEX($I$4:$AL$4,1,MATCH(C261,$I$5:$AL$5,0)),"")</f>
        <v/>
      </c>
      <c r="E261" s="24">
        <f>ROUND(IF(AND(I$8&gt;0,K260=0),I$6,0)+IF(AND(L$8&gt;0,N260=0),L$6,0)+IF(AND(O$8&gt;0,Q260=0),O$6,0)+IF(AND(R$8&gt;0,T260=0),R$6,0)+IF(AND(U$8&gt;0,W260=0),U$6,0)+IF(AND(X$8&gt;0,Z260=0),X$6,0)+IF(AND(AA$8&gt;0,AC260=0),AA$6,0)+IF(AND(AD$8&gt;0,AF260=0),AD$6,0)+IF(AND(AG$8&gt;0,AI260=0),AG$6,0)+IF(AND(AJ$8&gt;0,AL260=0),AJ$6,0),2)</f>
        <v>330</v>
      </c>
      <c r="F261" s="24">
        <f>ROUND(I261+L261+O261+R261+U261+X261+AA261+AD261+AG261+AJ261,2)</f>
        <v>0</v>
      </c>
      <c r="G261" s="24">
        <f>ROUND(J261+M261+P261+S261+V261+Y261+AB261+AE261+AH261+AK261,2)</f>
        <v>0</v>
      </c>
      <c r="H261" s="24">
        <f>ROUND(K261+N261+Q261+T261+W261+Z261+AC261+AF261+AI261+AL261,2)</f>
        <v>0</v>
      </c>
      <c r="I261" s="24">
        <f>IF(K260&gt;0,MIN(ROUND(I$6+IF(I$5=$C261,$E$5+$E261,0),2),ROUND(K260+J261,2)),0)</f>
        <v>0</v>
      </c>
      <c r="J261" s="24">
        <f>IF(K260&gt;0,ROUND(ROUND(K260*100,0)*ROUND(I$7*10000,0)/12000000,0)/100,0)</f>
        <v>0</v>
      </c>
      <c r="K261" s="24">
        <f>IF(K260&gt;0,ROUND(K260+J261-I261,2),0)</f>
        <v>0</v>
      </c>
      <c r="L261" s="24">
        <f>IF(N260&gt;0,MIN(ROUND(L$6+IF(L$5=$C261,$E$5+$E261,0),2),ROUND(N260+M261,2)),0)</f>
        <v>0</v>
      </c>
      <c r="M261" s="24">
        <f>IF(N260&gt;0,ROUND(ROUND(N260*100,0)*ROUND(L$7*10000,0)/12000000,0)/100,0)</f>
        <v>0</v>
      </c>
      <c r="N261" s="24">
        <f>IF(N260&gt;0,ROUND(N260+M261-L261,2),0)</f>
        <v>0</v>
      </c>
      <c r="O261" s="24">
        <f>IF(Q260&gt;0,MIN(ROUND(O$6+IF(O$5=$C261,$E$5+$E261,0),2),ROUND(Q260+P261,2)),0)</f>
        <v>0</v>
      </c>
      <c r="P261" s="24">
        <f>IF(Q260&gt;0,ROUND(ROUND(Q260*100,0)*ROUND(O$7*10000,0)/12000000,0)/100,0)</f>
        <v>0</v>
      </c>
      <c r="Q261" s="24">
        <f>IF(Q260&gt;0,ROUND(Q260+P261-O261,2),0)</f>
        <v>0</v>
      </c>
      <c r="R261" s="24">
        <f>IF(T260&gt;0,MIN(ROUND(R$6+IF(R$5=$C261,$E$5+$E261,0),2),ROUND(T260+S261,2)),0)</f>
        <v>0</v>
      </c>
      <c r="S261" s="24">
        <f>IF(T260&gt;0,ROUND(ROUND(T260*100,0)*ROUND(R$7*10000,0)/12000000,0)/100,0)</f>
        <v>0</v>
      </c>
      <c r="T261" s="24">
        <f>IF(T260&gt;0,ROUND(T260+S261-R261,2),0)</f>
        <v>0</v>
      </c>
      <c r="U261" s="24">
        <f>IF(W260&gt;0,MIN(ROUND(U$6+IF(U$5=$C261,$E$5+$E261,0),2),ROUND(W260+V261,2)),0)</f>
        <v>0</v>
      </c>
      <c r="V261" s="24">
        <f>IF(W260&gt;0,ROUND(ROUND(W260*100,0)*ROUND(U$7*10000,0)/12000000,0)/100,0)</f>
        <v>0</v>
      </c>
      <c r="W261" s="24">
        <f>IF(W260&gt;0,ROUND(W260+V261-U261,2),0)</f>
        <v>0</v>
      </c>
      <c r="X261" s="24">
        <f>IF(Z260&gt;0,MIN(ROUND(X$6+IF(X$5=$C261,$E$5+$E261,0),2),ROUND(Z260+Y261,2)),0)</f>
        <v>0</v>
      </c>
      <c r="Y261" s="24">
        <f>IF(Z260&gt;0,ROUND(ROUND(Z260*100,0)*ROUND(X$7*10000,0)/12000000,0)/100,0)</f>
        <v>0</v>
      </c>
      <c r="Z261" s="24">
        <f>IF(Z260&gt;0,ROUND(Z260+Y261-X261,2),0)</f>
        <v>0</v>
      </c>
      <c r="AA261" s="24">
        <f>IF(AC260&gt;0,MIN(ROUND(AA$6+IF(AA$5=$C261,$E$5+$E261,0),2),ROUND(AC260+AB261,2)),0)</f>
        <v>0</v>
      </c>
      <c r="AB261" s="24">
        <f>IF(AC260&gt;0,ROUND(ROUND(AC260*100,0)*ROUND(AA$7*10000,0)/12000000,0)/100,0)</f>
        <v>0</v>
      </c>
      <c r="AC261" s="24">
        <f>IF(AC260&gt;0,ROUND(AC260+AB261-AA261,2),0)</f>
        <v>0</v>
      </c>
      <c r="AD261" s="24">
        <f>IF(AF260&gt;0,MIN(ROUND(AD$6+IF(AD$5=$C261,$E$5+$E261,0),2),ROUND(AF260+AE261,2)),0)</f>
        <v>0</v>
      </c>
      <c r="AE261" s="24">
        <f>IF(AF260&gt;0,ROUND(ROUND(AF260*100,0)*ROUND(AD$7*10000,0)/12000000,0)/100,0)</f>
        <v>0</v>
      </c>
      <c r="AF261" s="24">
        <f>IF(AF260&gt;0,ROUND(AF260+AE261-AD261,2),0)</f>
        <v>0</v>
      </c>
      <c r="AG261" s="24">
        <f>IF(AI260&gt;0,MIN(ROUND(AG$6+IF(AG$5=$C261,$E$5+$E261,0),2),ROUND(AI260+AH261,2)),0)</f>
        <v>0</v>
      </c>
      <c r="AH261" s="24">
        <f>IF(AI260&gt;0,ROUND(ROUND(AI260*100,0)*ROUND(AG$7*10000,0)/12000000,0)/100,0)</f>
        <v>0</v>
      </c>
      <c r="AI261" s="24">
        <f>IF(AI260&gt;0,ROUND(AI260+AH261-AG261,2),0)</f>
        <v>0</v>
      </c>
      <c r="AJ261" s="24">
        <f>IF(AL260&gt;0,MIN(ROUND(AJ$6+IF(AJ$5=$C261,$E$5+$E261,0),2),ROUND(AL260+AK261,2)),0)</f>
        <v>0</v>
      </c>
      <c r="AK261" s="24">
        <f>IF(AL260&gt;0,ROUND(ROUND(AL260*100,0)*ROUND(AJ$7*10000,0)/12000000,0)/100,0)</f>
        <v>0</v>
      </c>
      <c r="AL261" s="24">
        <f>IF(AL260&gt;0,ROUND(AL260+AK261-AJ261,2),0)</f>
        <v>0</v>
      </c>
    </row>
    <row r="262" spans="1:38" x14ac:dyDescent="0.25">
      <c r="A262" s="17" t="str">
        <f>IF(F262&gt;0,252,"")</f>
        <v/>
      </c>
      <c r="B262" s="18" t="str">
        <f>IF(F262&gt;0,EDATE($E$6,252),"")</f>
        <v/>
      </c>
      <c r="C262" s="21">
        <f>IF(H261&gt;0,MIN(IF(K261&gt;0,I$5,99),IF(N261&gt;0,L$5,99),IF(Q261&gt;0,O$5,99),IF(T261&gt;0,R$5,99),IF(W261&gt;0,U$5,99),IF(Z261&gt;0,X$5,99),IF(AC261&gt;0,AA$5,99),IF(AF261&gt;0,AD$5,99),IF(AI261&gt;0,AG$5,99),IF(AL261&gt;0,AJ$5,99)),0)</f>
        <v>0</v>
      </c>
      <c r="D262" t="str">
        <f>IF(C262&gt;0,INDEX($I$4:$AL$4,1,MATCH(C262,$I$5:$AL$5,0)),"")</f>
        <v/>
      </c>
      <c r="E262" s="24">
        <f>ROUND(IF(AND(I$8&gt;0,K261=0),I$6,0)+IF(AND(L$8&gt;0,N261=0),L$6,0)+IF(AND(O$8&gt;0,Q261=0),O$6,0)+IF(AND(R$8&gt;0,T261=0),R$6,0)+IF(AND(U$8&gt;0,W261=0),U$6,0)+IF(AND(X$8&gt;0,Z261=0),X$6,0)+IF(AND(AA$8&gt;0,AC261=0),AA$6,0)+IF(AND(AD$8&gt;0,AF261=0),AD$6,0)+IF(AND(AG$8&gt;0,AI261=0),AG$6,0)+IF(AND(AJ$8&gt;0,AL261=0),AJ$6,0),2)</f>
        <v>330</v>
      </c>
      <c r="F262" s="24">
        <f>ROUND(I262+L262+O262+R262+U262+X262+AA262+AD262+AG262+AJ262,2)</f>
        <v>0</v>
      </c>
      <c r="G262" s="24">
        <f>ROUND(J262+M262+P262+S262+V262+Y262+AB262+AE262+AH262+AK262,2)</f>
        <v>0</v>
      </c>
      <c r="H262" s="24">
        <f>ROUND(K262+N262+Q262+T262+W262+Z262+AC262+AF262+AI262+AL262,2)</f>
        <v>0</v>
      </c>
      <c r="I262" s="24">
        <f>IF(K261&gt;0,MIN(ROUND(I$6+IF(I$5=$C262,$E$5+$E262,0),2),ROUND(K261+J262,2)),0)</f>
        <v>0</v>
      </c>
      <c r="J262" s="24">
        <f>IF(K261&gt;0,ROUND(ROUND(K261*100,0)*ROUND(I$7*10000,0)/12000000,0)/100,0)</f>
        <v>0</v>
      </c>
      <c r="K262" s="24">
        <f>IF(K261&gt;0,ROUND(K261+J262-I262,2),0)</f>
        <v>0</v>
      </c>
      <c r="L262" s="24">
        <f>IF(N261&gt;0,MIN(ROUND(L$6+IF(L$5=$C262,$E$5+$E262,0),2),ROUND(N261+M262,2)),0)</f>
        <v>0</v>
      </c>
      <c r="M262" s="24">
        <f>IF(N261&gt;0,ROUND(ROUND(N261*100,0)*ROUND(L$7*10000,0)/12000000,0)/100,0)</f>
        <v>0</v>
      </c>
      <c r="N262" s="24">
        <f>IF(N261&gt;0,ROUND(N261+M262-L262,2),0)</f>
        <v>0</v>
      </c>
      <c r="O262" s="24">
        <f>IF(Q261&gt;0,MIN(ROUND(O$6+IF(O$5=$C262,$E$5+$E262,0),2),ROUND(Q261+P262,2)),0)</f>
        <v>0</v>
      </c>
      <c r="P262" s="24">
        <f>IF(Q261&gt;0,ROUND(ROUND(Q261*100,0)*ROUND(O$7*10000,0)/12000000,0)/100,0)</f>
        <v>0</v>
      </c>
      <c r="Q262" s="24">
        <f>IF(Q261&gt;0,ROUND(Q261+P262-O262,2),0)</f>
        <v>0</v>
      </c>
      <c r="R262" s="24">
        <f>IF(T261&gt;0,MIN(ROUND(R$6+IF(R$5=$C262,$E$5+$E262,0),2),ROUND(T261+S262,2)),0)</f>
        <v>0</v>
      </c>
      <c r="S262" s="24">
        <f>IF(T261&gt;0,ROUND(ROUND(T261*100,0)*ROUND(R$7*10000,0)/12000000,0)/100,0)</f>
        <v>0</v>
      </c>
      <c r="T262" s="24">
        <f>IF(T261&gt;0,ROUND(T261+S262-R262,2),0)</f>
        <v>0</v>
      </c>
      <c r="U262" s="24">
        <f>IF(W261&gt;0,MIN(ROUND(U$6+IF(U$5=$C262,$E$5+$E262,0),2),ROUND(W261+V262,2)),0)</f>
        <v>0</v>
      </c>
      <c r="V262" s="24">
        <f>IF(W261&gt;0,ROUND(ROUND(W261*100,0)*ROUND(U$7*10000,0)/12000000,0)/100,0)</f>
        <v>0</v>
      </c>
      <c r="W262" s="24">
        <f>IF(W261&gt;0,ROUND(W261+V262-U262,2),0)</f>
        <v>0</v>
      </c>
      <c r="X262" s="24">
        <f>IF(Z261&gt;0,MIN(ROUND(X$6+IF(X$5=$C262,$E$5+$E262,0),2),ROUND(Z261+Y262,2)),0)</f>
        <v>0</v>
      </c>
      <c r="Y262" s="24">
        <f>IF(Z261&gt;0,ROUND(ROUND(Z261*100,0)*ROUND(X$7*10000,0)/12000000,0)/100,0)</f>
        <v>0</v>
      </c>
      <c r="Z262" s="24">
        <f>IF(Z261&gt;0,ROUND(Z261+Y262-X262,2),0)</f>
        <v>0</v>
      </c>
      <c r="AA262" s="24">
        <f>IF(AC261&gt;0,MIN(ROUND(AA$6+IF(AA$5=$C262,$E$5+$E262,0),2),ROUND(AC261+AB262,2)),0)</f>
        <v>0</v>
      </c>
      <c r="AB262" s="24">
        <f>IF(AC261&gt;0,ROUND(ROUND(AC261*100,0)*ROUND(AA$7*10000,0)/12000000,0)/100,0)</f>
        <v>0</v>
      </c>
      <c r="AC262" s="24">
        <f>IF(AC261&gt;0,ROUND(AC261+AB262-AA262,2),0)</f>
        <v>0</v>
      </c>
      <c r="AD262" s="24">
        <f>IF(AF261&gt;0,MIN(ROUND(AD$6+IF(AD$5=$C262,$E$5+$E262,0),2),ROUND(AF261+AE262,2)),0)</f>
        <v>0</v>
      </c>
      <c r="AE262" s="24">
        <f>IF(AF261&gt;0,ROUND(ROUND(AF261*100,0)*ROUND(AD$7*10000,0)/12000000,0)/100,0)</f>
        <v>0</v>
      </c>
      <c r="AF262" s="24">
        <f>IF(AF261&gt;0,ROUND(AF261+AE262-AD262,2),0)</f>
        <v>0</v>
      </c>
      <c r="AG262" s="24">
        <f>IF(AI261&gt;0,MIN(ROUND(AG$6+IF(AG$5=$C262,$E$5+$E262,0),2),ROUND(AI261+AH262,2)),0)</f>
        <v>0</v>
      </c>
      <c r="AH262" s="24">
        <f>IF(AI261&gt;0,ROUND(ROUND(AI261*100,0)*ROUND(AG$7*10000,0)/12000000,0)/100,0)</f>
        <v>0</v>
      </c>
      <c r="AI262" s="24">
        <f>IF(AI261&gt;0,ROUND(AI261+AH262-AG262,2),0)</f>
        <v>0</v>
      </c>
      <c r="AJ262" s="24">
        <f>IF(AL261&gt;0,MIN(ROUND(AJ$6+IF(AJ$5=$C262,$E$5+$E262,0),2),ROUND(AL261+AK262,2)),0)</f>
        <v>0</v>
      </c>
      <c r="AK262" s="24">
        <f>IF(AL261&gt;0,ROUND(ROUND(AL261*100,0)*ROUND(AJ$7*10000,0)/12000000,0)/100,0)</f>
        <v>0</v>
      </c>
      <c r="AL262" s="24">
        <f>IF(AL261&gt;0,ROUND(AL261+AK262-AJ262,2),0)</f>
        <v>0</v>
      </c>
    </row>
    <row r="263" spans="1:38" x14ac:dyDescent="0.25">
      <c r="A263" s="17" t="str">
        <f>IF(F263&gt;0,253,"")</f>
        <v/>
      </c>
      <c r="B263" s="18" t="str">
        <f>IF(F263&gt;0,EDATE($E$6,253),"")</f>
        <v/>
      </c>
      <c r="C263" s="21">
        <f>IF(H262&gt;0,MIN(IF(K262&gt;0,I$5,99),IF(N262&gt;0,L$5,99),IF(Q262&gt;0,O$5,99),IF(T262&gt;0,R$5,99),IF(W262&gt;0,U$5,99),IF(Z262&gt;0,X$5,99),IF(AC262&gt;0,AA$5,99),IF(AF262&gt;0,AD$5,99),IF(AI262&gt;0,AG$5,99),IF(AL262&gt;0,AJ$5,99)),0)</f>
        <v>0</v>
      </c>
      <c r="D263" t="str">
        <f>IF(C263&gt;0,INDEX($I$4:$AL$4,1,MATCH(C263,$I$5:$AL$5,0)),"")</f>
        <v/>
      </c>
      <c r="E263" s="24">
        <f>ROUND(IF(AND(I$8&gt;0,K262=0),I$6,0)+IF(AND(L$8&gt;0,N262=0),L$6,0)+IF(AND(O$8&gt;0,Q262=0),O$6,0)+IF(AND(R$8&gt;0,T262=0),R$6,0)+IF(AND(U$8&gt;0,W262=0),U$6,0)+IF(AND(X$8&gt;0,Z262=0),X$6,0)+IF(AND(AA$8&gt;0,AC262=0),AA$6,0)+IF(AND(AD$8&gt;0,AF262=0),AD$6,0)+IF(AND(AG$8&gt;0,AI262=0),AG$6,0)+IF(AND(AJ$8&gt;0,AL262=0),AJ$6,0),2)</f>
        <v>330</v>
      </c>
      <c r="F263" s="24">
        <f>ROUND(I263+L263+O263+R263+U263+X263+AA263+AD263+AG263+AJ263,2)</f>
        <v>0</v>
      </c>
      <c r="G263" s="24">
        <f>ROUND(J263+M263+P263+S263+V263+Y263+AB263+AE263+AH263+AK263,2)</f>
        <v>0</v>
      </c>
      <c r="H263" s="24">
        <f>ROUND(K263+N263+Q263+T263+W263+Z263+AC263+AF263+AI263+AL263,2)</f>
        <v>0</v>
      </c>
      <c r="I263" s="24">
        <f>IF(K262&gt;0,MIN(ROUND(I$6+IF(I$5=$C263,$E$5+$E263,0),2),ROUND(K262+J263,2)),0)</f>
        <v>0</v>
      </c>
      <c r="J263" s="24">
        <f>IF(K262&gt;0,ROUND(ROUND(K262*100,0)*ROUND(I$7*10000,0)/12000000,0)/100,0)</f>
        <v>0</v>
      </c>
      <c r="K263" s="24">
        <f>IF(K262&gt;0,ROUND(K262+J263-I263,2),0)</f>
        <v>0</v>
      </c>
      <c r="L263" s="24">
        <f>IF(N262&gt;0,MIN(ROUND(L$6+IF(L$5=$C263,$E$5+$E263,0),2),ROUND(N262+M263,2)),0)</f>
        <v>0</v>
      </c>
      <c r="M263" s="24">
        <f>IF(N262&gt;0,ROUND(ROUND(N262*100,0)*ROUND(L$7*10000,0)/12000000,0)/100,0)</f>
        <v>0</v>
      </c>
      <c r="N263" s="24">
        <f>IF(N262&gt;0,ROUND(N262+M263-L263,2),0)</f>
        <v>0</v>
      </c>
      <c r="O263" s="24">
        <f>IF(Q262&gt;0,MIN(ROUND(O$6+IF(O$5=$C263,$E$5+$E263,0),2),ROUND(Q262+P263,2)),0)</f>
        <v>0</v>
      </c>
      <c r="P263" s="24">
        <f>IF(Q262&gt;0,ROUND(ROUND(Q262*100,0)*ROUND(O$7*10000,0)/12000000,0)/100,0)</f>
        <v>0</v>
      </c>
      <c r="Q263" s="24">
        <f>IF(Q262&gt;0,ROUND(Q262+P263-O263,2),0)</f>
        <v>0</v>
      </c>
      <c r="R263" s="24">
        <f>IF(T262&gt;0,MIN(ROUND(R$6+IF(R$5=$C263,$E$5+$E263,0),2),ROUND(T262+S263,2)),0)</f>
        <v>0</v>
      </c>
      <c r="S263" s="24">
        <f>IF(T262&gt;0,ROUND(ROUND(T262*100,0)*ROUND(R$7*10000,0)/12000000,0)/100,0)</f>
        <v>0</v>
      </c>
      <c r="T263" s="24">
        <f>IF(T262&gt;0,ROUND(T262+S263-R263,2),0)</f>
        <v>0</v>
      </c>
      <c r="U263" s="24">
        <f>IF(W262&gt;0,MIN(ROUND(U$6+IF(U$5=$C263,$E$5+$E263,0),2),ROUND(W262+V263,2)),0)</f>
        <v>0</v>
      </c>
      <c r="V263" s="24">
        <f>IF(W262&gt;0,ROUND(ROUND(W262*100,0)*ROUND(U$7*10000,0)/12000000,0)/100,0)</f>
        <v>0</v>
      </c>
      <c r="W263" s="24">
        <f>IF(W262&gt;0,ROUND(W262+V263-U263,2),0)</f>
        <v>0</v>
      </c>
      <c r="X263" s="24">
        <f>IF(Z262&gt;0,MIN(ROUND(X$6+IF(X$5=$C263,$E$5+$E263,0),2),ROUND(Z262+Y263,2)),0)</f>
        <v>0</v>
      </c>
      <c r="Y263" s="24">
        <f>IF(Z262&gt;0,ROUND(ROUND(Z262*100,0)*ROUND(X$7*10000,0)/12000000,0)/100,0)</f>
        <v>0</v>
      </c>
      <c r="Z263" s="24">
        <f>IF(Z262&gt;0,ROUND(Z262+Y263-X263,2),0)</f>
        <v>0</v>
      </c>
      <c r="AA263" s="24">
        <f>IF(AC262&gt;0,MIN(ROUND(AA$6+IF(AA$5=$C263,$E$5+$E263,0),2),ROUND(AC262+AB263,2)),0)</f>
        <v>0</v>
      </c>
      <c r="AB263" s="24">
        <f>IF(AC262&gt;0,ROUND(ROUND(AC262*100,0)*ROUND(AA$7*10000,0)/12000000,0)/100,0)</f>
        <v>0</v>
      </c>
      <c r="AC263" s="24">
        <f>IF(AC262&gt;0,ROUND(AC262+AB263-AA263,2),0)</f>
        <v>0</v>
      </c>
      <c r="AD263" s="24">
        <f>IF(AF262&gt;0,MIN(ROUND(AD$6+IF(AD$5=$C263,$E$5+$E263,0),2),ROUND(AF262+AE263,2)),0)</f>
        <v>0</v>
      </c>
      <c r="AE263" s="24">
        <f>IF(AF262&gt;0,ROUND(ROUND(AF262*100,0)*ROUND(AD$7*10000,0)/12000000,0)/100,0)</f>
        <v>0</v>
      </c>
      <c r="AF263" s="24">
        <f>IF(AF262&gt;0,ROUND(AF262+AE263-AD263,2),0)</f>
        <v>0</v>
      </c>
      <c r="AG263" s="24">
        <f>IF(AI262&gt;0,MIN(ROUND(AG$6+IF(AG$5=$C263,$E$5+$E263,0),2),ROUND(AI262+AH263,2)),0)</f>
        <v>0</v>
      </c>
      <c r="AH263" s="24">
        <f>IF(AI262&gt;0,ROUND(ROUND(AI262*100,0)*ROUND(AG$7*10000,0)/12000000,0)/100,0)</f>
        <v>0</v>
      </c>
      <c r="AI263" s="24">
        <f>IF(AI262&gt;0,ROUND(AI262+AH263-AG263,2),0)</f>
        <v>0</v>
      </c>
      <c r="AJ263" s="24">
        <f>IF(AL262&gt;0,MIN(ROUND(AJ$6+IF(AJ$5=$C263,$E$5+$E263,0),2),ROUND(AL262+AK263,2)),0)</f>
        <v>0</v>
      </c>
      <c r="AK263" s="24">
        <f>IF(AL262&gt;0,ROUND(ROUND(AL262*100,0)*ROUND(AJ$7*10000,0)/12000000,0)/100,0)</f>
        <v>0</v>
      </c>
      <c r="AL263" s="24">
        <f>IF(AL262&gt;0,ROUND(AL262+AK263-AJ263,2),0)</f>
        <v>0</v>
      </c>
    </row>
    <row r="264" spans="1:38" x14ac:dyDescent="0.25">
      <c r="A264" s="17" t="str">
        <f>IF(F264&gt;0,254,"")</f>
        <v/>
      </c>
      <c r="B264" s="18" t="str">
        <f>IF(F264&gt;0,EDATE($E$6,254),"")</f>
        <v/>
      </c>
      <c r="C264" s="21">
        <f>IF(H263&gt;0,MIN(IF(K263&gt;0,I$5,99),IF(N263&gt;0,L$5,99),IF(Q263&gt;0,O$5,99),IF(T263&gt;0,R$5,99),IF(W263&gt;0,U$5,99),IF(Z263&gt;0,X$5,99),IF(AC263&gt;0,AA$5,99),IF(AF263&gt;0,AD$5,99),IF(AI263&gt;0,AG$5,99),IF(AL263&gt;0,AJ$5,99)),0)</f>
        <v>0</v>
      </c>
      <c r="D264" t="str">
        <f>IF(C264&gt;0,INDEX($I$4:$AL$4,1,MATCH(C264,$I$5:$AL$5,0)),"")</f>
        <v/>
      </c>
      <c r="E264" s="24">
        <f>ROUND(IF(AND(I$8&gt;0,K263=0),I$6,0)+IF(AND(L$8&gt;0,N263=0),L$6,0)+IF(AND(O$8&gt;0,Q263=0),O$6,0)+IF(AND(R$8&gt;0,T263=0),R$6,0)+IF(AND(U$8&gt;0,W263=0),U$6,0)+IF(AND(X$8&gt;0,Z263=0),X$6,0)+IF(AND(AA$8&gt;0,AC263=0),AA$6,0)+IF(AND(AD$8&gt;0,AF263=0),AD$6,0)+IF(AND(AG$8&gt;0,AI263=0),AG$6,0)+IF(AND(AJ$8&gt;0,AL263=0),AJ$6,0),2)</f>
        <v>330</v>
      </c>
      <c r="F264" s="24">
        <f>ROUND(I264+L264+O264+R264+U264+X264+AA264+AD264+AG264+AJ264,2)</f>
        <v>0</v>
      </c>
      <c r="G264" s="24">
        <f>ROUND(J264+M264+P264+S264+V264+Y264+AB264+AE264+AH264+AK264,2)</f>
        <v>0</v>
      </c>
      <c r="H264" s="24">
        <f>ROUND(K264+N264+Q264+T264+W264+Z264+AC264+AF264+AI264+AL264,2)</f>
        <v>0</v>
      </c>
      <c r="I264" s="24">
        <f>IF(K263&gt;0,MIN(ROUND(I$6+IF(I$5=$C264,$E$5+$E264,0),2),ROUND(K263+J264,2)),0)</f>
        <v>0</v>
      </c>
      <c r="J264" s="24">
        <f>IF(K263&gt;0,ROUND(ROUND(K263*100,0)*ROUND(I$7*10000,0)/12000000,0)/100,0)</f>
        <v>0</v>
      </c>
      <c r="K264" s="24">
        <f>IF(K263&gt;0,ROUND(K263+J264-I264,2),0)</f>
        <v>0</v>
      </c>
      <c r="L264" s="24">
        <f>IF(N263&gt;0,MIN(ROUND(L$6+IF(L$5=$C264,$E$5+$E264,0),2),ROUND(N263+M264,2)),0)</f>
        <v>0</v>
      </c>
      <c r="M264" s="24">
        <f>IF(N263&gt;0,ROUND(ROUND(N263*100,0)*ROUND(L$7*10000,0)/12000000,0)/100,0)</f>
        <v>0</v>
      </c>
      <c r="N264" s="24">
        <f>IF(N263&gt;0,ROUND(N263+M264-L264,2),0)</f>
        <v>0</v>
      </c>
      <c r="O264" s="24">
        <f>IF(Q263&gt;0,MIN(ROUND(O$6+IF(O$5=$C264,$E$5+$E264,0),2),ROUND(Q263+P264,2)),0)</f>
        <v>0</v>
      </c>
      <c r="P264" s="24">
        <f>IF(Q263&gt;0,ROUND(ROUND(Q263*100,0)*ROUND(O$7*10000,0)/12000000,0)/100,0)</f>
        <v>0</v>
      </c>
      <c r="Q264" s="24">
        <f>IF(Q263&gt;0,ROUND(Q263+P264-O264,2),0)</f>
        <v>0</v>
      </c>
      <c r="R264" s="24">
        <f>IF(T263&gt;0,MIN(ROUND(R$6+IF(R$5=$C264,$E$5+$E264,0),2),ROUND(T263+S264,2)),0)</f>
        <v>0</v>
      </c>
      <c r="S264" s="24">
        <f>IF(T263&gt;0,ROUND(ROUND(T263*100,0)*ROUND(R$7*10000,0)/12000000,0)/100,0)</f>
        <v>0</v>
      </c>
      <c r="T264" s="24">
        <f>IF(T263&gt;0,ROUND(T263+S264-R264,2),0)</f>
        <v>0</v>
      </c>
      <c r="U264" s="24">
        <f>IF(W263&gt;0,MIN(ROUND(U$6+IF(U$5=$C264,$E$5+$E264,0),2),ROUND(W263+V264,2)),0)</f>
        <v>0</v>
      </c>
      <c r="V264" s="24">
        <f>IF(W263&gt;0,ROUND(ROUND(W263*100,0)*ROUND(U$7*10000,0)/12000000,0)/100,0)</f>
        <v>0</v>
      </c>
      <c r="W264" s="24">
        <f>IF(W263&gt;0,ROUND(W263+V264-U264,2),0)</f>
        <v>0</v>
      </c>
      <c r="X264" s="24">
        <f>IF(Z263&gt;0,MIN(ROUND(X$6+IF(X$5=$C264,$E$5+$E264,0),2),ROUND(Z263+Y264,2)),0)</f>
        <v>0</v>
      </c>
      <c r="Y264" s="24">
        <f>IF(Z263&gt;0,ROUND(ROUND(Z263*100,0)*ROUND(X$7*10000,0)/12000000,0)/100,0)</f>
        <v>0</v>
      </c>
      <c r="Z264" s="24">
        <f>IF(Z263&gt;0,ROUND(Z263+Y264-X264,2),0)</f>
        <v>0</v>
      </c>
      <c r="AA264" s="24">
        <f>IF(AC263&gt;0,MIN(ROUND(AA$6+IF(AA$5=$C264,$E$5+$E264,0),2),ROUND(AC263+AB264,2)),0)</f>
        <v>0</v>
      </c>
      <c r="AB264" s="24">
        <f>IF(AC263&gt;0,ROUND(ROUND(AC263*100,0)*ROUND(AA$7*10000,0)/12000000,0)/100,0)</f>
        <v>0</v>
      </c>
      <c r="AC264" s="24">
        <f>IF(AC263&gt;0,ROUND(AC263+AB264-AA264,2),0)</f>
        <v>0</v>
      </c>
      <c r="AD264" s="24">
        <f>IF(AF263&gt;0,MIN(ROUND(AD$6+IF(AD$5=$C264,$E$5+$E264,0),2),ROUND(AF263+AE264,2)),0)</f>
        <v>0</v>
      </c>
      <c r="AE264" s="24">
        <f>IF(AF263&gt;0,ROUND(ROUND(AF263*100,0)*ROUND(AD$7*10000,0)/12000000,0)/100,0)</f>
        <v>0</v>
      </c>
      <c r="AF264" s="24">
        <f>IF(AF263&gt;0,ROUND(AF263+AE264-AD264,2),0)</f>
        <v>0</v>
      </c>
      <c r="AG264" s="24">
        <f>IF(AI263&gt;0,MIN(ROUND(AG$6+IF(AG$5=$C264,$E$5+$E264,0),2),ROUND(AI263+AH264,2)),0)</f>
        <v>0</v>
      </c>
      <c r="AH264" s="24">
        <f>IF(AI263&gt;0,ROUND(ROUND(AI263*100,0)*ROUND(AG$7*10000,0)/12000000,0)/100,0)</f>
        <v>0</v>
      </c>
      <c r="AI264" s="24">
        <f>IF(AI263&gt;0,ROUND(AI263+AH264-AG264,2),0)</f>
        <v>0</v>
      </c>
      <c r="AJ264" s="24">
        <f>IF(AL263&gt;0,MIN(ROUND(AJ$6+IF(AJ$5=$C264,$E$5+$E264,0),2),ROUND(AL263+AK264,2)),0)</f>
        <v>0</v>
      </c>
      <c r="AK264" s="24">
        <f>IF(AL263&gt;0,ROUND(ROUND(AL263*100,0)*ROUND(AJ$7*10000,0)/12000000,0)/100,0)</f>
        <v>0</v>
      </c>
      <c r="AL264" s="24">
        <f>IF(AL263&gt;0,ROUND(AL263+AK264-AJ264,2),0)</f>
        <v>0</v>
      </c>
    </row>
    <row r="265" spans="1:38" x14ac:dyDescent="0.25">
      <c r="A265" s="17" t="str">
        <f>IF(F265&gt;0,255,"")</f>
        <v/>
      </c>
      <c r="B265" s="18" t="str">
        <f>IF(F265&gt;0,EDATE($E$6,255),"")</f>
        <v/>
      </c>
      <c r="C265" s="21">
        <f>IF(H264&gt;0,MIN(IF(K264&gt;0,I$5,99),IF(N264&gt;0,L$5,99),IF(Q264&gt;0,O$5,99),IF(T264&gt;0,R$5,99),IF(W264&gt;0,U$5,99),IF(Z264&gt;0,X$5,99),IF(AC264&gt;0,AA$5,99),IF(AF264&gt;0,AD$5,99),IF(AI264&gt;0,AG$5,99),IF(AL264&gt;0,AJ$5,99)),0)</f>
        <v>0</v>
      </c>
      <c r="D265" t="str">
        <f>IF(C265&gt;0,INDEX($I$4:$AL$4,1,MATCH(C265,$I$5:$AL$5,0)),"")</f>
        <v/>
      </c>
      <c r="E265" s="24">
        <f>ROUND(IF(AND(I$8&gt;0,K264=0),I$6,0)+IF(AND(L$8&gt;0,N264=0),L$6,0)+IF(AND(O$8&gt;0,Q264=0),O$6,0)+IF(AND(R$8&gt;0,T264=0),R$6,0)+IF(AND(U$8&gt;0,W264=0),U$6,0)+IF(AND(X$8&gt;0,Z264=0),X$6,0)+IF(AND(AA$8&gt;0,AC264=0),AA$6,0)+IF(AND(AD$8&gt;0,AF264=0),AD$6,0)+IF(AND(AG$8&gt;0,AI264=0),AG$6,0)+IF(AND(AJ$8&gt;0,AL264=0),AJ$6,0),2)</f>
        <v>330</v>
      </c>
      <c r="F265" s="24">
        <f>ROUND(I265+L265+O265+R265+U265+X265+AA265+AD265+AG265+AJ265,2)</f>
        <v>0</v>
      </c>
      <c r="G265" s="24">
        <f>ROUND(J265+M265+P265+S265+V265+Y265+AB265+AE265+AH265+AK265,2)</f>
        <v>0</v>
      </c>
      <c r="H265" s="24">
        <f>ROUND(K265+N265+Q265+T265+W265+Z265+AC265+AF265+AI265+AL265,2)</f>
        <v>0</v>
      </c>
      <c r="I265" s="24">
        <f>IF(K264&gt;0,MIN(ROUND(I$6+IF(I$5=$C265,$E$5+$E265,0),2),ROUND(K264+J265,2)),0)</f>
        <v>0</v>
      </c>
      <c r="J265" s="24">
        <f>IF(K264&gt;0,ROUND(ROUND(K264*100,0)*ROUND(I$7*10000,0)/12000000,0)/100,0)</f>
        <v>0</v>
      </c>
      <c r="K265" s="24">
        <f>IF(K264&gt;0,ROUND(K264+J265-I265,2),0)</f>
        <v>0</v>
      </c>
      <c r="L265" s="24">
        <f>IF(N264&gt;0,MIN(ROUND(L$6+IF(L$5=$C265,$E$5+$E265,0),2),ROUND(N264+M265,2)),0)</f>
        <v>0</v>
      </c>
      <c r="M265" s="24">
        <f>IF(N264&gt;0,ROUND(ROUND(N264*100,0)*ROUND(L$7*10000,0)/12000000,0)/100,0)</f>
        <v>0</v>
      </c>
      <c r="N265" s="24">
        <f>IF(N264&gt;0,ROUND(N264+M265-L265,2),0)</f>
        <v>0</v>
      </c>
      <c r="O265" s="24">
        <f>IF(Q264&gt;0,MIN(ROUND(O$6+IF(O$5=$C265,$E$5+$E265,0),2),ROUND(Q264+P265,2)),0)</f>
        <v>0</v>
      </c>
      <c r="P265" s="24">
        <f>IF(Q264&gt;0,ROUND(ROUND(Q264*100,0)*ROUND(O$7*10000,0)/12000000,0)/100,0)</f>
        <v>0</v>
      </c>
      <c r="Q265" s="24">
        <f>IF(Q264&gt;0,ROUND(Q264+P265-O265,2),0)</f>
        <v>0</v>
      </c>
      <c r="R265" s="24">
        <f>IF(T264&gt;0,MIN(ROUND(R$6+IF(R$5=$C265,$E$5+$E265,0),2),ROUND(T264+S265,2)),0)</f>
        <v>0</v>
      </c>
      <c r="S265" s="24">
        <f>IF(T264&gt;0,ROUND(ROUND(T264*100,0)*ROUND(R$7*10000,0)/12000000,0)/100,0)</f>
        <v>0</v>
      </c>
      <c r="T265" s="24">
        <f>IF(T264&gt;0,ROUND(T264+S265-R265,2),0)</f>
        <v>0</v>
      </c>
      <c r="U265" s="24">
        <f>IF(W264&gt;0,MIN(ROUND(U$6+IF(U$5=$C265,$E$5+$E265,0),2),ROUND(W264+V265,2)),0)</f>
        <v>0</v>
      </c>
      <c r="V265" s="24">
        <f>IF(W264&gt;0,ROUND(ROUND(W264*100,0)*ROUND(U$7*10000,0)/12000000,0)/100,0)</f>
        <v>0</v>
      </c>
      <c r="W265" s="24">
        <f>IF(W264&gt;0,ROUND(W264+V265-U265,2),0)</f>
        <v>0</v>
      </c>
      <c r="X265" s="24">
        <f>IF(Z264&gt;0,MIN(ROUND(X$6+IF(X$5=$C265,$E$5+$E265,0),2),ROUND(Z264+Y265,2)),0)</f>
        <v>0</v>
      </c>
      <c r="Y265" s="24">
        <f>IF(Z264&gt;0,ROUND(ROUND(Z264*100,0)*ROUND(X$7*10000,0)/12000000,0)/100,0)</f>
        <v>0</v>
      </c>
      <c r="Z265" s="24">
        <f>IF(Z264&gt;0,ROUND(Z264+Y265-X265,2),0)</f>
        <v>0</v>
      </c>
      <c r="AA265" s="24">
        <f>IF(AC264&gt;0,MIN(ROUND(AA$6+IF(AA$5=$C265,$E$5+$E265,0),2),ROUND(AC264+AB265,2)),0)</f>
        <v>0</v>
      </c>
      <c r="AB265" s="24">
        <f>IF(AC264&gt;0,ROUND(ROUND(AC264*100,0)*ROUND(AA$7*10000,0)/12000000,0)/100,0)</f>
        <v>0</v>
      </c>
      <c r="AC265" s="24">
        <f>IF(AC264&gt;0,ROUND(AC264+AB265-AA265,2),0)</f>
        <v>0</v>
      </c>
      <c r="AD265" s="24">
        <f>IF(AF264&gt;0,MIN(ROUND(AD$6+IF(AD$5=$C265,$E$5+$E265,0),2),ROUND(AF264+AE265,2)),0)</f>
        <v>0</v>
      </c>
      <c r="AE265" s="24">
        <f>IF(AF264&gt;0,ROUND(ROUND(AF264*100,0)*ROUND(AD$7*10000,0)/12000000,0)/100,0)</f>
        <v>0</v>
      </c>
      <c r="AF265" s="24">
        <f>IF(AF264&gt;0,ROUND(AF264+AE265-AD265,2),0)</f>
        <v>0</v>
      </c>
      <c r="AG265" s="24">
        <f>IF(AI264&gt;0,MIN(ROUND(AG$6+IF(AG$5=$C265,$E$5+$E265,0),2),ROUND(AI264+AH265,2)),0)</f>
        <v>0</v>
      </c>
      <c r="AH265" s="24">
        <f>IF(AI264&gt;0,ROUND(ROUND(AI264*100,0)*ROUND(AG$7*10000,0)/12000000,0)/100,0)</f>
        <v>0</v>
      </c>
      <c r="AI265" s="24">
        <f>IF(AI264&gt;0,ROUND(AI264+AH265-AG265,2),0)</f>
        <v>0</v>
      </c>
      <c r="AJ265" s="24">
        <f>IF(AL264&gt;0,MIN(ROUND(AJ$6+IF(AJ$5=$C265,$E$5+$E265,0),2),ROUND(AL264+AK265,2)),0)</f>
        <v>0</v>
      </c>
      <c r="AK265" s="24">
        <f>IF(AL264&gt;0,ROUND(ROUND(AL264*100,0)*ROUND(AJ$7*10000,0)/12000000,0)/100,0)</f>
        <v>0</v>
      </c>
      <c r="AL265" s="24">
        <f>IF(AL264&gt;0,ROUND(AL264+AK265-AJ265,2),0)</f>
        <v>0</v>
      </c>
    </row>
    <row r="266" spans="1:38" x14ac:dyDescent="0.25">
      <c r="A266" s="17" t="str">
        <f>IF(F266&gt;0,256,"")</f>
        <v/>
      </c>
      <c r="B266" s="18" t="str">
        <f>IF(F266&gt;0,EDATE($E$6,256),"")</f>
        <v/>
      </c>
      <c r="C266" s="21">
        <f>IF(H265&gt;0,MIN(IF(K265&gt;0,I$5,99),IF(N265&gt;0,L$5,99),IF(Q265&gt;0,O$5,99),IF(T265&gt;0,R$5,99),IF(W265&gt;0,U$5,99),IF(Z265&gt;0,X$5,99),IF(AC265&gt;0,AA$5,99),IF(AF265&gt;0,AD$5,99),IF(AI265&gt;0,AG$5,99),IF(AL265&gt;0,AJ$5,99)),0)</f>
        <v>0</v>
      </c>
      <c r="D266" t="str">
        <f>IF(C266&gt;0,INDEX($I$4:$AL$4,1,MATCH(C266,$I$5:$AL$5,0)),"")</f>
        <v/>
      </c>
      <c r="E266" s="24">
        <f>ROUND(IF(AND(I$8&gt;0,K265=0),I$6,0)+IF(AND(L$8&gt;0,N265=0),L$6,0)+IF(AND(O$8&gt;0,Q265=0),O$6,0)+IF(AND(R$8&gt;0,T265=0),R$6,0)+IF(AND(U$8&gt;0,W265=0),U$6,0)+IF(AND(X$8&gt;0,Z265=0),X$6,0)+IF(AND(AA$8&gt;0,AC265=0),AA$6,0)+IF(AND(AD$8&gt;0,AF265=0),AD$6,0)+IF(AND(AG$8&gt;0,AI265=0),AG$6,0)+IF(AND(AJ$8&gt;0,AL265=0),AJ$6,0),2)</f>
        <v>330</v>
      </c>
      <c r="F266" s="24">
        <f>ROUND(I266+L266+O266+R266+U266+X266+AA266+AD266+AG266+AJ266,2)</f>
        <v>0</v>
      </c>
      <c r="G266" s="24">
        <f>ROUND(J266+M266+P266+S266+V266+Y266+AB266+AE266+AH266+AK266,2)</f>
        <v>0</v>
      </c>
      <c r="H266" s="24">
        <f>ROUND(K266+N266+Q266+T266+W266+Z266+AC266+AF266+AI266+AL266,2)</f>
        <v>0</v>
      </c>
      <c r="I266" s="24">
        <f>IF(K265&gt;0,MIN(ROUND(I$6+IF(I$5=$C266,$E$5+$E266,0),2),ROUND(K265+J266,2)),0)</f>
        <v>0</v>
      </c>
      <c r="J266" s="24">
        <f>IF(K265&gt;0,ROUND(ROUND(K265*100,0)*ROUND(I$7*10000,0)/12000000,0)/100,0)</f>
        <v>0</v>
      </c>
      <c r="K266" s="24">
        <f>IF(K265&gt;0,ROUND(K265+J266-I266,2),0)</f>
        <v>0</v>
      </c>
      <c r="L266" s="24">
        <f>IF(N265&gt;0,MIN(ROUND(L$6+IF(L$5=$C266,$E$5+$E266,0),2),ROUND(N265+M266,2)),0)</f>
        <v>0</v>
      </c>
      <c r="M266" s="24">
        <f>IF(N265&gt;0,ROUND(ROUND(N265*100,0)*ROUND(L$7*10000,0)/12000000,0)/100,0)</f>
        <v>0</v>
      </c>
      <c r="N266" s="24">
        <f>IF(N265&gt;0,ROUND(N265+M266-L266,2),0)</f>
        <v>0</v>
      </c>
      <c r="O266" s="24">
        <f>IF(Q265&gt;0,MIN(ROUND(O$6+IF(O$5=$C266,$E$5+$E266,0),2),ROUND(Q265+P266,2)),0)</f>
        <v>0</v>
      </c>
      <c r="P266" s="24">
        <f>IF(Q265&gt;0,ROUND(ROUND(Q265*100,0)*ROUND(O$7*10000,0)/12000000,0)/100,0)</f>
        <v>0</v>
      </c>
      <c r="Q266" s="24">
        <f>IF(Q265&gt;0,ROUND(Q265+P266-O266,2),0)</f>
        <v>0</v>
      </c>
      <c r="R266" s="24">
        <f>IF(T265&gt;0,MIN(ROUND(R$6+IF(R$5=$C266,$E$5+$E266,0),2),ROUND(T265+S266,2)),0)</f>
        <v>0</v>
      </c>
      <c r="S266" s="24">
        <f>IF(T265&gt;0,ROUND(ROUND(T265*100,0)*ROUND(R$7*10000,0)/12000000,0)/100,0)</f>
        <v>0</v>
      </c>
      <c r="T266" s="24">
        <f>IF(T265&gt;0,ROUND(T265+S266-R266,2),0)</f>
        <v>0</v>
      </c>
      <c r="U266" s="24">
        <f>IF(W265&gt;0,MIN(ROUND(U$6+IF(U$5=$C266,$E$5+$E266,0),2),ROUND(W265+V266,2)),0)</f>
        <v>0</v>
      </c>
      <c r="V266" s="24">
        <f>IF(W265&gt;0,ROUND(ROUND(W265*100,0)*ROUND(U$7*10000,0)/12000000,0)/100,0)</f>
        <v>0</v>
      </c>
      <c r="W266" s="24">
        <f>IF(W265&gt;0,ROUND(W265+V266-U266,2),0)</f>
        <v>0</v>
      </c>
      <c r="X266" s="24">
        <f>IF(Z265&gt;0,MIN(ROUND(X$6+IF(X$5=$C266,$E$5+$E266,0),2),ROUND(Z265+Y266,2)),0)</f>
        <v>0</v>
      </c>
      <c r="Y266" s="24">
        <f>IF(Z265&gt;0,ROUND(ROUND(Z265*100,0)*ROUND(X$7*10000,0)/12000000,0)/100,0)</f>
        <v>0</v>
      </c>
      <c r="Z266" s="24">
        <f>IF(Z265&gt;0,ROUND(Z265+Y266-X266,2),0)</f>
        <v>0</v>
      </c>
      <c r="AA266" s="24">
        <f>IF(AC265&gt;0,MIN(ROUND(AA$6+IF(AA$5=$C266,$E$5+$E266,0),2),ROUND(AC265+AB266,2)),0)</f>
        <v>0</v>
      </c>
      <c r="AB266" s="24">
        <f>IF(AC265&gt;0,ROUND(ROUND(AC265*100,0)*ROUND(AA$7*10000,0)/12000000,0)/100,0)</f>
        <v>0</v>
      </c>
      <c r="AC266" s="24">
        <f>IF(AC265&gt;0,ROUND(AC265+AB266-AA266,2),0)</f>
        <v>0</v>
      </c>
      <c r="AD266" s="24">
        <f>IF(AF265&gt;0,MIN(ROUND(AD$6+IF(AD$5=$C266,$E$5+$E266,0),2),ROUND(AF265+AE266,2)),0)</f>
        <v>0</v>
      </c>
      <c r="AE266" s="24">
        <f>IF(AF265&gt;0,ROUND(ROUND(AF265*100,0)*ROUND(AD$7*10000,0)/12000000,0)/100,0)</f>
        <v>0</v>
      </c>
      <c r="AF266" s="24">
        <f>IF(AF265&gt;0,ROUND(AF265+AE266-AD266,2),0)</f>
        <v>0</v>
      </c>
      <c r="AG266" s="24">
        <f>IF(AI265&gt;0,MIN(ROUND(AG$6+IF(AG$5=$C266,$E$5+$E266,0),2),ROUND(AI265+AH266,2)),0)</f>
        <v>0</v>
      </c>
      <c r="AH266" s="24">
        <f>IF(AI265&gt;0,ROUND(ROUND(AI265*100,0)*ROUND(AG$7*10000,0)/12000000,0)/100,0)</f>
        <v>0</v>
      </c>
      <c r="AI266" s="24">
        <f>IF(AI265&gt;0,ROUND(AI265+AH266-AG266,2),0)</f>
        <v>0</v>
      </c>
      <c r="AJ266" s="24">
        <f>IF(AL265&gt;0,MIN(ROUND(AJ$6+IF(AJ$5=$C266,$E$5+$E266,0),2),ROUND(AL265+AK266,2)),0)</f>
        <v>0</v>
      </c>
      <c r="AK266" s="24">
        <f>IF(AL265&gt;0,ROUND(ROUND(AL265*100,0)*ROUND(AJ$7*10000,0)/12000000,0)/100,0)</f>
        <v>0</v>
      </c>
      <c r="AL266" s="24">
        <f>IF(AL265&gt;0,ROUND(AL265+AK266-AJ266,2),0)</f>
        <v>0</v>
      </c>
    </row>
    <row r="267" spans="1:38" x14ac:dyDescent="0.25">
      <c r="A267" s="17" t="str">
        <f>IF(F267&gt;0,257,"")</f>
        <v/>
      </c>
      <c r="B267" s="18" t="str">
        <f>IF(F267&gt;0,EDATE($E$6,257),"")</f>
        <v/>
      </c>
      <c r="C267" s="21">
        <f>IF(H266&gt;0,MIN(IF(K266&gt;0,I$5,99),IF(N266&gt;0,L$5,99),IF(Q266&gt;0,O$5,99),IF(T266&gt;0,R$5,99),IF(W266&gt;0,U$5,99),IF(Z266&gt;0,X$5,99),IF(AC266&gt;0,AA$5,99),IF(AF266&gt;0,AD$5,99),IF(AI266&gt;0,AG$5,99),IF(AL266&gt;0,AJ$5,99)),0)</f>
        <v>0</v>
      </c>
      <c r="D267" t="str">
        <f>IF(C267&gt;0,INDEX($I$4:$AL$4,1,MATCH(C267,$I$5:$AL$5,0)),"")</f>
        <v/>
      </c>
      <c r="E267" s="24">
        <f>ROUND(IF(AND(I$8&gt;0,K266=0),I$6,0)+IF(AND(L$8&gt;0,N266=0),L$6,0)+IF(AND(O$8&gt;0,Q266=0),O$6,0)+IF(AND(R$8&gt;0,T266=0),R$6,0)+IF(AND(U$8&gt;0,W266=0),U$6,0)+IF(AND(X$8&gt;0,Z266=0),X$6,0)+IF(AND(AA$8&gt;0,AC266=0),AA$6,0)+IF(AND(AD$8&gt;0,AF266=0),AD$6,0)+IF(AND(AG$8&gt;0,AI266=0),AG$6,0)+IF(AND(AJ$8&gt;0,AL266=0),AJ$6,0),2)</f>
        <v>330</v>
      </c>
      <c r="F267" s="24">
        <f>ROUND(I267+L267+O267+R267+U267+X267+AA267+AD267+AG267+AJ267,2)</f>
        <v>0</v>
      </c>
      <c r="G267" s="24">
        <f>ROUND(J267+M267+P267+S267+V267+Y267+AB267+AE267+AH267+AK267,2)</f>
        <v>0</v>
      </c>
      <c r="H267" s="24">
        <f>ROUND(K267+N267+Q267+T267+W267+Z267+AC267+AF267+AI267+AL267,2)</f>
        <v>0</v>
      </c>
      <c r="I267" s="24">
        <f>IF(K266&gt;0,MIN(ROUND(I$6+IF(I$5=$C267,$E$5+$E267,0),2),ROUND(K266+J267,2)),0)</f>
        <v>0</v>
      </c>
      <c r="J267" s="24">
        <f>IF(K266&gt;0,ROUND(ROUND(K266*100,0)*ROUND(I$7*10000,0)/12000000,0)/100,0)</f>
        <v>0</v>
      </c>
      <c r="K267" s="24">
        <f>IF(K266&gt;0,ROUND(K266+J267-I267,2),0)</f>
        <v>0</v>
      </c>
      <c r="L267" s="24">
        <f>IF(N266&gt;0,MIN(ROUND(L$6+IF(L$5=$C267,$E$5+$E267,0),2),ROUND(N266+M267,2)),0)</f>
        <v>0</v>
      </c>
      <c r="M267" s="24">
        <f>IF(N266&gt;0,ROUND(ROUND(N266*100,0)*ROUND(L$7*10000,0)/12000000,0)/100,0)</f>
        <v>0</v>
      </c>
      <c r="N267" s="24">
        <f>IF(N266&gt;0,ROUND(N266+M267-L267,2),0)</f>
        <v>0</v>
      </c>
      <c r="O267" s="24">
        <f>IF(Q266&gt;0,MIN(ROUND(O$6+IF(O$5=$C267,$E$5+$E267,0),2),ROUND(Q266+P267,2)),0)</f>
        <v>0</v>
      </c>
      <c r="P267" s="24">
        <f>IF(Q266&gt;0,ROUND(ROUND(Q266*100,0)*ROUND(O$7*10000,0)/12000000,0)/100,0)</f>
        <v>0</v>
      </c>
      <c r="Q267" s="24">
        <f>IF(Q266&gt;0,ROUND(Q266+P267-O267,2),0)</f>
        <v>0</v>
      </c>
      <c r="R267" s="24">
        <f>IF(T266&gt;0,MIN(ROUND(R$6+IF(R$5=$C267,$E$5+$E267,0),2),ROUND(T266+S267,2)),0)</f>
        <v>0</v>
      </c>
      <c r="S267" s="24">
        <f>IF(T266&gt;0,ROUND(ROUND(T266*100,0)*ROUND(R$7*10000,0)/12000000,0)/100,0)</f>
        <v>0</v>
      </c>
      <c r="T267" s="24">
        <f>IF(T266&gt;0,ROUND(T266+S267-R267,2),0)</f>
        <v>0</v>
      </c>
      <c r="U267" s="24">
        <f>IF(W266&gt;0,MIN(ROUND(U$6+IF(U$5=$C267,$E$5+$E267,0),2),ROUND(W266+V267,2)),0)</f>
        <v>0</v>
      </c>
      <c r="V267" s="24">
        <f>IF(W266&gt;0,ROUND(ROUND(W266*100,0)*ROUND(U$7*10000,0)/12000000,0)/100,0)</f>
        <v>0</v>
      </c>
      <c r="W267" s="24">
        <f>IF(W266&gt;0,ROUND(W266+V267-U267,2),0)</f>
        <v>0</v>
      </c>
      <c r="X267" s="24">
        <f>IF(Z266&gt;0,MIN(ROUND(X$6+IF(X$5=$C267,$E$5+$E267,0),2),ROUND(Z266+Y267,2)),0)</f>
        <v>0</v>
      </c>
      <c r="Y267" s="24">
        <f>IF(Z266&gt;0,ROUND(ROUND(Z266*100,0)*ROUND(X$7*10000,0)/12000000,0)/100,0)</f>
        <v>0</v>
      </c>
      <c r="Z267" s="24">
        <f>IF(Z266&gt;0,ROUND(Z266+Y267-X267,2),0)</f>
        <v>0</v>
      </c>
      <c r="AA267" s="24">
        <f>IF(AC266&gt;0,MIN(ROUND(AA$6+IF(AA$5=$C267,$E$5+$E267,0),2),ROUND(AC266+AB267,2)),0)</f>
        <v>0</v>
      </c>
      <c r="AB267" s="24">
        <f>IF(AC266&gt;0,ROUND(ROUND(AC266*100,0)*ROUND(AA$7*10000,0)/12000000,0)/100,0)</f>
        <v>0</v>
      </c>
      <c r="AC267" s="24">
        <f>IF(AC266&gt;0,ROUND(AC266+AB267-AA267,2),0)</f>
        <v>0</v>
      </c>
      <c r="AD267" s="24">
        <f>IF(AF266&gt;0,MIN(ROUND(AD$6+IF(AD$5=$C267,$E$5+$E267,0),2),ROUND(AF266+AE267,2)),0)</f>
        <v>0</v>
      </c>
      <c r="AE267" s="24">
        <f>IF(AF266&gt;0,ROUND(ROUND(AF266*100,0)*ROUND(AD$7*10000,0)/12000000,0)/100,0)</f>
        <v>0</v>
      </c>
      <c r="AF267" s="24">
        <f>IF(AF266&gt;0,ROUND(AF266+AE267-AD267,2),0)</f>
        <v>0</v>
      </c>
      <c r="AG267" s="24">
        <f>IF(AI266&gt;0,MIN(ROUND(AG$6+IF(AG$5=$C267,$E$5+$E267,0),2),ROUND(AI266+AH267,2)),0)</f>
        <v>0</v>
      </c>
      <c r="AH267" s="24">
        <f>IF(AI266&gt;0,ROUND(ROUND(AI266*100,0)*ROUND(AG$7*10000,0)/12000000,0)/100,0)</f>
        <v>0</v>
      </c>
      <c r="AI267" s="24">
        <f>IF(AI266&gt;0,ROUND(AI266+AH267-AG267,2),0)</f>
        <v>0</v>
      </c>
      <c r="AJ267" s="24">
        <f>IF(AL266&gt;0,MIN(ROUND(AJ$6+IF(AJ$5=$C267,$E$5+$E267,0),2),ROUND(AL266+AK267,2)),0)</f>
        <v>0</v>
      </c>
      <c r="AK267" s="24">
        <f>IF(AL266&gt;0,ROUND(ROUND(AL266*100,0)*ROUND(AJ$7*10000,0)/12000000,0)/100,0)</f>
        <v>0</v>
      </c>
      <c r="AL267" s="24">
        <f>IF(AL266&gt;0,ROUND(AL266+AK267-AJ267,2),0)</f>
        <v>0</v>
      </c>
    </row>
    <row r="268" spans="1:38" x14ac:dyDescent="0.25">
      <c r="A268" s="17" t="str">
        <f>IF(F268&gt;0,258,"")</f>
        <v/>
      </c>
      <c r="B268" s="18" t="str">
        <f>IF(F268&gt;0,EDATE($E$6,258),"")</f>
        <v/>
      </c>
      <c r="C268" s="21">
        <f>IF(H267&gt;0,MIN(IF(K267&gt;0,I$5,99),IF(N267&gt;0,L$5,99),IF(Q267&gt;0,O$5,99),IF(T267&gt;0,R$5,99),IF(W267&gt;0,U$5,99),IF(Z267&gt;0,X$5,99),IF(AC267&gt;0,AA$5,99),IF(AF267&gt;0,AD$5,99),IF(AI267&gt;0,AG$5,99),IF(AL267&gt;0,AJ$5,99)),0)</f>
        <v>0</v>
      </c>
      <c r="D268" t="str">
        <f>IF(C268&gt;0,INDEX($I$4:$AL$4,1,MATCH(C268,$I$5:$AL$5,0)),"")</f>
        <v/>
      </c>
      <c r="E268" s="24">
        <f>ROUND(IF(AND(I$8&gt;0,K267=0),I$6,0)+IF(AND(L$8&gt;0,N267=0),L$6,0)+IF(AND(O$8&gt;0,Q267=0),O$6,0)+IF(AND(R$8&gt;0,T267=0),R$6,0)+IF(AND(U$8&gt;0,W267=0),U$6,0)+IF(AND(X$8&gt;0,Z267=0),X$6,0)+IF(AND(AA$8&gt;0,AC267=0),AA$6,0)+IF(AND(AD$8&gt;0,AF267=0),AD$6,0)+IF(AND(AG$8&gt;0,AI267=0),AG$6,0)+IF(AND(AJ$8&gt;0,AL267=0),AJ$6,0),2)</f>
        <v>330</v>
      </c>
      <c r="F268" s="24">
        <f>ROUND(I268+L268+O268+R268+U268+X268+AA268+AD268+AG268+AJ268,2)</f>
        <v>0</v>
      </c>
      <c r="G268" s="24">
        <f>ROUND(J268+M268+P268+S268+V268+Y268+AB268+AE268+AH268+AK268,2)</f>
        <v>0</v>
      </c>
      <c r="H268" s="24">
        <f>ROUND(K268+N268+Q268+T268+W268+Z268+AC268+AF268+AI268+AL268,2)</f>
        <v>0</v>
      </c>
      <c r="I268" s="24">
        <f>IF(K267&gt;0,MIN(ROUND(I$6+IF(I$5=$C268,$E$5+$E268,0),2),ROUND(K267+J268,2)),0)</f>
        <v>0</v>
      </c>
      <c r="J268" s="24">
        <f>IF(K267&gt;0,ROUND(ROUND(K267*100,0)*ROUND(I$7*10000,0)/12000000,0)/100,0)</f>
        <v>0</v>
      </c>
      <c r="K268" s="24">
        <f>IF(K267&gt;0,ROUND(K267+J268-I268,2),0)</f>
        <v>0</v>
      </c>
      <c r="L268" s="24">
        <f>IF(N267&gt;0,MIN(ROUND(L$6+IF(L$5=$C268,$E$5+$E268,0),2),ROUND(N267+M268,2)),0)</f>
        <v>0</v>
      </c>
      <c r="M268" s="24">
        <f>IF(N267&gt;0,ROUND(ROUND(N267*100,0)*ROUND(L$7*10000,0)/12000000,0)/100,0)</f>
        <v>0</v>
      </c>
      <c r="N268" s="24">
        <f>IF(N267&gt;0,ROUND(N267+M268-L268,2),0)</f>
        <v>0</v>
      </c>
      <c r="O268" s="24">
        <f>IF(Q267&gt;0,MIN(ROUND(O$6+IF(O$5=$C268,$E$5+$E268,0),2),ROUND(Q267+P268,2)),0)</f>
        <v>0</v>
      </c>
      <c r="P268" s="24">
        <f>IF(Q267&gt;0,ROUND(ROUND(Q267*100,0)*ROUND(O$7*10000,0)/12000000,0)/100,0)</f>
        <v>0</v>
      </c>
      <c r="Q268" s="24">
        <f>IF(Q267&gt;0,ROUND(Q267+P268-O268,2),0)</f>
        <v>0</v>
      </c>
      <c r="R268" s="24">
        <f>IF(T267&gt;0,MIN(ROUND(R$6+IF(R$5=$C268,$E$5+$E268,0),2),ROUND(T267+S268,2)),0)</f>
        <v>0</v>
      </c>
      <c r="S268" s="24">
        <f>IF(T267&gt;0,ROUND(ROUND(T267*100,0)*ROUND(R$7*10000,0)/12000000,0)/100,0)</f>
        <v>0</v>
      </c>
      <c r="T268" s="24">
        <f>IF(T267&gt;0,ROUND(T267+S268-R268,2),0)</f>
        <v>0</v>
      </c>
      <c r="U268" s="24">
        <f>IF(W267&gt;0,MIN(ROUND(U$6+IF(U$5=$C268,$E$5+$E268,0),2),ROUND(W267+V268,2)),0)</f>
        <v>0</v>
      </c>
      <c r="V268" s="24">
        <f>IF(W267&gt;0,ROUND(ROUND(W267*100,0)*ROUND(U$7*10000,0)/12000000,0)/100,0)</f>
        <v>0</v>
      </c>
      <c r="W268" s="24">
        <f>IF(W267&gt;0,ROUND(W267+V268-U268,2),0)</f>
        <v>0</v>
      </c>
      <c r="X268" s="24">
        <f>IF(Z267&gt;0,MIN(ROUND(X$6+IF(X$5=$C268,$E$5+$E268,0),2),ROUND(Z267+Y268,2)),0)</f>
        <v>0</v>
      </c>
      <c r="Y268" s="24">
        <f>IF(Z267&gt;0,ROUND(ROUND(Z267*100,0)*ROUND(X$7*10000,0)/12000000,0)/100,0)</f>
        <v>0</v>
      </c>
      <c r="Z268" s="24">
        <f>IF(Z267&gt;0,ROUND(Z267+Y268-X268,2),0)</f>
        <v>0</v>
      </c>
      <c r="AA268" s="24">
        <f>IF(AC267&gt;0,MIN(ROUND(AA$6+IF(AA$5=$C268,$E$5+$E268,0),2),ROUND(AC267+AB268,2)),0)</f>
        <v>0</v>
      </c>
      <c r="AB268" s="24">
        <f>IF(AC267&gt;0,ROUND(ROUND(AC267*100,0)*ROUND(AA$7*10000,0)/12000000,0)/100,0)</f>
        <v>0</v>
      </c>
      <c r="AC268" s="24">
        <f>IF(AC267&gt;0,ROUND(AC267+AB268-AA268,2),0)</f>
        <v>0</v>
      </c>
      <c r="AD268" s="24">
        <f>IF(AF267&gt;0,MIN(ROUND(AD$6+IF(AD$5=$C268,$E$5+$E268,0),2),ROUND(AF267+AE268,2)),0)</f>
        <v>0</v>
      </c>
      <c r="AE268" s="24">
        <f>IF(AF267&gt;0,ROUND(ROUND(AF267*100,0)*ROUND(AD$7*10000,0)/12000000,0)/100,0)</f>
        <v>0</v>
      </c>
      <c r="AF268" s="24">
        <f>IF(AF267&gt;0,ROUND(AF267+AE268-AD268,2),0)</f>
        <v>0</v>
      </c>
      <c r="AG268" s="24">
        <f>IF(AI267&gt;0,MIN(ROUND(AG$6+IF(AG$5=$C268,$E$5+$E268,0),2),ROUND(AI267+AH268,2)),0)</f>
        <v>0</v>
      </c>
      <c r="AH268" s="24">
        <f>IF(AI267&gt;0,ROUND(ROUND(AI267*100,0)*ROUND(AG$7*10000,0)/12000000,0)/100,0)</f>
        <v>0</v>
      </c>
      <c r="AI268" s="24">
        <f>IF(AI267&gt;0,ROUND(AI267+AH268-AG268,2),0)</f>
        <v>0</v>
      </c>
      <c r="AJ268" s="24">
        <f>IF(AL267&gt;0,MIN(ROUND(AJ$6+IF(AJ$5=$C268,$E$5+$E268,0),2),ROUND(AL267+AK268,2)),0)</f>
        <v>0</v>
      </c>
      <c r="AK268" s="24">
        <f>IF(AL267&gt;0,ROUND(ROUND(AL267*100,0)*ROUND(AJ$7*10000,0)/12000000,0)/100,0)</f>
        <v>0</v>
      </c>
      <c r="AL268" s="24">
        <f>IF(AL267&gt;0,ROUND(AL267+AK268-AJ268,2),0)</f>
        <v>0</v>
      </c>
    </row>
    <row r="269" spans="1:38" x14ac:dyDescent="0.25">
      <c r="A269" s="17" t="str">
        <f>IF(F269&gt;0,259,"")</f>
        <v/>
      </c>
      <c r="B269" s="18" t="str">
        <f>IF(F269&gt;0,EDATE($E$6,259),"")</f>
        <v/>
      </c>
      <c r="C269" s="21">
        <f>IF(H268&gt;0,MIN(IF(K268&gt;0,I$5,99),IF(N268&gt;0,L$5,99),IF(Q268&gt;0,O$5,99),IF(T268&gt;0,R$5,99),IF(W268&gt;0,U$5,99),IF(Z268&gt;0,X$5,99),IF(AC268&gt;0,AA$5,99),IF(AF268&gt;0,AD$5,99),IF(AI268&gt;0,AG$5,99),IF(AL268&gt;0,AJ$5,99)),0)</f>
        <v>0</v>
      </c>
      <c r="D269" t="str">
        <f>IF(C269&gt;0,INDEX($I$4:$AL$4,1,MATCH(C269,$I$5:$AL$5,0)),"")</f>
        <v/>
      </c>
      <c r="E269" s="24">
        <f>ROUND(IF(AND(I$8&gt;0,K268=0),I$6,0)+IF(AND(L$8&gt;0,N268=0),L$6,0)+IF(AND(O$8&gt;0,Q268=0),O$6,0)+IF(AND(R$8&gt;0,T268=0),R$6,0)+IF(AND(U$8&gt;0,W268=0),U$6,0)+IF(AND(X$8&gt;0,Z268=0),X$6,0)+IF(AND(AA$8&gt;0,AC268=0),AA$6,0)+IF(AND(AD$8&gt;0,AF268=0),AD$6,0)+IF(AND(AG$8&gt;0,AI268=0),AG$6,0)+IF(AND(AJ$8&gt;0,AL268=0),AJ$6,0),2)</f>
        <v>330</v>
      </c>
      <c r="F269" s="24">
        <f>ROUND(I269+L269+O269+R269+U269+X269+AA269+AD269+AG269+AJ269,2)</f>
        <v>0</v>
      </c>
      <c r="G269" s="24">
        <f>ROUND(J269+M269+P269+S269+V269+Y269+AB269+AE269+AH269+AK269,2)</f>
        <v>0</v>
      </c>
      <c r="H269" s="24">
        <f>ROUND(K269+N269+Q269+T269+W269+Z269+AC269+AF269+AI269+AL269,2)</f>
        <v>0</v>
      </c>
      <c r="I269" s="24">
        <f>IF(K268&gt;0,MIN(ROUND(I$6+IF(I$5=$C269,$E$5+$E269,0),2),ROUND(K268+J269,2)),0)</f>
        <v>0</v>
      </c>
      <c r="J269" s="24">
        <f>IF(K268&gt;0,ROUND(ROUND(K268*100,0)*ROUND(I$7*10000,0)/12000000,0)/100,0)</f>
        <v>0</v>
      </c>
      <c r="K269" s="24">
        <f>IF(K268&gt;0,ROUND(K268+J269-I269,2),0)</f>
        <v>0</v>
      </c>
      <c r="L269" s="24">
        <f>IF(N268&gt;0,MIN(ROUND(L$6+IF(L$5=$C269,$E$5+$E269,0),2),ROUND(N268+M269,2)),0)</f>
        <v>0</v>
      </c>
      <c r="M269" s="24">
        <f>IF(N268&gt;0,ROUND(ROUND(N268*100,0)*ROUND(L$7*10000,0)/12000000,0)/100,0)</f>
        <v>0</v>
      </c>
      <c r="N269" s="24">
        <f>IF(N268&gt;0,ROUND(N268+M269-L269,2),0)</f>
        <v>0</v>
      </c>
      <c r="O269" s="24">
        <f>IF(Q268&gt;0,MIN(ROUND(O$6+IF(O$5=$C269,$E$5+$E269,0),2),ROUND(Q268+P269,2)),0)</f>
        <v>0</v>
      </c>
      <c r="P269" s="24">
        <f>IF(Q268&gt;0,ROUND(ROUND(Q268*100,0)*ROUND(O$7*10000,0)/12000000,0)/100,0)</f>
        <v>0</v>
      </c>
      <c r="Q269" s="24">
        <f>IF(Q268&gt;0,ROUND(Q268+P269-O269,2),0)</f>
        <v>0</v>
      </c>
      <c r="R269" s="24">
        <f>IF(T268&gt;0,MIN(ROUND(R$6+IF(R$5=$C269,$E$5+$E269,0),2),ROUND(T268+S269,2)),0)</f>
        <v>0</v>
      </c>
      <c r="S269" s="24">
        <f>IF(T268&gt;0,ROUND(ROUND(T268*100,0)*ROUND(R$7*10000,0)/12000000,0)/100,0)</f>
        <v>0</v>
      </c>
      <c r="T269" s="24">
        <f>IF(T268&gt;0,ROUND(T268+S269-R269,2),0)</f>
        <v>0</v>
      </c>
      <c r="U269" s="24">
        <f>IF(W268&gt;0,MIN(ROUND(U$6+IF(U$5=$C269,$E$5+$E269,0),2),ROUND(W268+V269,2)),0)</f>
        <v>0</v>
      </c>
      <c r="V269" s="24">
        <f>IF(W268&gt;0,ROUND(ROUND(W268*100,0)*ROUND(U$7*10000,0)/12000000,0)/100,0)</f>
        <v>0</v>
      </c>
      <c r="W269" s="24">
        <f>IF(W268&gt;0,ROUND(W268+V269-U269,2),0)</f>
        <v>0</v>
      </c>
      <c r="X269" s="24">
        <f>IF(Z268&gt;0,MIN(ROUND(X$6+IF(X$5=$C269,$E$5+$E269,0),2),ROUND(Z268+Y269,2)),0)</f>
        <v>0</v>
      </c>
      <c r="Y269" s="24">
        <f>IF(Z268&gt;0,ROUND(ROUND(Z268*100,0)*ROUND(X$7*10000,0)/12000000,0)/100,0)</f>
        <v>0</v>
      </c>
      <c r="Z269" s="24">
        <f>IF(Z268&gt;0,ROUND(Z268+Y269-X269,2),0)</f>
        <v>0</v>
      </c>
      <c r="AA269" s="24">
        <f>IF(AC268&gt;0,MIN(ROUND(AA$6+IF(AA$5=$C269,$E$5+$E269,0),2),ROUND(AC268+AB269,2)),0)</f>
        <v>0</v>
      </c>
      <c r="AB269" s="24">
        <f>IF(AC268&gt;0,ROUND(ROUND(AC268*100,0)*ROUND(AA$7*10000,0)/12000000,0)/100,0)</f>
        <v>0</v>
      </c>
      <c r="AC269" s="24">
        <f>IF(AC268&gt;0,ROUND(AC268+AB269-AA269,2),0)</f>
        <v>0</v>
      </c>
      <c r="AD269" s="24">
        <f>IF(AF268&gt;0,MIN(ROUND(AD$6+IF(AD$5=$C269,$E$5+$E269,0),2),ROUND(AF268+AE269,2)),0)</f>
        <v>0</v>
      </c>
      <c r="AE269" s="24">
        <f>IF(AF268&gt;0,ROUND(ROUND(AF268*100,0)*ROUND(AD$7*10000,0)/12000000,0)/100,0)</f>
        <v>0</v>
      </c>
      <c r="AF269" s="24">
        <f>IF(AF268&gt;0,ROUND(AF268+AE269-AD269,2),0)</f>
        <v>0</v>
      </c>
      <c r="AG269" s="24">
        <f>IF(AI268&gt;0,MIN(ROUND(AG$6+IF(AG$5=$C269,$E$5+$E269,0),2),ROUND(AI268+AH269,2)),0)</f>
        <v>0</v>
      </c>
      <c r="AH269" s="24">
        <f>IF(AI268&gt;0,ROUND(ROUND(AI268*100,0)*ROUND(AG$7*10000,0)/12000000,0)/100,0)</f>
        <v>0</v>
      </c>
      <c r="AI269" s="24">
        <f>IF(AI268&gt;0,ROUND(AI268+AH269-AG269,2),0)</f>
        <v>0</v>
      </c>
      <c r="AJ269" s="24">
        <f>IF(AL268&gt;0,MIN(ROUND(AJ$6+IF(AJ$5=$C269,$E$5+$E269,0),2),ROUND(AL268+AK269,2)),0)</f>
        <v>0</v>
      </c>
      <c r="AK269" s="24">
        <f>IF(AL268&gt;0,ROUND(ROUND(AL268*100,0)*ROUND(AJ$7*10000,0)/12000000,0)/100,0)</f>
        <v>0</v>
      </c>
      <c r="AL269" s="24">
        <f>IF(AL268&gt;0,ROUND(AL268+AK269-AJ269,2),0)</f>
        <v>0</v>
      </c>
    </row>
    <row r="270" spans="1:38" x14ac:dyDescent="0.25">
      <c r="A270" s="17" t="str">
        <f>IF(F270&gt;0,260,"")</f>
        <v/>
      </c>
      <c r="B270" s="18" t="str">
        <f>IF(F270&gt;0,EDATE($E$6,260),"")</f>
        <v/>
      </c>
      <c r="C270" s="21">
        <f>IF(H269&gt;0,MIN(IF(K269&gt;0,I$5,99),IF(N269&gt;0,L$5,99),IF(Q269&gt;0,O$5,99),IF(T269&gt;0,R$5,99),IF(W269&gt;0,U$5,99),IF(Z269&gt;0,X$5,99),IF(AC269&gt;0,AA$5,99),IF(AF269&gt;0,AD$5,99),IF(AI269&gt;0,AG$5,99),IF(AL269&gt;0,AJ$5,99)),0)</f>
        <v>0</v>
      </c>
      <c r="D270" t="str">
        <f>IF(C270&gt;0,INDEX($I$4:$AL$4,1,MATCH(C270,$I$5:$AL$5,0)),"")</f>
        <v/>
      </c>
      <c r="E270" s="24">
        <f>ROUND(IF(AND(I$8&gt;0,K269=0),I$6,0)+IF(AND(L$8&gt;0,N269=0),L$6,0)+IF(AND(O$8&gt;0,Q269=0),O$6,0)+IF(AND(R$8&gt;0,T269=0),R$6,0)+IF(AND(U$8&gt;0,W269=0),U$6,0)+IF(AND(X$8&gt;0,Z269=0),X$6,0)+IF(AND(AA$8&gt;0,AC269=0),AA$6,0)+IF(AND(AD$8&gt;0,AF269=0),AD$6,0)+IF(AND(AG$8&gt;0,AI269=0),AG$6,0)+IF(AND(AJ$8&gt;0,AL269=0),AJ$6,0),2)</f>
        <v>330</v>
      </c>
      <c r="F270" s="24">
        <f>ROUND(I270+L270+O270+R270+U270+X270+AA270+AD270+AG270+AJ270,2)</f>
        <v>0</v>
      </c>
      <c r="G270" s="24">
        <f>ROUND(J270+M270+P270+S270+V270+Y270+AB270+AE270+AH270+AK270,2)</f>
        <v>0</v>
      </c>
      <c r="H270" s="24">
        <f>ROUND(K270+N270+Q270+T270+W270+Z270+AC270+AF270+AI270+AL270,2)</f>
        <v>0</v>
      </c>
      <c r="I270" s="24">
        <f>IF(K269&gt;0,MIN(ROUND(I$6+IF(I$5=$C270,$E$5+$E270,0),2),ROUND(K269+J270,2)),0)</f>
        <v>0</v>
      </c>
      <c r="J270" s="24">
        <f>IF(K269&gt;0,ROUND(ROUND(K269*100,0)*ROUND(I$7*10000,0)/12000000,0)/100,0)</f>
        <v>0</v>
      </c>
      <c r="K270" s="24">
        <f>IF(K269&gt;0,ROUND(K269+J270-I270,2),0)</f>
        <v>0</v>
      </c>
      <c r="L270" s="24">
        <f>IF(N269&gt;0,MIN(ROUND(L$6+IF(L$5=$C270,$E$5+$E270,0),2),ROUND(N269+M270,2)),0)</f>
        <v>0</v>
      </c>
      <c r="M270" s="24">
        <f>IF(N269&gt;0,ROUND(ROUND(N269*100,0)*ROUND(L$7*10000,0)/12000000,0)/100,0)</f>
        <v>0</v>
      </c>
      <c r="N270" s="24">
        <f>IF(N269&gt;0,ROUND(N269+M270-L270,2),0)</f>
        <v>0</v>
      </c>
      <c r="O270" s="24">
        <f>IF(Q269&gt;0,MIN(ROUND(O$6+IF(O$5=$C270,$E$5+$E270,0),2),ROUND(Q269+P270,2)),0)</f>
        <v>0</v>
      </c>
      <c r="P270" s="24">
        <f>IF(Q269&gt;0,ROUND(ROUND(Q269*100,0)*ROUND(O$7*10000,0)/12000000,0)/100,0)</f>
        <v>0</v>
      </c>
      <c r="Q270" s="24">
        <f>IF(Q269&gt;0,ROUND(Q269+P270-O270,2),0)</f>
        <v>0</v>
      </c>
      <c r="R270" s="24">
        <f>IF(T269&gt;0,MIN(ROUND(R$6+IF(R$5=$C270,$E$5+$E270,0),2),ROUND(T269+S270,2)),0)</f>
        <v>0</v>
      </c>
      <c r="S270" s="24">
        <f>IF(T269&gt;0,ROUND(ROUND(T269*100,0)*ROUND(R$7*10000,0)/12000000,0)/100,0)</f>
        <v>0</v>
      </c>
      <c r="T270" s="24">
        <f>IF(T269&gt;0,ROUND(T269+S270-R270,2),0)</f>
        <v>0</v>
      </c>
      <c r="U270" s="24">
        <f>IF(W269&gt;0,MIN(ROUND(U$6+IF(U$5=$C270,$E$5+$E270,0),2),ROUND(W269+V270,2)),0)</f>
        <v>0</v>
      </c>
      <c r="V270" s="24">
        <f>IF(W269&gt;0,ROUND(ROUND(W269*100,0)*ROUND(U$7*10000,0)/12000000,0)/100,0)</f>
        <v>0</v>
      </c>
      <c r="W270" s="24">
        <f>IF(W269&gt;0,ROUND(W269+V270-U270,2),0)</f>
        <v>0</v>
      </c>
      <c r="X270" s="24">
        <f>IF(Z269&gt;0,MIN(ROUND(X$6+IF(X$5=$C270,$E$5+$E270,0),2),ROUND(Z269+Y270,2)),0)</f>
        <v>0</v>
      </c>
      <c r="Y270" s="24">
        <f>IF(Z269&gt;0,ROUND(ROUND(Z269*100,0)*ROUND(X$7*10000,0)/12000000,0)/100,0)</f>
        <v>0</v>
      </c>
      <c r="Z270" s="24">
        <f>IF(Z269&gt;0,ROUND(Z269+Y270-X270,2),0)</f>
        <v>0</v>
      </c>
      <c r="AA270" s="24">
        <f>IF(AC269&gt;0,MIN(ROUND(AA$6+IF(AA$5=$C270,$E$5+$E270,0),2),ROUND(AC269+AB270,2)),0)</f>
        <v>0</v>
      </c>
      <c r="AB270" s="24">
        <f>IF(AC269&gt;0,ROUND(ROUND(AC269*100,0)*ROUND(AA$7*10000,0)/12000000,0)/100,0)</f>
        <v>0</v>
      </c>
      <c r="AC270" s="24">
        <f>IF(AC269&gt;0,ROUND(AC269+AB270-AA270,2),0)</f>
        <v>0</v>
      </c>
      <c r="AD270" s="24">
        <f>IF(AF269&gt;0,MIN(ROUND(AD$6+IF(AD$5=$C270,$E$5+$E270,0),2),ROUND(AF269+AE270,2)),0)</f>
        <v>0</v>
      </c>
      <c r="AE270" s="24">
        <f>IF(AF269&gt;0,ROUND(ROUND(AF269*100,0)*ROUND(AD$7*10000,0)/12000000,0)/100,0)</f>
        <v>0</v>
      </c>
      <c r="AF270" s="24">
        <f>IF(AF269&gt;0,ROUND(AF269+AE270-AD270,2),0)</f>
        <v>0</v>
      </c>
      <c r="AG270" s="24">
        <f>IF(AI269&gt;0,MIN(ROUND(AG$6+IF(AG$5=$C270,$E$5+$E270,0),2),ROUND(AI269+AH270,2)),0)</f>
        <v>0</v>
      </c>
      <c r="AH270" s="24">
        <f>IF(AI269&gt;0,ROUND(ROUND(AI269*100,0)*ROUND(AG$7*10000,0)/12000000,0)/100,0)</f>
        <v>0</v>
      </c>
      <c r="AI270" s="24">
        <f>IF(AI269&gt;0,ROUND(AI269+AH270-AG270,2),0)</f>
        <v>0</v>
      </c>
      <c r="AJ270" s="24">
        <f>IF(AL269&gt;0,MIN(ROUND(AJ$6+IF(AJ$5=$C270,$E$5+$E270,0),2),ROUND(AL269+AK270,2)),0)</f>
        <v>0</v>
      </c>
      <c r="AK270" s="24">
        <f>IF(AL269&gt;0,ROUND(ROUND(AL269*100,0)*ROUND(AJ$7*10000,0)/12000000,0)/100,0)</f>
        <v>0</v>
      </c>
      <c r="AL270" s="24">
        <f>IF(AL269&gt;0,ROUND(AL269+AK270-AJ270,2),0)</f>
        <v>0</v>
      </c>
    </row>
    <row r="271" spans="1:38" x14ac:dyDescent="0.25">
      <c r="A271" s="17" t="str">
        <f>IF(F271&gt;0,261,"")</f>
        <v/>
      </c>
      <c r="B271" s="18" t="str">
        <f>IF(F271&gt;0,EDATE($E$6,261),"")</f>
        <v/>
      </c>
      <c r="C271" s="21">
        <f>IF(H270&gt;0,MIN(IF(K270&gt;0,I$5,99),IF(N270&gt;0,L$5,99),IF(Q270&gt;0,O$5,99),IF(T270&gt;0,R$5,99),IF(W270&gt;0,U$5,99),IF(Z270&gt;0,X$5,99),IF(AC270&gt;0,AA$5,99),IF(AF270&gt;0,AD$5,99),IF(AI270&gt;0,AG$5,99),IF(AL270&gt;0,AJ$5,99)),0)</f>
        <v>0</v>
      </c>
      <c r="D271" t="str">
        <f>IF(C271&gt;0,INDEX($I$4:$AL$4,1,MATCH(C271,$I$5:$AL$5,0)),"")</f>
        <v/>
      </c>
      <c r="E271" s="24">
        <f>ROUND(IF(AND(I$8&gt;0,K270=0),I$6,0)+IF(AND(L$8&gt;0,N270=0),L$6,0)+IF(AND(O$8&gt;0,Q270=0),O$6,0)+IF(AND(R$8&gt;0,T270=0),R$6,0)+IF(AND(U$8&gt;0,W270=0),U$6,0)+IF(AND(X$8&gt;0,Z270=0),X$6,0)+IF(AND(AA$8&gt;0,AC270=0),AA$6,0)+IF(AND(AD$8&gt;0,AF270=0),AD$6,0)+IF(AND(AG$8&gt;0,AI270=0),AG$6,0)+IF(AND(AJ$8&gt;0,AL270=0),AJ$6,0),2)</f>
        <v>330</v>
      </c>
      <c r="F271" s="24">
        <f>ROUND(I271+L271+O271+R271+U271+X271+AA271+AD271+AG271+AJ271,2)</f>
        <v>0</v>
      </c>
      <c r="G271" s="24">
        <f>ROUND(J271+M271+P271+S271+V271+Y271+AB271+AE271+AH271+AK271,2)</f>
        <v>0</v>
      </c>
      <c r="H271" s="24">
        <f>ROUND(K271+N271+Q271+T271+W271+Z271+AC271+AF271+AI271+AL271,2)</f>
        <v>0</v>
      </c>
      <c r="I271" s="24">
        <f>IF(K270&gt;0,MIN(ROUND(I$6+IF(I$5=$C271,$E$5+$E271,0),2),ROUND(K270+J271,2)),0)</f>
        <v>0</v>
      </c>
      <c r="J271" s="24">
        <f>IF(K270&gt;0,ROUND(ROUND(K270*100,0)*ROUND(I$7*10000,0)/12000000,0)/100,0)</f>
        <v>0</v>
      </c>
      <c r="K271" s="24">
        <f>IF(K270&gt;0,ROUND(K270+J271-I271,2),0)</f>
        <v>0</v>
      </c>
      <c r="L271" s="24">
        <f>IF(N270&gt;0,MIN(ROUND(L$6+IF(L$5=$C271,$E$5+$E271,0),2),ROUND(N270+M271,2)),0)</f>
        <v>0</v>
      </c>
      <c r="M271" s="24">
        <f>IF(N270&gt;0,ROUND(ROUND(N270*100,0)*ROUND(L$7*10000,0)/12000000,0)/100,0)</f>
        <v>0</v>
      </c>
      <c r="N271" s="24">
        <f>IF(N270&gt;0,ROUND(N270+M271-L271,2),0)</f>
        <v>0</v>
      </c>
      <c r="O271" s="24">
        <f>IF(Q270&gt;0,MIN(ROUND(O$6+IF(O$5=$C271,$E$5+$E271,0),2),ROUND(Q270+P271,2)),0)</f>
        <v>0</v>
      </c>
      <c r="P271" s="24">
        <f>IF(Q270&gt;0,ROUND(ROUND(Q270*100,0)*ROUND(O$7*10000,0)/12000000,0)/100,0)</f>
        <v>0</v>
      </c>
      <c r="Q271" s="24">
        <f>IF(Q270&gt;0,ROUND(Q270+P271-O271,2),0)</f>
        <v>0</v>
      </c>
      <c r="R271" s="24">
        <f>IF(T270&gt;0,MIN(ROUND(R$6+IF(R$5=$C271,$E$5+$E271,0),2),ROUND(T270+S271,2)),0)</f>
        <v>0</v>
      </c>
      <c r="S271" s="24">
        <f>IF(T270&gt;0,ROUND(ROUND(T270*100,0)*ROUND(R$7*10000,0)/12000000,0)/100,0)</f>
        <v>0</v>
      </c>
      <c r="T271" s="24">
        <f>IF(T270&gt;0,ROUND(T270+S271-R271,2),0)</f>
        <v>0</v>
      </c>
      <c r="U271" s="24">
        <f>IF(W270&gt;0,MIN(ROUND(U$6+IF(U$5=$C271,$E$5+$E271,0),2),ROUND(W270+V271,2)),0)</f>
        <v>0</v>
      </c>
      <c r="V271" s="24">
        <f>IF(W270&gt;0,ROUND(ROUND(W270*100,0)*ROUND(U$7*10000,0)/12000000,0)/100,0)</f>
        <v>0</v>
      </c>
      <c r="W271" s="24">
        <f>IF(W270&gt;0,ROUND(W270+V271-U271,2),0)</f>
        <v>0</v>
      </c>
      <c r="X271" s="24">
        <f>IF(Z270&gt;0,MIN(ROUND(X$6+IF(X$5=$C271,$E$5+$E271,0),2),ROUND(Z270+Y271,2)),0)</f>
        <v>0</v>
      </c>
      <c r="Y271" s="24">
        <f>IF(Z270&gt;0,ROUND(ROUND(Z270*100,0)*ROUND(X$7*10000,0)/12000000,0)/100,0)</f>
        <v>0</v>
      </c>
      <c r="Z271" s="24">
        <f>IF(Z270&gt;0,ROUND(Z270+Y271-X271,2),0)</f>
        <v>0</v>
      </c>
      <c r="AA271" s="24">
        <f>IF(AC270&gt;0,MIN(ROUND(AA$6+IF(AA$5=$C271,$E$5+$E271,0),2),ROUND(AC270+AB271,2)),0)</f>
        <v>0</v>
      </c>
      <c r="AB271" s="24">
        <f>IF(AC270&gt;0,ROUND(ROUND(AC270*100,0)*ROUND(AA$7*10000,0)/12000000,0)/100,0)</f>
        <v>0</v>
      </c>
      <c r="AC271" s="24">
        <f>IF(AC270&gt;0,ROUND(AC270+AB271-AA271,2),0)</f>
        <v>0</v>
      </c>
      <c r="AD271" s="24">
        <f>IF(AF270&gt;0,MIN(ROUND(AD$6+IF(AD$5=$C271,$E$5+$E271,0),2),ROUND(AF270+AE271,2)),0)</f>
        <v>0</v>
      </c>
      <c r="AE271" s="24">
        <f>IF(AF270&gt;0,ROUND(ROUND(AF270*100,0)*ROUND(AD$7*10000,0)/12000000,0)/100,0)</f>
        <v>0</v>
      </c>
      <c r="AF271" s="24">
        <f>IF(AF270&gt;0,ROUND(AF270+AE271-AD271,2),0)</f>
        <v>0</v>
      </c>
      <c r="AG271" s="24">
        <f>IF(AI270&gt;0,MIN(ROUND(AG$6+IF(AG$5=$C271,$E$5+$E271,0),2),ROUND(AI270+AH271,2)),0)</f>
        <v>0</v>
      </c>
      <c r="AH271" s="24">
        <f>IF(AI270&gt;0,ROUND(ROUND(AI270*100,0)*ROUND(AG$7*10000,0)/12000000,0)/100,0)</f>
        <v>0</v>
      </c>
      <c r="AI271" s="24">
        <f>IF(AI270&gt;0,ROUND(AI270+AH271-AG271,2),0)</f>
        <v>0</v>
      </c>
      <c r="AJ271" s="24">
        <f>IF(AL270&gt;0,MIN(ROUND(AJ$6+IF(AJ$5=$C271,$E$5+$E271,0),2),ROUND(AL270+AK271,2)),0)</f>
        <v>0</v>
      </c>
      <c r="AK271" s="24">
        <f>IF(AL270&gt;0,ROUND(ROUND(AL270*100,0)*ROUND(AJ$7*10000,0)/12000000,0)/100,0)</f>
        <v>0</v>
      </c>
      <c r="AL271" s="24">
        <f>IF(AL270&gt;0,ROUND(AL270+AK271-AJ271,2),0)</f>
        <v>0</v>
      </c>
    </row>
    <row r="272" spans="1:38" x14ac:dyDescent="0.25">
      <c r="A272" s="17" t="str">
        <f>IF(F272&gt;0,262,"")</f>
        <v/>
      </c>
      <c r="B272" s="18" t="str">
        <f>IF(F272&gt;0,EDATE($E$6,262),"")</f>
        <v/>
      </c>
      <c r="C272" s="21">
        <f>IF(H271&gt;0,MIN(IF(K271&gt;0,I$5,99),IF(N271&gt;0,L$5,99),IF(Q271&gt;0,O$5,99),IF(T271&gt;0,R$5,99),IF(W271&gt;0,U$5,99),IF(Z271&gt;0,X$5,99),IF(AC271&gt;0,AA$5,99),IF(AF271&gt;0,AD$5,99),IF(AI271&gt;0,AG$5,99),IF(AL271&gt;0,AJ$5,99)),0)</f>
        <v>0</v>
      </c>
      <c r="D272" t="str">
        <f>IF(C272&gt;0,INDEX($I$4:$AL$4,1,MATCH(C272,$I$5:$AL$5,0)),"")</f>
        <v/>
      </c>
      <c r="E272" s="24">
        <f>ROUND(IF(AND(I$8&gt;0,K271=0),I$6,0)+IF(AND(L$8&gt;0,N271=0),L$6,0)+IF(AND(O$8&gt;0,Q271=0),O$6,0)+IF(AND(R$8&gt;0,T271=0),R$6,0)+IF(AND(U$8&gt;0,W271=0),U$6,0)+IF(AND(X$8&gt;0,Z271=0),X$6,0)+IF(AND(AA$8&gt;0,AC271=0),AA$6,0)+IF(AND(AD$8&gt;0,AF271=0),AD$6,0)+IF(AND(AG$8&gt;0,AI271=0),AG$6,0)+IF(AND(AJ$8&gt;0,AL271=0),AJ$6,0),2)</f>
        <v>330</v>
      </c>
      <c r="F272" s="24">
        <f>ROUND(I272+L272+O272+R272+U272+X272+AA272+AD272+AG272+AJ272,2)</f>
        <v>0</v>
      </c>
      <c r="G272" s="24">
        <f>ROUND(J272+M272+P272+S272+V272+Y272+AB272+AE272+AH272+AK272,2)</f>
        <v>0</v>
      </c>
      <c r="H272" s="24">
        <f>ROUND(K272+N272+Q272+T272+W272+Z272+AC272+AF272+AI272+AL272,2)</f>
        <v>0</v>
      </c>
      <c r="I272" s="24">
        <f>IF(K271&gt;0,MIN(ROUND(I$6+IF(I$5=$C272,$E$5+$E272,0),2),ROUND(K271+J272,2)),0)</f>
        <v>0</v>
      </c>
      <c r="J272" s="24">
        <f>IF(K271&gt;0,ROUND(ROUND(K271*100,0)*ROUND(I$7*10000,0)/12000000,0)/100,0)</f>
        <v>0</v>
      </c>
      <c r="K272" s="24">
        <f>IF(K271&gt;0,ROUND(K271+J272-I272,2),0)</f>
        <v>0</v>
      </c>
      <c r="L272" s="24">
        <f>IF(N271&gt;0,MIN(ROUND(L$6+IF(L$5=$C272,$E$5+$E272,0),2),ROUND(N271+M272,2)),0)</f>
        <v>0</v>
      </c>
      <c r="M272" s="24">
        <f>IF(N271&gt;0,ROUND(ROUND(N271*100,0)*ROUND(L$7*10000,0)/12000000,0)/100,0)</f>
        <v>0</v>
      </c>
      <c r="N272" s="24">
        <f>IF(N271&gt;0,ROUND(N271+M272-L272,2),0)</f>
        <v>0</v>
      </c>
      <c r="O272" s="24">
        <f>IF(Q271&gt;0,MIN(ROUND(O$6+IF(O$5=$C272,$E$5+$E272,0),2),ROUND(Q271+P272,2)),0)</f>
        <v>0</v>
      </c>
      <c r="P272" s="24">
        <f>IF(Q271&gt;0,ROUND(ROUND(Q271*100,0)*ROUND(O$7*10000,0)/12000000,0)/100,0)</f>
        <v>0</v>
      </c>
      <c r="Q272" s="24">
        <f>IF(Q271&gt;0,ROUND(Q271+P272-O272,2),0)</f>
        <v>0</v>
      </c>
      <c r="R272" s="24">
        <f>IF(T271&gt;0,MIN(ROUND(R$6+IF(R$5=$C272,$E$5+$E272,0),2),ROUND(T271+S272,2)),0)</f>
        <v>0</v>
      </c>
      <c r="S272" s="24">
        <f>IF(T271&gt;0,ROUND(ROUND(T271*100,0)*ROUND(R$7*10000,0)/12000000,0)/100,0)</f>
        <v>0</v>
      </c>
      <c r="T272" s="24">
        <f>IF(T271&gt;0,ROUND(T271+S272-R272,2),0)</f>
        <v>0</v>
      </c>
      <c r="U272" s="24">
        <f>IF(W271&gt;0,MIN(ROUND(U$6+IF(U$5=$C272,$E$5+$E272,0),2),ROUND(W271+V272,2)),0)</f>
        <v>0</v>
      </c>
      <c r="V272" s="24">
        <f>IF(W271&gt;0,ROUND(ROUND(W271*100,0)*ROUND(U$7*10000,0)/12000000,0)/100,0)</f>
        <v>0</v>
      </c>
      <c r="W272" s="24">
        <f>IF(W271&gt;0,ROUND(W271+V272-U272,2),0)</f>
        <v>0</v>
      </c>
      <c r="X272" s="24">
        <f>IF(Z271&gt;0,MIN(ROUND(X$6+IF(X$5=$C272,$E$5+$E272,0),2),ROUND(Z271+Y272,2)),0)</f>
        <v>0</v>
      </c>
      <c r="Y272" s="24">
        <f>IF(Z271&gt;0,ROUND(ROUND(Z271*100,0)*ROUND(X$7*10000,0)/12000000,0)/100,0)</f>
        <v>0</v>
      </c>
      <c r="Z272" s="24">
        <f>IF(Z271&gt;0,ROUND(Z271+Y272-X272,2),0)</f>
        <v>0</v>
      </c>
      <c r="AA272" s="24">
        <f>IF(AC271&gt;0,MIN(ROUND(AA$6+IF(AA$5=$C272,$E$5+$E272,0),2),ROUND(AC271+AB272,2)),0)</f>
        <v>0</v>
      </c>
      <c r="AB272" s="24">
        <f>IF(AC271&gt;0,ROUND(ROUND(AC271*100,0)*ROUND(AA$7*10000,0)/12000000,0)/100,0)</f>
        <v>0</v>
      </c>
      <c r="AC272" s="24">
        <f>IF(AC271&gt;0,ROUND(AC271+AB272-AA272,2),0)</f>
        <v>0</v>
      </c>
      <c r="AD272" s="24">
        <f>IF(AF271&gt;0,MIN(ROUND(AD$6+IF(AD$5=$C272,$E$5+$E272,0),2),ROUND(AF271+AE272,2)),0)</f>
        <v>0</v>
      </c>
      <c r="AE272" s="24">
        <f>IF(AF271&gt;0,ROUND(ROUND(AF271*100,0)*ROUND(AD$7*10000,0)/12000000,0)/100,0)</f>
        <v>0</v>
      </c>
      <c r="AF272" s="24">
        <f>IF(AF271&gt;0,ROUND(AF271+AE272-AD272,2),0)</f>
        <v>0</v>
      </c>
      <c r="AG272" s="24">
        <f>IF(AI271&gt;0,MIN(ROUND(AG$6+IF(AG$5=$C272,$E$5+$E272,0),2),ROUND(AI271+AH272,2)),0)</f>
        <v>0</v>
      </c>
      <c r="AH272" s="24">
        <f>IF(AI271&gt;0,ROUND(ROUND(AI271*100,0)*ROUND(AG$7*10000,0)/12000000,0)/100,0)</f>
        <v>0</v>
      </c>
      <c r="AI272" s="24">
        <f>IF(AI271&gt;0,ROUND(AI271+AH272-AG272,2),0)</f>
        <v>0</v>
      </c>
      <c r="AJ272" s="24">
        <f>IF(AL271&gt;0,MIN(ROUND(AJ$6+IF(AJ$5=$C272,$E$5+$E272,0),2),ROUND(AL271+AK272,2)),0)</f>
        <v>0</v>
      </c>
      <c r="AK272" s="24">
        <f>IF(AL271&gt;0,ROUND(ROUND(AL271*100,0)*ROUND(AJ$7*10000,0)/12000000,0)/100,0)</f>
        <v>0</v>
      </c>
      <c r="AL272" s="24">
        <f>IF(AL271&gt;0,ROUND(AL271+AK272-AJ272,2),0)</f>
        <v>0</v>
      </c>
    </row>
    <row r="273" spans="1:38" x14ac:dyDescent="0.25">
      <c r="A273" s="17" t="str">
        <f>IF(F273&gt;0,263,"")</f>
        <v/>
      </c>
      <c r="B273" s="18" t="str">
        <f>IF(F273&gt;0,EDATE($E$6,263),"")</f>
        <v/>
      </c>
      <c r="C273" s="21">
        <f>IF(H272&gt;0,MIN(IF(K272&gt;0,I$5,99),IF(N272&gt;0,L$5,99),IF(Q272&gt;0,O$5,99),IF(T272&gt;0,R$5,99),IF(W272&gt;0,U$5,99),IF(Z272&gt;0,X$5,99),IF(AC272&gt;0,AA$5,99),IF(AF272&gt;0,AD$5,99),IF(AI272&gt;0,AG$5,99),IF(AL272&gt;0,AJ$5,99)),0)</f>
        <v>0</v>
      </c>
      <c r="D273" t="str">
        <f>IF(C273&gt;0,INDEX($I$4:$AL$4,1,MATCH(C273,$I$5:$AL$5,0)),"")</f>
        <v/>
      </c>
      <c r="E273" s="24">
        <f>ROUND(IF(AND(I$8&gt;0,K272=0),I$6,0)+IF(AND(L$8&gt;0,N272=0),L$6,0)+IF(AND(O$8&gt;0,Q272=0),O$6,0)+IF(AND(R$8&gt;0,T272=0),R$6,0)+IF(AND(U$8&gt;0,W272=0),U$6,0)+IF(AND(X$8&gt;0,Z272=0),X$6,0)+IF(AND(AA$8&gt;0,AC272=0),AA$6,0)+IF(AND(AD$8&gt;0,AF272=0),AD$6,0)+IF(AND(AG$8&gt;0,AI272=0),AG$6,0)+IF(AND(AJ$8&gt;0,AL272=0),AJ$6,0),2)</f>
        <v>330</v>
      </c>
      <c r="F273" s="24">
        <f>ROUND(I273+L273+O273+R273+U273+X273+AA273+AD273+AG273+AJ273,2)</f>
        <v>0</v>
      </c>
      <c r="G273" s="24">
        <f>ROUND(J273+M273+P273+S273+V273+Y273+AB273+AE273+AH273+AK273,2)</f>
        <v>0</v>
      </c>
      <c r="H273" s="24">
        <f>ROUND(K273+N273+Q273+T273+W273+Z273+AC273+AF273+AI273+AL273,2)</f>
        <v>0</v>
      </c>
      <c r="I273" s="24">
        <f>IF(K272&gt;0,MIN(ROUND(I$6+IF(I$5=$C273,$E$5+$E273,0),2),ROUND(K272+J273,2)),0)</f>
        <v>0</v>
      </c>
      <c r="J273" s="24">
        <f>IF(K272&gt;0,ROUND(ROUND(K272*100,0)*ROUND(I$7*10000,0)/12000000,0)/100,0)</f>
        <v>0</v>
      </c>
      <c r="K273" s="24">
        <f>IF(K272&gt;0,ROUND(K272+J273-I273,2),0)</f>
        <v>0</v>
      </c>
      <c r="L273" s="24">
        <f>IF(N272&gt;0,MIN(ROUND(L$6+IF(L$5=$C273,$E$5+$E273,0),2),ROUND(N272+M273,2)),0)</f>
        <v>0</v>
      </c>
      <c r="M273" s="24">
        <f>IF(N272&gt;0,ROUND(ROUND(N272*100,0)*ROUND(L$7*10000,0)/12000000,0)/100,0)</f>
        <v>0</v>
      </c>
      <c r="N273" s="24">
        <f>IF(N272&gt;0,ROUND(N272+M273-L273,2),0)</f>
        <v>0</v>
      </c>
      <c r="O273" s="24">
        <f>IF(Q272&gt;0,MIN(ROUND(O$6+IF(O$5=$C273,$E$5+$E273,0),2),ROUND(Q272+P273,2)),0)</f>
        <v>0</v>
      </c>
      <c r="P273" s="24">
        <f>IF(Q272&gt;0,ROUND(ROUND(Q272*100,0)*ROUND(O$7*10000,0)/12000000,0)/100,0)</f>
        <v>0</v>
      </c>
      <c r="Q273" s="24">
        <f>IF(Q272&gt;0,ROUND(Q272+P273-O273,2),0)</f>
        <v>0</v>
      </c>
      <c r="R273" s="24">
        <f>IF(T272&gt;0,MIN(ROUND(R$6+IF(R$5=$C273,$E$5+$E273,0),2),ROUND(T272+S273,2)),0)</f>
        <v>0</v>
      </c>
      <c r="S273" s="24">
        <f>IF(T272&gt;0,ROUND(ROUND(T272*100,0)*ROUND(R$7*10000,0)/12000000,0)/100,0)</f>
        <v>0</v>
      </c>
      <c r="T273" s="24">
        <f>IF(T272&gt;0,ROUND(T272+S273-R273,2),0)</f>
        <v>0</v>
      </c>
      <c r="U273" s="24">
        <f>IF(W272&gt;0,MIN(ROUND(U$6+IF(U$5=$C273,$E$5+$E273,0),2),ROUND(W272+V273,2)),0)</f>
        <v>0</v>
      </c>
      <c r="V273" s="24">
        <f>IF(W272&gt;0,ROUND(ROUND(W272*100,0)*ROUND(U$7*10000,0)/12000000,0)/100,0)</f>
        <v>0</v>
      </c>
      <c r="W273" s="24">
        <f>IF(W272&gt;0,ROUND(W272+V273-U273,2),0)</f>
        <v>0</v>
      </c>
      <c r="X273" s="24">
        <f>IF(Z272&gt;0,MIN(ROUND(X$6+IF(X$5=$C273,$E$5+$E273,0),2),ROUND(Z272+Y273,2)),0)</f>
        <v>0</v>
      </c>
      <c r="Y273" s="24">
        <f>IF(Z272&gt;0,ROUND(ROUND(Z272*100,0)*ROUND(X$7*10000,0)/12000000,0)/100,0)</f>
        <v>0</v>
      </c>
      <c r="Z273" s="24">
        <f>IF(Z272&gt;0,ROUND(Z272+Y273-X273,2),0)</f>
        <v>0</v>
      </c>
      <c r="AA273" s="24">
        <f>IF(AC272&gt;0,MIN(ROUND(AA$6+IF(AA$5=$C273,$E$5+$E273,0),2),ROUND(AC272+AB273,2)),0)</f>
        <v>0</v>
      </c>
      <c r="AB273" s="24">
        <f>IF(AC272&gt;0,ROUND(ROUND(AC272*100,0)*ROUND(AA$7*10000,0)/12000000,0)/100,0)</f>
        <v>0</v>
      </c>
      <c r="AC273" s="24">
        <f>IF(AC272&gt;0,ROUND(AC272+AB273-AA273,2),0)</f>
        <v>0</v>
      </c>
      <c r="AD273" s="24">
        <f>IF(AF272&gt;0,MIN(ROUND(AD$6+IF(AD$5=$C273,$E$5+$E273,0),2),ROUND(AF272+AE273,2)),0)</f>
        <v>0</v>
      </c>
      <c r="AE273" s="24">
        <f>IF(AF272&gt;0,ROUND(ROUND(AF272*100,0)*ROUND(AD$7*10000,0)/12000000,0)/100,0)</f>
        <v>0</v>
      </c>
      <c r="AF273" s="24">
        <f>IF(AF272&gt;0,ROUND(AF272+AE273-AD273,2),0)</f>
        <v>0</v>
      </c>
      <c r="AG273" s="24">
        <f>IF(AI272&gt;0,MIN(ROUND(AG$6+IF(AG$5=$C273,$E$5+$E273,0),2),ROUND(AI272+AH273,2)),0)</f>
        <v>0</v>
      </c>
      <c r="AH273" s="24">
        <f>IF(AI272&gt;0,ROUND(ROUND(AI272*100,0)*ROUND(AG$7*10000,0)/12000000,0)/100,0)</f>
        <v>0</v>
      </c>
      <c r="AI273" s="24">
        <f>IF(AI272&gt;0,ROUND(AI272+AH273-AG273,2),0)</f>
        <v>0</v>
      </c>
      <c r="AJ273" s="24">
        <f>IF(AL272&gt;0,MIN(ROUND(AJ$6+IF(AJ$5=$C273,$E$5+$E273,0),2),ROUND(AL272+AK273,2)),0)</f>
        <v>0</v>
      </c>
      <c r="AK273" s="24">
        <f>IF(AL272&gt;0,ROUND(ROUND(AL272*100,0)*ROUND(AJ$7*10000,0)/12000000,0)/100,0)</f>
        <v>0</v>
      </c>
      <c r="AL273" s="24">
        <f>IF(AL272&gt;0,ROUND(AL272+AK273-AJ273,2),0)</f>
        <v>0</v>
      </c>
    </row>
    <row r="274" spans="1:38" x14ac:dyDescent="0.25">
      <c r="A274" s="17" t="str">
        <f>IF(F274&gt;0,264,"")</f>
        <v/>
      </c>
      <c r="B274" s="18" t="str">
        <f>IF(F274&gt;0,EDATE($E$6,264),"")</f>
        <v/>
      </c>
      <c r="C274" s="21">
        <f>IF(H273&gt;0,MIN(IF(K273&gt;0,I$5,99),IF(N273&gt;0,L$5,99),IF(Q273&gt;0,O$5,99),IF(T273&gt;0,R$5,99),IF(W273&gt;0,U$5,99),IF(Z273&gt;0,X$5,99),IF(AC273&gt;0,AA$5,99),IF(AF273&gt;0,AD$5,99),IF(AI273&gt;0,AG$5,99),IF(AL273&gt;0,AJ$5,99)),0)</f>
        <v>0</v>
      </c>
      <c r="D274" t="str">
        <f>IF(C274&gt;0,INDEX($I$4:$AL$4,1,MATCH(C274,$I$5:$AL$5,0)),"")</f>
        <v/>
      </c>
      <c r="E274" s="24">
        <f>ROUND(IF(AND(I$8&gt;0,K273=0),I$6,0)+IF(AND(L$8&gt;0,N273=0),L$6,0)+IF(AND(O$8&gt;0,Q273=0),O$6,0)+IF(AND(R$8&gt;0,T273=0),R$6,0)+IF(AND(U$8&gt;0,W273=0),U$6,0)+IF(AND(X$8&gt;0,Z273=0),X$6,0)+IF(AND(AA$8&gt;0,AC273=0),AA$6,0)+IF(AND(AD$8&gt;0,AF273=0),AD$6,0)+IF(AND(AG$8&gt;0,AI273=0),AG$6,0)+IF(AND(AJ$8&gt;0,AL273=0),AJ$6,0),2)</f>
        <v>330</v>
      </c>
      <c r="F274" s="24">
        <f>ROUND(I274+L274+O274+R274+U274+X274+AA274+AD274+AG274+AJ274,2)</f>
        <v>0</v>
      </c>
      <c r="G274" s="24">
        <f>ROUND(J274+M274+P274+S274+V274+Y274+AB274+AE274+AH274+AK274,2)</f>
        <v>0</v>
      </c>
      <c r="H274" s="24">
        <f>ROUND(K274+N274+Q274+T274+W274+Z274+AC274+AF274+AI274+AL274,2)</f>
        <v>0</v>
      </c>
      <c r="I274" s="24">
        <f>IF(K273&gt;0,MIN(ROUND(I$6+IF(I$5=$C274,$E$5+$E274,0),2),ROUND(K273+J274,2)),0)</f>
        <v>0</v>
      </c>
      <c r="J274" s="24">
        <f>IF(K273&gt;0,ROUND(ROUND(K273*100,0)*ROUND(I$7*10000,0)/12000000,0)/100,0)</f>
        <v>0</v>
      </c>
      <c r="K274" s="24">
        <f>IF(K273&gt;0,ROUND(K273+J274-I274,2),0)</f>
        <v>0</v>
      </c>
      <c r="L274" s="24">
        <f>IF(N273&gt;0,MIN(ROUND(L$6+IF(L$5=$C274,$E$5+$E274,0),2),ROUND(N273+M274,2)),0)</f>
        <v>0</v>
      </c>
      <c r="M274" s="24">
        <f>IF(N273&gt;0,ROUND(ROUND(N273*100,0)*ROUND(L$7*10000,0)/12000000,0)/100,0)</f>
        <v>0</v>
      </c>
      <c r="N274" s="24">
        <f>IF(N273&gt;0,ROUND(N273+M274-L274,2),0)</f>
        <v>0</v>
      </c>
      <c r="O274" s="24">
        <f>IF(Q273&gt;0,MIN(ROUND(O$6+IF(O$5=$C274,$E$5+$E274,0),2),ROUND(Q273+P274,2)),0)</f>
        <v>0</v>
      </c>
      <c r="P274" s="24">
        <f>IF(Q273&gt;0,ROUND(ROUND(Q273*100,0)*ROUND(O$7*10000,0)/12000000,0)/100,0)</f>
        <v>0</v>
      </c>
      <c r="Q274" s="24">
        <f>IF(Q273&gt;0,ROUND(Q273+P274-O274,2),0)</f>
        <v>0</v>
      </c>
      <c r="R274" s="24">
        <f>IF(T273&gt;0,MIN(ROUND(R$6+IF(R$5=$C274,$E$5+$E274,0),2),ROUND(T273+S274,2)),0)</f>
        <v>0</v>
      </c>
      <c r="S274" s="24">
        <f>IF(T273&gt;0,ROUND(ROUND(T273*100,0)*ROUND(R$7*10000,0)/12000000,0)/100,0)</f>
        <v>0</v>
      </c>
      <c r="T274" s="24">
        <f>IF(T273&gt;0,ROUND(T273+S274-R274,2),0)</f>
        <v>0</v>
      </c>
      <c r="U274" s="24">
        <f>IF(W273&gt;0,MIN(ROUND(U$6+IF(U$5=$C274,$E$5+$E274,0),2),ROUND(W273+V274,2)),0)</f>
        <v>0</v>
      </c>
      <c r="V274" s="24">
        <f>IF(W273&gt;0,ROUND(ROUND(W273*100,0)*ROUND(U$7*10000,0)/12000000,0)/100,0)</f>
        <v>0</v>
      </c>
      <c r="W274" s="24">
        <f>IF(W273&gt;0,ROUND(W273+V274-U274,2),0)</f>
        <v>0</v>
      </c>
      <c r="X274" s="24">
        <f>IF(Z273&gt;0,MIN(ROUND(X$6+IF(X$5=$C274,$E$5+$E274,0),2),ROUND(Z273+Y274,2)),0)</f>
        <v>0</v>
      </c>
      <c r="Y274" s="24">
        <f>IF(Z273&gt;0,ROUND(ROUND(Z273*100,0)*ROUND(X$7*10000,0)/12000000,0)/100,0)</f>
        <v>0</v>
      </c>
      <c r="Z274" s="24">
        <f>IF(Z273&gt;0,ROUND(Z273+Y274-X274,2),0)</f>
        <v>0</v>
      </c>
      <c r="AA274" s="24">
        <f>IF(AC273&gt;0,MIN(ROUND(AA$6+IF(AA$5=$C274,$E$5+$E274,0),2),ROUND(AC273+AB274,2)),0)</f>
        <v>0</v>
      </c>
      <c r="AB274" s="24">
        <f>IF(AC273&gt;0,ROUND(ROUND(AC273*100,0)*ROUND(AA$7*10000,0)/12000000,0)/100,0)</f>
        <v>0</v>
      </c>
      <c r="AC274" s="24">
        <f>IF(AC273&gt;0,ROUND(AC273+AB274-AA274,2),0)</f>
        <v>0</v>
      </c>
      <c r="AD274" s="24">
        <f>IF(AF273&gt;0,MIN(ROUND(AD$6+IF(AD$5=$C274,$E$5+$E274,0),2),ROUND(AF273+AE274,2)),0)</f>
        <v>0</v>
      </c>
      <c r="AE274" s="24">
        <f>IF(AF273&gt;0,ROUND(ROUND(AF273*100,0)*ROUND(AD$7*10000,0)/12000000,0)/100,0)</f>
        <v>0</v>
      </c>
      <c r="AF274" s="24">
        <f>IF(AF273&gt;0,ROUND(AF273+AE274-AD274,2),0)</f>
        <v>0</v>
      </c>
      <c r="AG274" s="24">
        <f>IF(AI273&gt;0,MIN(ROUND(AG$6+IF(AG$5=$C274,$E$5+$E274,0),2),ROUND(AI273+AH274,2)),0)</f>
        <v>0</v>
      </c>
      <c r="AH274" s="24">
        <f>IF(AI273&gt;0,ROUND(ROUND(AI273*100,0)*ROUND(AG$7*10000,0)/12000000,0)/100,0)</f>
        <v>0</v>
      </c>
      <c r="AI274" s="24">
        <f>IF(AI273&gt;0,ROUND(AI273+AH274-AG274,2),0)</f>
        <v>0</v>
      </c>
      <c r="AJ274" s="24">
        <f>IF(AL273&gt;0,MIN(ROUND(AJ$6+IF(AJ$5=$C274,$E$5+$E274,0),2),ROUND(AL273+AK274,2)),0)</f>
        <v>0</v>
      </c>
      <c r="AK274" s="24">
        <f>IF(AL273&gt;0,ROUND(ROUND(AL273*100,0)*ROUND(AJ$7*10000,0)/12000000,0)/100,0)</f>
        <v>0</v>
      </c>
      <c r="AL274" s="24">
        <f>IF(AL273&gt;0,ROUND(AL273+AK274-AJ274,2),0)</f>
        <v>0</v>
      </c>
    </row>
    <row r="275" spans="1:38" x14ac:dyDescent="0.25">
      <c r="A275" s="17" t="str">
        <f>IF(F275&gt;0,265,"")</f>
        <v/>
      </c>
      <c r="B275" s="18" t="str">
        <f>IF(F275&gt;0,EDATE($E$6,265),"")</f>
        <v/>
      </c>
      <c r="C275" s="21">
        <f>IF(H274&gt;0,MIN(IF(K274&gt;0,I$5,99),IF(N274&gt;0,L$5,99),IF(Q274&gt;0,O$5,99),IF(T274&gt;0,R$5,99),IF(W274&gt;0,U$5,99),IF(Z274&gt;0,X$5,99),IF(AC274&gt;0,AA$5,99),IF(AF274&gt;0,AD$5,99),IF(AI274&gt;0,AG$5,99),IF(AL274&gt;0,AJ$5,99)),0)</f>
        <v>0</v>
      </c>
      <c r="D275" t="str">
        <f>IF(C275&gt;0,INDEX($I$4:$AL$4,1,MATCH(C275,$I$5:$AL$5,0)),"")</f>
        <v/>
      </c>
      <c r="E275" s="24">
        <f>ROUND(IF(AND(I$8&gt;0,K274=0),I$6,0)+IF(AND(L$8&gt;0,N274=0),L$6,0)+IF(AND(O$8&gt;0,Q274=0),O$6,0)+IF(AND(R$8&gt;0,T274=0),R$6,0)+IF(AND(U$8&gt;0,W274=0),U$6,0)+IF(AND(X$8&gt;0,Z274=0),X$6,0)+IF(AND(AA$8&gt;0,AC274=0),AA$6,0)+IF(AND(AD$8&gt;0,AF274=0),AD$6,0)+IF(AND(AG$8&gt;0,AI274=0),AG$6,0)+IF(AND(AJ$8&gt;0,AL274=0),AJ$6,0),2)</f>
        <v>330</v>
      </c>
      <c r="F275" s="24">
        <f>ROUND(I275+L275+O275+R275+U275+X275+AA275+AD275+AG275+AJ275,2)</f>
        <v>0</v>
      </c>
      <c r="G275" s="24">
        <f>ROUND(J275+M275+P275+S275+V275+Y275+AB275+AE275+AH275+AK275,2)</f>
        <v>0</v>
      </c>
      <c r="H275" s="24">
        <f>ROUND(K275+N275+Q275+T275+W275+Z275+AC275+AF275+AI275+AL275,2)</f>
        <v>0</v>
      </c>
      <c r="I275" s="24">
        <f>IF(K274&gt;0,MIN(ROUND(I$6+IF(I$5=$C275,$E$5+$E275,0),2),ROUND(K274+J275,2)),0)</f>
        <v>0</v>
      </c>
      <c r="J275" s="24">
        <f>IF(K274&gt;0,ROUND(ROUND(K274*100,0)*ROUND(I$7*10000,0)/12000000,0)/100,0)</f>
        <v>0</v>
      </c>
      <c r="K275" s="24">
        <f>IF(K274&gt;0,ROUND(K274+J275-I275,2),0)</f>
        <v>0</v>
      </c>
      <c r="L275" s="24">
        <f>IF(N274&gt;0,MIN(ROUND(L$6+IF(L$5=$C275,$E$5+$E275,0),2),ROUND(N274+M275,2)),0)</f>
        <v>0</v>
      </c>
      <c r="M275" s="24">
        <f>IF(N274&gt;0,ROUND(ROUND(N274*100,0)*ROUND(L$7*10000,0)/12000000,0)/100,0)</f>
        <v>0</v>
      </c>
      <c r="N275" s="24">
        <f>IF(N274&gt;0,ROUND(N274+M275-L275,2),0)</f>
        <v>0</v>
      </c>
      <c r="O275" s="24">
        <f>IF(Q274&gt;0,MIN(ROUND(O$6+IF(O$5=$C275,$E$5+$E275,0),2),ROUND(Q274+P275,2)),0)</f>
        <v>0</v>
      </c>
      <c r="P275" s="24">
        <f>IF(Q274&gt;0,ROUND(ROUND(Q274*100,0)*ROUND(O$7*10000,0)/12000000,0)/100,0)</f>
        <v>0</v>
      </c>
      <c r="Q275" s="24">
        <f>IF(Q274&gt;0,ROUND(Q274+P275-O275,2),0)</f>
        <v>0</v>
      </c>
      <c r="R275" s="24">
        <f>IF(T274&gt;0,MIN(ROUND(R$6+IF(R$5=$C275,$E$5+$E275,0),2),ROUND(T274+S275,2)),0)</f>
        <v>0</v>
      </c>
      <c r="S275" s="24">
        <f>IF(T274&gt;0,ROUND(ROUND(T274*100,0)*ROUND(R$7*10000,0)/12000000,0)/100,0)</f>
        <v>0</v>
      </c>
      <c r="T275" s="24">
        <f>IF(T274&gt;0,ROUND(T274+S275-R275,2),0)</f>
        <v>0</v>
      </c>
      <c r="U275" s="24">
        <f>IF(W274&gt;0,MIN(ROUND(U$6+IF(U$5=$C275,$E$5+$E275,0),2),ROUND(W274+V275,2)),0)</f>
        <v>0</v>
      </c>
      <c r="V275" s="24">
        <f>IF(W274&gt;0,ROUND(ROUND(W274*100,0)*ROUND(U$7*10000,0)/12000000,0)/100,0)</f>
        <v>0</v>
      </c>
      <c r="W275" s="24">
        <f>IF(W274&gt;0,ROUND(W274+V275-U275,2),0)</f>
        <v>0</v>
      </c>
      <c r="X275" s="24">
        <f>IF(Z274&gt;0,MIN(ROUND(X$6+IF(X$5=$C275,$E$5+$E275,0),2),ROUND(Z274+Y275,2)),0)</f>
        <v>0</v>
      </c>
      <c r="Y275" s="24">
        <f>IF(Z274&gt;0,ROUND(ROUND(Z274*100,0)*ROUND(X$7*10000,0)/12000000,0)/100,0)</f>
        <v>0</v>
      </c>
      <c r="Z275" s="24">
        <f>IF(Z274&gt;0,ROUND(Z274+Y275-X275,2),0)</f>
        <v>0</v>
      </c>
      <c r="AA275" s="24">
        <f>IF(AC274&gt;0,MIN(ROUND(AA$6+IF(AA$5=$C275,$E$5+$E275,0),2),ROUND(AC274+AB275,2)),0)</f>
        <v>0</v>
      </c>
      <c r="AB275" s="24">
        <f>IF(AC274&gt;0,ROUND(ROUND(AC274*100,0)*ROUND(AA$7*10000,0)/12000000,0)/100,0)</f>
        <v>0</v>
      </c>
      <c r="AC275" s="24">
        <f>IF(AC274&gt;0,ROUND(AC274+AB275-AA275,2),0)</f>
        <v>0</v>
      </c>
      <c r="AD275" s="24">
        <f>IF(AF274&gt;0,MIN(ROUND(AD$6+IF(AD$5=$C275,$E$5+$E275,0),2),ROUND(AF274+AE275,2)),0)</f>
        <v>0</v>
      </c>
      <c r="AE275" s="24">
        <f>IF(AF274&gt;0,ROUND(ROUND(AF274*100,0)*ROUND(AD$7*10000,0)/12000000,0)/100,0)</f>
        <v>0</v>
      </c>
      <c r="AF275" s="24">
        <f>IF(AF274&gt;0,ROUND(AF274+AE275-AD275,2),0)</f>
        <v>0</v>
      </c>
      <c r="AG275" s="24">
        <f>IF(AI274&gt;0,MIN(ROUND(AG$6+IF(AG$5=$C275,$E$5+$E275,0),2),ROUND(AI274+AH275,2)),0)</f>
        <v>0</v>
      </c>
      <c r="AH275" s="24">
        <f>IF(AI274&gt;0,ROUND(ROUND(AI274*100,0)*ROUND(AG$7*10000,0)/12000000,0)/100,0)</f>
        <v>0</v>
      </c>
      <c r="AI275" s="24">
        <f>IF(AI274&gt;0,ROUND(AI274+AH275-AG275,2),0)</f>
        <v>0</v>
      </c>
      <c r="AJ275" s="24">
        <f>IF(AL274&gt;0,MIN(ROUND(AJ$6+IF(AJ$5=$C275,$E$5+$E275,0),2),ROUND(AL274+AK275,2)),0)</f>
        <v>0</v>
      </c>
      <c r="AK275" s="24">
        <f>IF(AL274&gt;0,ROUND(ROUND(AL274*100,0)*ROUND(AJ$7*10000,0)/12000000,0)/100,0)</f>
        <v>0</v>
      </c>
      <c r="AL275" s="24">
        <f>IF(AL274&gt;0,ROUND(AL274+AK275-AJ275,2),0)</f>
        <v>0</v>
      </c>
    </row>
    <row r="276" spans="1:38" x14ac:dyDescent="0.25">
      <c r="A276" s="17" t="str">
        <f>IF(F276&gt;0,266,"")</f>
        <v/>
      </c>
      <c r="B276" s="18" t="str">
        <f>IF(F276&gt;0,EDATE($E$6,266),"")</f>
        <v/>
      </c>
      <c r="C276" s="21">
        <f>IF(H275&gt;0,MIN(IF(K275&gt;0,I$5,99),IF(N275&gt;0,L$5,99),IF(Q275&gt;0,O$5,99),IF(T275&gt;0,R$5,99),IF(W275&gt;0,U$5,99),IF(Z275&gt;0,X$5,99),IF(AC275&gt;0,AA$5,99),IF(AF275&gt;0,AD$5,99),IF(AI275&gt;0,AG$5,99),IF(AL275&gt;0,AJ$5,99)),0)</f>
        <v>0</v>
      </c>
      <c r="D276" t="str">
        <f>IF(C276&gt;0,INDEX($I$4:$AL$4,1,MATCH(C276,$I$5:$AL$5,0)),"")</f>
        <v/>
      </c>
      <c r="E276" s="24">
        <f>ROUND(IF(AND(I$8&gt;0,K275=0),I$6,0)+IF(AND(L$8&gt;0,N275=0),L$6,0)+IF(AND(O$8&gt;0,Q275=0),O$6,0)+IF(AND(R$8&gt;0,T275=0),R$6,0)+IF(AND(U$8&gt;0,W275=0),U$6,0)+IF(AND(X$8&gt;0,Z275=0),X$6,0)+IF(AND(AA$8&gt;0,AC275=0),AA$6,0)+IF(AND(AD$8&gt;0,AF275=0),AD$6,0)+IF(AND(AG$8&gt;0,AI275=0),AG$6,0)+IF(AND(AJ$8&gt;0,AL275=0),AJ$6,0),2)</f>
        <v>330</v>
      </c>
      <c r="F276" s="24">
        <f>ROUND(I276+L276+O276+R276+U276+X276+AA276+AD276+AG276+AJ276,2)</f>
        <v>0</v>
      </c>
      <c r="G276" s="24">
        <f>ROUND(J276+M276+P276+S276+V276+Y276+AB276+AE276+AH276+AK276,2)</f>
        <v>0</v>
      </c>
      <c r="H276" s="24">
        <f>ROUND(K276+N276+Q276+T276+W276+Z276+AC276+AF276+AI276+AL276,2)</f>
        <v>0</v>
      </c>
      <c r="I276" s="24">
        <f>IF(K275&gt;0,MIN(ROUND(I$6+IF(I$5=$C276,$E$5+$E276,0),2),ROUND(K275+J276,2)),0)</f>
        <v>0</v>
      </c>
      <c r="J276" s="24">
        <f>IF(K275&gt;0,ROUND(ROUND(K275*100,0)*ROUND(I$7*10000,0)/12000000,0)/100,0)</f>
        <v>0</v>
      </c>
      <c r="K276" s="24">
        <f>IF(K275&gt;0,ROUND(K275+J276-I276,2),0)</f>
        <v>0</v>
      </c>
      <c r="L276" s="24">
        <f>IF(N275&gt;0,MIN(ROUND(L$6+IF(L$5=$C276,$E$5+$E276,0),2),ROUND(N275+M276,2)),0)</f>
        <v>0</v>
      </c>
      <c r="M276" s="24">
        <f>IF(N275&gt;0,ROUND(ROUND(N275*100,0)*ROUND(L$7*10000,0)/12000000,0)/100,0)</f>
        <v>0</v>
      </c>
      <c r="N276" s="24">
        <f>IF(N275&gt;0,ROUND(N275+M276-L276,2),0)</f>
        <v>0</v>
      </c>
      <c r="O276" s="24">
        <f>IF(Q275&gt;0,MIN(ROUND(O$6+IF(O$5=$C276,$E$5+$E276,0),2),ROUND(Q275+P276,2)),0)</f>
        <v>0</v>
      </c>
      <c r="P276" s="24">
        <f>IF(Q275&gt;0,ROUND(ROUND(Q275*100,0)*ROUND(O$7*10000,0)/12000000,0)/100,0)</f>
        <v>0</v>
      </c>
      <c r="Q276" s="24">
        <f>IF(Q275&gt;0,ROUND(Q275+P276-O276,2),0)</f>
        <v>0</v>
      </c>
      <c r="R276" s="24">
        <f>IF(T275&gt;0,MIN(ROUND(R$6+IF(R$5=$C276,$E$5+$E276,0),2),ROUND(T275+S276,2)),0)</f>
        <v>0</v>
      </c>
      <c r="S276" s="24">
        <f>IF(T275&gt;0,ROUND(ROUND(T275*100,0)*ROUND(R$7*10000,0)/12000000,0)/100,0)</f>
        <v>0</v>
      </c>
      <c r="T276" s="24">
        <f>IF(T275&gt;0,ROUND(T275+S276-R276,2),0)</f>
        <v>0</v>
      </c>
      <c r="U276" s="24">
        <f>IF(W275&gt;0,MIN(ROUND(U$6+IF(U$5=$C276,$E$5+$E276,0),2),ROUND(W275+V276,2)),0)</f>
        <v>0</v>
      </c>
      <c r="V276" s="24">
        <f>IF(W275&gt;0,ROUND(ROUND(W275*100,0)*ROUND(U$7*10000,0)/12000000,0)/100,0)</f>
        <v>0</v>
      </c>
      <c r="W276" s="24">
        <f>IF(W275&gt;0,ROUND(W275+V276-U276,2),0)</f>
        <v>0</v>
      </c>
      <c r="X276" s="24">
        <f>IF(Z275&gt;0,MIN(ROUND(X$6+IF(X$5=$C276,$E$5+$E276,0),2),ROUND(Z275+Y276,2)),0)</f>
        <v>0</v>
      </c>
      <c r="Y276" s="24">
        <f>IF(Z275&gt;0,ROUND(ROUND(Z275*100,0)*ROUND(X$7*10000,0)/12000000,0)/100,0)</f>
        <v>0</v>
      </c>
      <c r="Z276" s="24">
        <f>IF(Z275&gt;0,ROUND(Z275+Y276-X276,2),0)</f>
        <v>0</v>
      </c>
      <c r="AA276" s="24">
        <f>IF(AC275&gt;0,MIN(ROUND(AA$6+IF(AA$5=$C276,$E$5+$E276,0),2),ROUND(AC275+AB276,2)),0)</f>
        <v>0</v>
      </c>
      <c r="AB276" s="24">
        <f>IF(AC275&gt;0,ROUND(ROUND(AC275*100,0)*ROUND(AA$7*10000,0)/12000000,0)/100,0)</f>
        <v>0</v>
      </c>
      <c r="AC276" s="24">
        <f>IF(AC275&gt;0,ROUND(AC275+AB276-AA276,2),0)</f>
        <v>0</v>
      </c>
      <c r="AD276" s="24">
        <f>IF(AF275&gt;0,MIN(ROUND(AD$6+IF(AD$5=$C276,$E$5+$E276,0),2),ROUND(AF275+AE276,2)),0)</f>
        <v>0</v>
      </c>
      <c r="AE276" s="24">
        <f>IF(AF275&gt;0,ROUND(ROUND(AF275*100,0)*ROUND(AD$7*10000,0)/12000000,0)/100,0)</f>
        <v>0</v>
      </c>
      <c r="AF276" s="24">
        <f>IF(AF275&gt;0,ROUND(AF275+AE276-AD276,2),0)</f>
        <v>0</v>
      </c>
      <c r="AG276" s="24">
        <f>IF(AI275&gt;0,MIN(ROUND(AG$6+IF(AG$5=$C276,$E$5+$E276,0),2),ROUND(AI275+AH276,2)),0)</f>
        <v>0</v>
      </c>
      <c r="AH276" s="24">
        <f>IF(AI275&gt;0,ROUND(ROUND(AI275*100,0)*ROUND(AG$7*10000,0)/12000000,0)/100,0)</f>
        <v>0</v>
      </c>
      <c r="AI276" s="24">
        <f>IF(AI275&gt;0,ROUND(AI275+AH276-AG276,2),0)</f>
        <v>0</v>
      </c>
      <c r="AJ276" s="24">
        <f>IF(AL275&gt;0,MIN(ROUND(AJ$6+IF(AJ$5=$C276,$E$5+$E276,0),2),ROUND(AL275+AK276,2)),0)</f>
        <v>0</v>
      </c>
      <c r="AK276" s="24">
        <f>IF(AL275&gt;0,ROUND(ROUND(AL275*100,0)*ROUND(AJ$7*10000,0)/12000000,0)/100,0)</f>
        <v>0</v>
      </c>
      <c r="AL276" s="24">
        <f>IF(AL275&gt;0,ROUND(AL275+AK276-AJ276,2),0)</f>
        <v>0</v>
      </c>
    </row>
    <row r="277" spans="1:38" x14ac:dyDescent="0.25">
      <c r="A277" s="17" t="str">
        <f>IF(F277&gt;0,267,"")</f>
        <v/>
      </c>
      <c r="B277" s="18" t="str">
        <f>IF(F277&gt;0,EDATE($E$6,267),"")</f>
        <v/>
      </c>
      <c r="C277" s="21">
        <f>IF(H276&gt;0,MIN(IF(K276&gt;0,I$5,99),IF(N276&gt;0,L$5,99),IF(Q276&gt;0,O$5,99),IF(T276&gt;0,R$5,99),IF(W276&gt;0,U$5,99),IF(Z276&gt;0,X$5,99),IF(AC276&gt;0,AA$5,99),IF(AF276&gt;0,AD$5,99),IF(AI276&gt;0,AG$5,99),IF(AL276&gt;0,AJ$5,99)),0)</f>
        <v>0</v>
      </c>
      <c r="D277" t="str">
        <f>IF(C277&gt;0,INDEX($I$4:$AL$4,1,MATCH(C277,$I$5:$AL$5,0)),"")</f>
        <v/>
      </c>
      <c r="E277" s="24">
        <f>ROUND(IF(AND(I$8&gt;0,K276=0),I$6,0)+IF(AND(L$8&gt;0,N276=0),L$6,0)+IF(AND(O$8&gt;0,Q276=0),O$6,0)+IF(AND(R$8&gt;0,T276=0),R$6,0)+IF(AND(U$8&gt;0,W276=0),U$6,0)+IF(AND(X$8&gt;0,Z276=0),X$6,0)+IF(AND(AA$8&gt;0,AC276=0),AA$6,0)+IF(AND(AD$8&gt;0,AF276=0),AD$6,0)+IF(AND(AG$8&gt;0,AI276=0),AG$6,0)+IF(AND(AJ$8&gt;0,AL276=0),AJ$6,0),2)</f>
        <v>330</v>
      </c>
      <c r="F277" s="24">
        <f>ROUND(I277+L277+O277+R277+U277+X277+AA277+AD277+AG277+AJ277,2)</f>
        <v>0</v>
      </c>
      <c r="G277" s="24">
        <f>ROUND(J277+M277+P277+S277+V277+Y277+AB277+AE277+AH277+AK277,2)</f>
        <v>0</v>
      </c>
      <c r="H277" s="24">
        <f>ROUND(K277+N277+Q277+T277+W277+Z277+AC277+AF277+AI277+AL277,2)</f>
        <v>0</v>
      </c>
      <c r="I277" s="24">
        <f>IF(K276&gt;0,MIN(ROUND(I$6+IF(I$5=$C277,$E$5+$E277,0),2),ROUND(K276+J277,2)),0)</f>
        <v>0</v>
      </c>
      <c r="J277" s="24">
        <f>IF(K276&gt;0,ROUND(ROUND(K276*100,0)*ROUND(I$7*10000,0)/12000000,0)/100,0)</f>
        <v>0</v>
      </c>
      <c r="K277" s="24">
        <f>IF(K276&gt;0,ROUND(K276+J277-I277,2),0)</f>
        <v>0</v>
      </c>
      <c r="L277" s="24">
        <f>IF(N276&gt;0,MIN(ROUND(L$6+IF(L$5=$C277,$E$5+$E277,0),2),ROUND(N276+M277,2)),0)</f>
        <v>0</v>
      </c>
      <c r="M277" s="24">
        <f>IF(N276&gt;0,ROUND(ROUND(N276*100,0)*ROUND(L$7*10000,0)/12000000,0)/100,0)</f>
        <v>0</v>
      </c>
      <c r="N277" s="24">
        <f>IF(N276&gt;0,ROUND(N276+M277-L277,2),0)</f>
        <v>0</v>
      </c>
      <c r="O277" s="24">
        <f>IF(Q276&gt;0,MIN(ROUND(O$6+IF(O$5=$C277,$E$5+$E277,0),2),ROUND(Q276+P277,2)),0)</f>
        <v>0</v>
      </c>
      <c r="P277" s="24">
        <f>IF(Q276&gt;0,ROUND(ROUND(Q276*100,0)*ROUND(O$7*10000,0)/12000000,0)/100,0)</f>
        <v>0</v>
      </c>
      <c r="Q277" s="24">
        <f>IF(Q276&gt;0,ROUND(Q276+P277-O277,2),0)</f>
        <v>0</v>
      </c>
      <c r="R277" s="24">
        <f>IF(T276&gt;0,MIN(ROUND(R$6+IF(R$5=$C277,$E$5+$E277,0),2),ROUND(T276+S277,2)),0)</f>
        <v>0</v>
      </c>
      <c r="S277" s="24">
        <f>IF(T276&gt;0,ROUND(ROUND(T276*100,0)*ROUND(R$7*10000,0)/12000000,0)/100,0)</f>
        <v>0</v>
      </c>
      <c r="T277" s="24">
        <f>IF(T276&gt;0,ROUND(T276+S277-R277,2),0)</f>
        <v>0</v>
      </c>
      <c r="U277" s="24">
        <f>IF(W276&gt;0,MIN(ROUND(U$6+IF(U$5=$C277,$E$5+$E277,0),2),ROUND(W276+V277,2)),0)</f>
        <v>0</v>
      </c>
      <c r="V277" s="24">
        <f>IF(W276&gt;0,ROUND(ROUND(W276*100,0)*ROUND(U$7*10000,0)/12000000,0)/100,0)</f>
        <v>0</v>
      </c>
      <c r="W277" s="24">
        <f>IF(W276&gt;0,ROUND(W276+V277-U277,2),0)</f>
        <v>0</v>
      </c>
      <c r="X277" s="24">
        <f>IF(Z276&gt;0,MIN(ROUND(X$6+IF(X$5=$C277,$E$5+$E277,0),2),ROUND(Z276+Y277,2)),0)</f>
        <v>0</v>
      </c>
      <c r="Y277" s="24">
        <f>IF(Z276&gt;0,ROUND(ROUND(Z276*100,0)*ROUND(X$7*10000,0)/12000000,0)/100,0)</f>
        <v>0</v>
      </c>
      <c r="Z277" s="24">
        <f>IF(Z276&gt;0,ROUND(Z276+Y277-X277,2),0)</f>
        <v>0</v>
      </c>
      <c r="AA277" s="24">
        <f>IF(AC276&gt;0,MIN(ROUND(AA$6+IF(AA$5=$C277,$E$5+$E277,0),2),ROUND(AC276+AB277,2)),0)</f>
        <v>0</v>
      </c>
      <c r="AB277" s="24">
        <f>IF(AC276&gt;0,ROUND(ROUND(AC276*100,0)*ROUND(AA$7*10000,0)/12000000,0)/100,0)</f>
        <v>0</v>
      </c>
      <c r="AC277" s="24">
        <f>IF(AC276&gt;0,ROUND(AC276+AB277-AA277,2),0)</f>
        <v>0</v>
      </c>
      <c r="AD277" s="24">
        <f>IF(AF276&gt;0,MIN(ROUND(AD$6+IF(AD$5=$C277,$E$5+$E277,0),2),ROUND(AF276+AE277,2)),0)</f>
        <v>0</v>
      </c>
      <c r="AE277" s="24">
        <f>IF(AF276&gt;0,ROUND(ROUND(AF276*100,0)*ROUND(AD$7*10000,0)/12000000,0)/100,0)</f>
        <v>0</v>
      </c>
      <c r="AF277" s="24">
        <f>IF(AF276&gt;0,ROUND(AF276+AE277-AD277,2),0)</f>
        <v>0</v>
      </c>
      <c r="AG277" s="24">
        <f>IF(AI276&gt;0,MIN(ROUND(AG$6+IF(AG$5=$C277,$E$5+$E277,0),2),ROUND(AI276+AH277,2)),0)</f>
        <v>0</v>
      </c>
      <c r="AH277" s="24">
        <f>IF(AI276&gt;0,ROUND(ROUND(AI276*100,0)*ROUND(AG$7*10000,0)/12000000,0)/100,0)</f>
        <v>0</v>
      </c>
      <c r="AI277" s="24">
        <f>IF(AI276&gt;0,ROUND(AI276+AH277-AG277,2),0)</f>
        <v>0</v>
      </c>
      <c r="AJ277" s="24">
        <f>IF(AL276&gt;0,MIN(ROUND(AJ$6+IF(AJ$5=$C277,$E$5+$E277,0),2),ROUND(AL276+AK277,2)),0)</f>
        <v>0</v>
      </c>
      <c r="AK277" s="24">
        <f>IF(AL276&gt;0,ROUND(ROUND(AL276*100,0)*ROUND(AJ$7*10000,0)/12000000,0)/100,0)</f>
        <v>0</v>
      </c>
      <c r="AL277" s="24">
        <f>IF(AL276&gt;0,ROUND(AL276+AK277-AJ277,2),0)</f>
        <v>0</v>
      </c>
    </row>
    <row r="278" spans="1:38" x14ac:dyDescent="0.25">
      <c r="A278" s="17" t="str">
        <f>IF(F278&gt;0,268,"")</f>
        <v/>
      </c>
      <c r="B278" s="18" t="str">
        <f>IF(F278&gt;0,EDATE($E$6,268),"")</f>
        <v/>
      </c>
      <c r="C278" s="21">
        <f>IF(H277&gt;0,MIN(IF(K277&gt;0,I$5,99),IF(N277&gt;0,L$5,99),IF(Q277&gt;0,O$5,99),IF(T277&gt;0,R$5,99),IF(W277&gt;0,U$5,99),IF(Z277&gt;0,X$5,99),IF(AC277&gt;0,AA$5,99),IF(AF277&gt;0,AD$5,99),IF(AI277&gt;0,AG$5,99),IF(AL277&gt;0,AJ$5,99)),0)</f>
        <v>0</v>
      </c>
      <c r="D278" t="str">
        <f>IF(C278&gt;0,INDEX($I$4:$AL$4,1,MATCH(C278,$I$5:$AL$5,0)),"")</f>
        <v/>
      </c>
      <c r="E278" s="24">
        <f>ROUND(IF(AND(I$8&gt;0,K277=0),I$6,0)+IF(AND(L$8&gt;0,N277=0),L$6,0)+IF(AND(O$8&gt;0,Q277=0),O$6,0)+IF(AND(R$8&gt;0,T277=0),R$6,0)+IF(AND(U$8&gt;0,W277=0),U$6,0)+IF(AND(X$8&gt;0,Z277=0),X$6,0)+IF(AND(AA$8&gt;0,AC277=0),AA$6,0)+IF(AND(AD$8&gt;0,AF277=0),AD$6,0)+IF(AND(AG$8&gt;0,AI277=0),AG$6,0)+IF(AND(AJ$8&gt;0,AL277=0),AJ$6,0),2)</f>
        <v>330</v>
      </c>
      <c r="F278" s="24">
        <f>ROUND(I278+L278+O278+R278+U278+X278+AA278+AD278+AG278+AJ278,2)</f>
        <v>0</v>
      </c>
      <c r="G278" s="24">
        <f>ROUND(J278+M278+P278+S278+V278+Y278+AB278+AE278+AH278+AK278,2)</f>
        <v>0</v>
      </c>
      <c r="H278" s="24">
        <f>ROUND(K278+N278+Q278+T278+W278+Z278+AC278+AF278+AI278+AL278,2)</f>
        <v>0</v>
      </c>
      <c r="I278" s="24">
        <f>IF(K277&gt;0,MIN(ROUND(I$6+IF(I$5=$C278,$E$5+$E278,0),2),ROUND(K277+J278,2)),0)</f>
        <v>0</v>
      </c>
      <c r="J278" s="24">
        <f>IF(K277&gt;0,ROUND(ROUND(K277*100,0)*ROUND(I$7*10000,0)/12000000,0)/100,0)</f>
        <v>0</v>
      </c>
      <c r="K278" s="24">
        <f>IF(K277&gt;0,ROUND(K277+J278-I278,2),0)</f>
        <v>0</v>
      </c>
      <c r="L278" s="24">
        <f>IF(N277&gt;0,MIN(ROUND(L$6+IF(L$5=$C278,$E$5+$E278,0),2),ROUND(N277+M278,2)),0)</f>
        <v>0</v>
      </c>
      <c r="M278" s="24">
        <f>IF(N277&gt;0,ROUND(ROUND(N277*100,0)*ROUND(L$7*10000,0)/12000000,0)/100,0)</f>
        <v>0</v>
      </c>
      <c r="N278" s="24">
        <f>IF(N277&gt;0,ROUND(N277+M278-L278,2),0)</f>
        <v>0</v>
      </c>
      <c r="O278" s="24">
        <f>IF(Q277&gt;0,MIN(ROUND(O$6+IF(O$5=$C278,$E$5+$E278,0),2),ROUND(Q277+P278,2)),0)</f>
        <v>0</v>
      </c>
      <c r="P278" s="24">
        <f>IF(Q277&gt;0,ROUND(ROUND(Q277*100,0)*ROUND(O$7*10000,0)/12000000,0)/100,0)</f>
        <v>0</v>
      </c>
      <c r="Q278" s="24">
        <f>IF(Q277&gt;0,ROUND(Q277+P278-O278,2),0)</f>
        <v>0</v>
      </c>
      <c r="R278" s="24">
        <f>IF(T277&gt;0,MIN(ROUND(R$6+IF(R$5=$C278,$E$5+$E278,0),2),ROUND(T277+S278,2)),0)</f>
        <v>0</v>
      </c>
      <c r="S278" s="24">
        <f>IF(T277&gt;0,ROUND(ROUND(T277*100,0)*ROUND(R$7*10000,0)/12000000,0)/100,0)</f>
        <v>0</v>
      </c>
      <c r="T278" s="24">
        <f>IF(T277&gt;0,ROUND(T277+S278-R278,2),0)</f>
        <v>0</v>
      </c>
      <c r="U278" s="24">
        <f>IF(W277&gt;0,MIN(ROUND(U$6+IF(U$5=$C278,$E$5+$E278,0),2),ROUND(W277+V278,2)),0)</f>
        <v>0</v>
      </c>
      <c r="V278" s="24">
        <f>IF(W277&gt;0,ROUND(ROUND(W277*100,0)*ROUND(U$7*10000,0)/12000000,0)/100,0)</f>
        <v>0</v>
      </c>
      <c r="W278" s="24">
        <f>IF(W277&gt;0,ROUND(W277+V278-U278,2),0)</f>
        <v>0</v>
      </c>
      <c r="X278" s="24">
        <f>IF(Z277&gt;0,MIN(ROUND(X$6+IF(X$5=$C278,$E$5+$E278,0),2),ROUND(Z277+Y278,2)),0)</f>
        <v>0</v>
      </c>
      <c r="Y278" s="24">
        <f>IF(Z277&gt;0,ROUND(ROUND(Z277*100,0)*ROUND(X$7*10000,0)/12000000,0)/100,0)</f>
        <v>0</v>
      </c>
      <c r="Z278" s="24">
        <f>IF(Z277&gt;0,ROUND(Z277+Y278-X278,2),0)</f>
        <v>0</v>
      </c>
      <c r="AA278" s="24">
        <f>IF(AC277&gt;0,MIN(ROUND(AA$6+IF(AA$5=$C278,$E$5+$E278,0),2),ROUND(AC277+AB278,2)),0)</f>
        <v>0</v>
      </c>
      <c r="AB278" s="24">
        <f>IF(AC277&gt;0,ROUND(ROUND(AC277*100,0)*ROUND(AA$7*10000,0)/12000000,0)/100,0)</f>
        <v>0</v>
      </c>
      <c r="AC278" s="24">
        <f>IF(AC277&gt;0,ROUND(AC277+AB278-AA278,2),0)</f>
        <v>0</v>
      </c>
      <c r="AD278" s="24">
        <f>IF(AF277&gt;0,MIN(ROUND(AD$6+IF(AD$5=$C278,$E$5+$E278,0),2),ROUND(AF277+AE278,2)),0)</f>
        <v>0</v>
      </c>
      <c r="AE278" s="24">
        <f>IF(AF277&gt;0,ROUND(ROUND(AF277*100,0)*ROUND(AD$7*10000,0)/12000000,0)/100,0)</f>
        <v>0</v>
      </c>
      <c r="AF278" s="24">
        <f>IF(AF277&gt;0,ROUND(AF277+AE278-AD278,2),0)</f>
        <v>0</v>
      </c>
      <c r="AG278" s="24">
        <f>IF(AI277&gt;0,MIN(ROUND(AG$6+IF(AG$5=$C278,$E$5+$E278,0),2),ROUND(AI277+AH278,2)),0)</f>
        <v>0</v>
      </c>
      <c r="AH278" s="24">
        <f>IF(AI277&gt;0,ROUND(ROUND(AI277*100,0)*ROUND(AG$7*10000,0)/12000000,0)/100,0)</f>
        <v>0</v>
      </c>
      <c r="AI278" s="24">
        <f>IF(AI277&gt;0,ROUND(AI277+AH278-AG278,2),0)</f>
        <v>0</v>
      </c>
      <c r="AJ278" s="24">
        <f>IF(AL277&gt;0,MIN(ROUND(AJ$6+IF(AJ$5=$C278,$E$5+$E278,0),2),ROUND(AL277+AK278,2)),0)</f>
        <v>0</v>
      </c>
      <c r="AK278" s="24">
        <f>IF(AL277&gt;0,ROUND(ROUND(AL277*100,0)*ROUND(AJ$7*10000,0)/12000000,0)/100,0)</f>
        <v>0</v>
      </c>
      <c r="AL278" s="24">
        <f>IF(AL277&gt;0,ROUND(AL277+AK278-AJ278,2),0)</f>
        <v>0</v>
      </c>
    </row>
    <row r="279" spans="1:38" x14ac:dyDescent="0.25">
      <c r="A279" s="17" t="str">
        <f>IF(F279&gt;0,269,"")</f>
        <v/>
      </c>
      <c r="B279" s="18" t="str">
        <f>IF(F279&gt;0,EDATE($E$6,269),"")</f>
        <v/>
      </c>
      <c r="C279" s="21">
        <f>IF(H278&gt;0,MIN(IF(K278&gt;0,I$5,99),IF(N278&gt;0,L$5,99),IF(Q278&gt;0,O$5,99),IF(T278&gt;0,R$5,99),IF(W278&gt;0,U$5,99),IF(Z278&gt;0,X$5,99),IF(AC278&gt;0,AA$5,99),IF(AF278&gt;0,AD$5,99),IF(AI278&gt;0,AG$5,99),IF(AL278&gt;0,AJ$5,99)),0)</f>
        <v>0</v>
      </c>
      <c r="D279" t="str">
        <f>IF(C279&gt;0,INDEX($I$4:$AL$4,1,MATCH(C279,$I$5:$AL$5,0)),"")</f>
        <v/>
      </c>
      <c r="E279" s="24">
        <f>ROUND(IF(AND(I$8&gt;0,K278=0),I$6,0)+IF(AND(L$8&gt;0,N278=0),L$6,0)+IF(AND(O$8&gt;0,Q278=0),O$6,0)+IF(AND(R$8&gt;0,T278=0),R$6,0)+IF(AND(U$8&gt;0,W278=0),U$6,0)+IF(AND(X$8&gt;0,Z278=0),X$6,0)+IF(AND(AA$8&gt;0,AC278=0),AA$6,0)+IF(AND(AD$8&gt;0,AF278=0),AD$6,0)+IF(AND(AG$8&gt;0,AI278=0),AG$6,0)+IF(AND(AJ$8&gt;0,AL278=0),AJ$6,0),2)</f>
        <v>330</v>
      </c>
      <c r="F279" s="24">
        <f>ROUND(I279+L279+O279+R279+U279+X279+AA279+AD279+AG279+AJ279,2)</f>
        <v>0</v>
      </c>
      <c r="G279" s="24">
        <f>ROUND(J279+M279+P279+S279+V279+Y279+AB279+AE279+AH279+AK279,2)</f>
        <v>0</v>
      </c>
      <c r="H279" s="24">
        <f>ROUND(K279+N279+Q279+T279+W279+Z279+AC279+AF279+AI279+AL279,2)</f>
        <v>0</v>
      </c>
      <c r="I279" s="24">
        <f>IF(K278&gt;0,MIN(ROUND(I$6+IF(I$5=$C279,$E$5+$E279,0),2),ROUND(K278+J279,2)),0)</f>
        <v>0</v>
      </c>
      <c r="J279" s="24">
        <f>IF(K278&gt;0,ROUND(ROUND(K278*100,0)*ROUND(I$7*10000,0)/12000000,0)/100,0)</f>
        <v>0</v>
      </c>
      <c r="K279" s="24">
        <f>IF(K278&gt;0,ROUND(K278+J279-I279,2),0)</f>
        <v>0</v>
      </c>
      <c r="L279" s="24">
        <f>IF(N278&gt;0,MIN(ROUND(L$6+IF(L$5=$C279,$E$5+$E279,0),2),ROUND(N278+M279,2)),0)</f>
        <v>0</v>
      </c>
      <c r="M279" s="24">
        <f>IF(N278&gt;0,ROUND(ROUND(N278*100,0)*ROUND(L$7*10000,0)/12000000,0)/100,0)</f>
        <v>0</v>
      </c>
      <c r="N279" s="24">
        <f>IF(N278&gt;0,ROUND(N278+M279-L279,2),0)</f>
        <v>0</v>
      </c>
      <c r="O279" s="24">
        <f>IF(Q278&gt;0,MIN(ROUND(O$6+IF(O$5=$C279,$E$5+$E279,0),2),ROUND(Q278+P279,2)),0)</f>
        <v>0</v>
      </c>
      <c r="P279" s="24">
        <f>IF(Q278&gt;0,ROUND(ROUND(Q278*100,0)*ROUND(O$7*10000,0)/12000000,0)/100,0)</f>
        <v>0</v>
      </c>
      <c r="Q279" s="24">
        <f>IF(Q278&gt;0,ROUND(Q278+P279-O279,2),0)</f>
        <v>0</v>
      </c>
      <c r="R279" s="24">
        <f>IF(T278&gt;0,MIN(ROUND(R$6+IF(R$5=$C279,$E$5+$E279,0),2),ROUND(T278+S279,2)),0)</f>
        <v>0</v>
      </c>
      <c r="S279" s="24">
        <f>IF(T278&gt;0,ROUND(ROUND(T278*100,0)*ROUND(R$7*10000,0)/12000000,0)/100,0)</f>
        <v>0</v>
      </c>
      <c r="T279" s="24">
        <f>IF(T278&gt;0,ROUND(T278+S279-R279,2),0)</f>
        <v>0</v>
      </c>
      <c r="U279" s="24">
        <f>IF(W278&gt;0,MIN(ROUND(U$6+IF(U$5=$C279,$E$5+$E279,0),2),ROUND(W278+V279,2)),0)</f>
        <v>0</v>
      </c>
      <c r="V279" s="24">
        <f>IF(W278&gt;0,ROUND(ROUND(W278*100,0)*ROUND(U$7*10000,0)/12000000,0)/100,0)</f>
        <v>0</v>
      </c>
      <c r="W279" s="24">
        <f>IF(W278&gt;0,ROUND(W278+V279-U279,2),0)</f>
        <v>0</v>
      </c>
      <c r="X279" s="24">
        <f>IF(Z278&gt;0,MIN(ROUND(X$6+IF(X$5=$C279,$E$5+$E279,0),2),ROUND(Z278+Y279,2)),0)</f>
        <v>0</v>
      </c>
      <c r="Y279" s="24">
        <f>IF(Z278&gt;0,ROUND(ROUND(Z278*100,0)*ROUND(X$7*10000,0)/12000000,0)/100,0)</f>
        <v>0</v>
      </c>
      <c r="Z279" s="24">
        <f>IF(Z278&gt;0,ROUND(Z278+Y279-X279,2),0)</f>
        <v>0</v>
      </c>
      <c r="AA279" s="24">
        <f>IF(AC278&gt;0,MIN(ROUND(AA$6+IF(AA$5=$C279,$E$5+$E279,0),2),ROUND(AC278+AB279,2)),0)</f>
        <v>0</v>
      </c>
      <c r="AB279" s="24">
        <f>IF(AC278&gt;0,ROUND(ROUND(AC278*100,0)*ROUND(AA$7*10000,0)/12000000,0)/100,0)</f>
        <v>0</v>
      </c>
      <c r="AC279" s="24">
        <f>IF(AC278&gt;0,ROUND(AC278+AB279-AA279,2),0)</f>
        <v>0</v>
      </c>
      <c r="AD279" s="24">
        <f>IF(AF278&gt;0,MIN(ROUND(AD$6+IF(AD$5=$C279,$E$5+$E279,0),2),ROUND(AF278+AE279,2)),0)</f>
        <v>0</v>
      </c>
      <c r="AE279" s="24">
        <f>IF(AF278&gt;0,ROUND(ROUND(AF278*100,0)*ROUND(AD$7*10000,0)/12000000,0)/100,0)</f>
        <v>0</v>
      </c>
      <c r="AF279" s="24">
        <f>IF(AF278&gt;0,ROUND(AF278+AE279-AD279,2),0)</f>
        <v>0</v>
      </c>
      <c r="AG279" s="24">
        <f>IF(AI278&gt;0,MIN(ROUND(AG$6+IF(AG$5=$C279,$E$5+$E279,0),2),ROUND(AI278+AH279,2)),0)</f>
        <v>0</v>
      </c>
      <c r="AH279" s="24">
        <f>IF(AI278&gt;0,ROUND(ROUND(AI278*100,0)*ROUND(AG$7*10000,0)/12000000,0)/100,0)</f>
        <v>0</v>
      </c>
      <c r="AI279" s="24">
        <f>IF(AI278&gt;0,ROUND(AI278+AH279-AG279,2),0)</f>
        <v>0</v>
      </c>
      <c r="AJ279" s="24">
        <f>IF(AL278&gt;0,MIN(ROUND(AJ$6+IF(AJ$5=$C279,$E$5+$E279,0),2),ROUND(AL278+AK279,2)),0)</f>
        <v>0</v>
      </c>
      <c r="AK279" s="24">
        <f>IF(AL278&gt;0,ROUND(ROUND(AL278*100,0)*ROUND(AJ$7*10000,0)/12000000,0)/100,0)</f>
        <v>0</v>
      </c>
      <c r="AL279" s="24">
        <f>IF(AL278&gt;0,ROUND(AL278+AK279-AJ279,2),0)</f>
        <v>0</v>
      </c>
    </row>
    <row r="280" spans="1:38" x14ac:dyDescent="0.25">
      <c r="A280" s="17" t="str">
        <f>IF(F280&gt;0,270,"")</f>
        <v/>
      </c>
      <c r="B280" s="18" t="str">
        <f>IF(F280&gt;0,EDATE($E$6,270),"")</f>
        <v/>
      </c>
      <c r="C280" s="21">
        <f>IF(H279&gt;0,MIN(IF(K279&gt;0,I$5,99),IF(N279&gt;0,L$5,99),IF(Q279&gt;0,O$5,99),IF(T279&gt;0,R$5,99),IF(W279&gt;0,U$5,99),IF(Z279&gt;0,X$5,99),IF(AC279&gt;0,AA$5,99),IF(AF279&gt;0,AD$5,99),IF(AI279&gt;0,AG$5,99),IF(AL279&gt;0,AJ$5,99)),0)</f>
        <v>0</v>
      </c>
      <c r="D280" t="str">
        <f>IF(C280&gt;0,INDEX($I$4:$AL$4,1,MATCH(C280,$I$5:$AL$5,0)),"")</f>
        <v/>
      </c>
      <c r="E280" s="24">
        <f>ROUND(IF(AND(I$8&gt;0,K279=0),I$6,0)+IF(AND(L$8&gt;0,N279=0),L$6,0)+IF(AND(O$8&gt;0,Q279=0),O$6,0)+IF(AND(R$8&gt;0,T279=0),R$6,0)+IF(AND(U$8&gt;0,W279=0),U$6,0)+IF(AND(X$8&gt;0,Z279=0),X$6,0)+IF(AND(AA$8&gt;0,AC279=0),AA$6,0)+IF(AND(AD$8&gt;0,AF279=0),AD$6,0)+IF(AND(AG$8&gt;0,AI279=0),AG$6,0)+IF(AND(AJ$8&gt;0,AL279=0),AJ$6,0),2)</f>
        <v>330</v>
      </c>
      <c r="F280" s="24">
        <f>ROUND(I280+L280+O280+R280+U280+X280+AA280+AD280+AG280+AJ280,2)</f>
        <v>0</v>
      </c>
      <c r="G280" s="24">
        <f>ROUND(J280+M280+P280+S280+V280+Y280+AB280+AE280+AH280+AK280,2)</f>
        <v>0</v>
      </c>
      <c r="H280" s="24">
        <f>ROUND(K280+N280+Q280+T280+W280+Z280+AC280+AF280+AI280+AL280,2)</f>
        <v>0</v>
      </c>
      <c r="I280" s="24">
        <f>IF(K279&gt;0,MIN(ROUND(I$6+IF(I$5=$C280,$E$5+$E280,0),2),ROUND(K279+J280,2)),0)</f>
        <v>0</v>
      </c>
      <c r="J280" s="24">
        <f>IF(K279&gt;0,ROUND(ROUND(K279*100,0)*ROUND(I$7*10000,0)/12000000,0)/100,0)</f>
        <v>0</v>
      </c>
      <c r="K280" s="24">
        <f>IF(K279&gt;0,ROUND(K279+J280-I280,2),0)</f>
        <v>0</v>
      </c>
      <c r="L280" s="24">
        <f>IF(N279&gt;0,MIN(ROUND(L$6+IF(L$5=$C280,$E$5+$E280,0),2),ROUND(N279+M280,2)),0)</f>
        <v>0</v>
      </c>
      <c r="M280" s="24">
        <f>IF(N279&gt;0,ROUND(ROUND(N279*100,0)*ROUND(L$7*10000,0)/12000000,0)/100,0)</f>
        <v>0</v>
      </c>
      <c r="N280" s="24">
        <f>IF(N279&gt;0,ROUND(N279+M280-L280,2),0)</f>
        <v>0</v>
      </c>
      <c r="O280" s="24">
        <f>IF(Q279&gt;0,MIN(ROUND(O$6+IF(O$5=$C280,$E$5+$E280,0),2),ROUND(Q279+P280,2)),0)</f>
        <v>0</v>
      </c>
      <c r="P280" s="24">
        <f>IF(Q279&gt;0,ROUND(ROUND(Q279*100,0)*ROUND(O$7*10000,0)/12000000,0)/100,0)</f>
        <v>0</v>
      </c>
      <c r="Q280" s="24">
        <f>IF(Q279&gt;0,ROUND(Q279+P280-O280,2),0)</f>
        <v>0</v>
      </c>
      <c r="R280" s="24">
        <f>IF(T279&gt;0,MIN(ROUND(R$6+IF(R$5=$C280,$E$5+$E280,0),2),ROUND(T279+S280,2)),0)</f>
        <v>0</v>
      </c>
      <c r="S280" s="24">
        <f>IF(T279&gt;0,ROUND(ROUND(T279*100,0)*ROUND(R$7*10000,0)/12000000,0)/100,0)</f>
        <v>0</v>
      </c>
      <c r="T280" s="24">
        <f>IF(T279&gt;0,ROUND(T279+S280-R280,2),0)</f>
        <v>0</v>
      </c>
      <c r="U280" s="24">
        <f>IF(W279&gt;0,MIN(ROUND(U$6+IF(U$5=$C280,$E$5+$E280,0),2),ROUND(W279+V280,2)),0)</f>
        <v>0</v>
      </c>
      <c r="V280" s="24">
        <f>IF(W279&gt;0,ROUND(ROUND(W279*100,0)*ROUND(U$7*10000,0)/12000000,0)/100,0)</f>
        <v>0</v>
      </c>
      <c r="W280" s="24">
        <f>IF(W279&gt;0,ROUND(W279+V280-U280,2),0)</f>
        <v>0</v>
      </c>
      <c r="X280" s="24">
        <f>IF(Z279&gt;0,MIN(ROUND(X$6+IF(X$5=$C280,$E$5+$E280,0),2),ROUND(Z279+Y280,2)),0)</f>
        <v>0</v>
      </c>
      <c r="Y280" s="24">
        <f>IF(Z279&gt;0,ROUND(ROUND(Z279*100,0)*ROUND(X$7*10000,0)/12000000,0)/100,0)</f>
        <v>0</v>
      </c>
      <c r="Z280" s="24">
        <f>IF(Z279&gt;0,ROUND(Z279+Y280-X280,2),0)</f>
        <v>0</v>
      </c>
      <c r="AA280" s="24">
        <f>IF(AC279&gt;0,MIN(ROUND(AA$6+IF(AA$5=$C280,$E$5+$E280,0),2),ROUND(AC279+AB280,2)),0)</f>
        <v>0</v>
      </c>
      <c r="AB280" s="24">
        <f>IF(AC279&gt;0,ROUND(ROUND(AC279*100,0)*ROUND(AA$7*10000,0)/12000000,0)/100,0)</f>
        <v>0</v>
      </c>
      <c r="AC280" s="24">
        <f>IF(AC279&gt;0,ROUND(AC279+AB280-AA280,2),0)</f>
        <v>0</v>
      </c>
      <c r="AD280" s="24">
        <f>IF(AF279&gt;0,MIN(ROUND(AD$6+IF(AD$5=$C280,$E$5+$E280,0),2),ROUND(AF279+AE280,2)),0)</f>
        <v>0</v>
      </c>
      <c r="AE280" s="24">
        <f>IF(AF279&gt;0,ROUND(ROUND(AF279*100,0)*ROUND(AD$7*10000,0)/12000000,0)/100,0)</f>
        <v>0</v>
      </c>
      <c r="AF280" s="24">
        <f>IF(AF279&gt;0,ROUND(AF279+AE280-AD280,2),0)</f>
        <v>0</v>
      </c>
      <c r="AG280" s="24">
        <f>IF(AI279&gt;0,MIN(ROUND(AG$6+IF(AG$5=$C280,$E$5+$E280,0),2),ROUND(AI279+AH280,2)),0)</f>
        <v>0</v>
      </c>
      <c r="AH280" s="24">
        <f>IF(AI279&gt;0,ROUND(ROUND(AI279*100,0)*ROUND(AG$7*10000,0)/12000000,0)/100,0)</f>
        <v>0</v>
      </c>
      <c r="AI280" s="24">
        <f>IF(AI279&gt;0,ROUND(AI279+AH280-AG280,2),0)</f>
        <v>0</v>
      </c>
      <c r="AJ280" s="24">
        <f>IF(AL279&gt;0,MIN(ROUND(AJ$6+IF(AJ$5=$C280,$E$5+$E280,0),2),ROUND(AL279+AK280,2)),0)</f>
        <v>0</v>
      </c>
      <c r="AK280" s="24">
        <f>IF(AL279&gt;0,ROUND(ROUND(AL279*100,0)*ROUND(AJ$7*10000,0)/12000000,0)/100,0)</f>
        <v>0</v>
      </c>
      <c r="AL280" s="24">
        <f>IF(AL279&gt;0,ROUND(AL279+AK280-AJ280,2),0)</f>
        <v>0</v>
      </c>
    </row>
    <row r="281" spans="1:38" x14ac:dyDescent="0.25">
      <c r="A281" s="17" t="str">
        <f>IF(F281&gt;0,271,"")</f>
        <v/>
      </c>
      <c r="B281" s="18" t="str">
        <f>IF(F281&gt;0,EDATE($E$6,271),"")</f>
        <v/>
      </c>
      <c r="C281" s="21">
        <f>IF(H280&gt;0,MIN(IF(K280&gt;0,I$5,99),IF(N280&gt;0,L$5,99),IF(Q280&gt;0,O$5,99),IF(T280&gt;0,R$5,99),IF(W280&gt;0,U$5,99),IF(Z280&gt;0,X$5,99),IF(AC280&gt;0,AA$5,99),IF(AF280&gt;0,AD$5,99),IF(AI280&gt;0,AG$5,99),IF(AL280&gt;0,AJ$5,99)),0)</f>
        <v>0</v>
      </c>
      <c r="D281" t="str">
        <f>IF(C281&gt;0,INDEX($I$4:$AL$4,1,MATCH(C281,$I$5:$AL$5,0)),"")</f>
        <v/>
      </c>
      <c r="E281" s="24">
        <f>ROUND(IF(AND(I$8&gt;0,K280=0),I$6,0)+IF(AND(L$8&gt;0,N280=0),L$6,0)+IF(AND(O$8&gt;0,Q280=0),O$6,0)+IF(AND(R$8&gt;0,T280=0),R$6,0)+IF(AND(U$8&gt;0,W280=0),U$6,0)+IF(AND(X$8&gt;0,Z280=0),X$6,0)+IF(AND(AA$8&gt;0,AC280=0),AA$6,0)+IF(AND(AD$8&gt;0,AF280=0),AD$6,0)+IF(AND(AG$8&gt;0,AI280=0),AG$6,0)+IF(AND(AJ$8&gt;0,AL280=0),AJ$6,0),2)</f>
        <v>330</v>
      </c>
      <c r="F281" s="24">
        <f>ROUND(I281+L281+O281+R281+U281+X281+AA281+AD281+AG281+AJ281,2)</f>
        <v>0</v>
      </c>
      <c r="G281" s="24">
        <f>ROUND(J281+M281+P281+S281+V281+Y281+AB281+AE281+AH281+AK281,2)</f>
        <v>0</v>
      </c>
      <c r="H281" s="24">
        <f>ROUND(K281+N281+Q281+T281+W281+Z281+AC281+AF281+AI281+AL281,2)</f>
        <v>0</v>
      </c>
      <c r="I281" s="24">
        <f>IF(K280&gt;0,MIN(ROUND(I$6+IF(I$5=$C281,$E$5+$E281,0),2),ROUND(K280+J281,2)),0)</f>
        <v>0</v>
      </c>
      <c r="J281" s="24">
        <f>IF(K280&gt;0,ROUND(ROUND(K280*100,0)*ROUND(I$7*10000,0)/12000000,0)/100,0)</f>
        <v>0</v>
      </c>
      <c r="K281" s="24">
        <f>IF(K280&gt;0,ROUND(K280+J281-I281,2),0)</f>
        <v>0</v>
      </c>
      <c r="L281" s="24">
        <f>IF(N280&gt;0,MIN(ROUND(L$6+IF(L$5=$C281,$E$5+$E281,0),2),ROUND(N280+M281,2)),0)</f>
        <v>0</v>
      </c>
      <c r="M281" s="24">
        <f>IF(N280&gt;0,ROUND(ROUND(N280*100,0)*ROUND(L$7*10000,0)/12000000,0)/100,0)</f>
        <v>0</v>
      </c>
      <c r="N281" s="24">
        <f>IF(N280&gt;0,ROUND(N280+M281-L281,2),0)</f>
        <v>0</v>
      </c>
      <c r="O281" s="24">
        <f>IF(Q280&gt;0,MIN(ROUND(O$6+IF(O$5=$C281,$E$5+$E281,0),2),ROUND(Q280+P281,2)),0)</f>
        <v>0</v>
      </c>
      <c r="P281" s="24">
        <f>IF(Q280&gt;0,ROUND(ROUND(Q280*100,0)*ROUND(O$7*10000,0)/12000000,0)/100,0)</f>
        <v>0</v>
      </c>
      <c r="Q281" s="24">
        <f>IF(Q280&gt;0,ROUND(Q280+P281-O281,2),0)</f>
        <v>0</v>
      </c>
      <c r="R281" s="24">
        <f>IF(T280&gt;0,MIN(ROUND(R$6+IF(R$5=$C281,$E$5+$E281,0),2),ROUND(T280+S281,2)),0)</f>
        <v>0</v>
      </c>
      <c r="S281" s="24">
        <f>IF(T280&gt;0,ROUND(ROUND(T280*100,0)*ROUND(R$7*10000,0)/12000000,0)/100,0)</f>
        <v>0</v>
      </c>
      <c r="T281" s="24">
        <f>IF(T280&gt;0,ROUND(T280+S281-R281,2),0)</f>
        <v>0</v>
      </c>
      <c r="U281" s="24">
        <f>IF(W280&gt;0,MIN(ROUND(U$6+IF(U$5=$C281,$E$5+$E281,0),2),ROUND(W280+V281,2)),0)</f>
        <v>0</v>
      </c>
      <c r="V281" s="24">
        <f>IF(W280&gt;0,ROUND(ROUND(W280*100,0)*ROUND(U$7*10000,0)/12000000,0)/100,0)</f>
        <v>0</v>
      </c>
      <c r="W281" s="24">
        <f>IF(W280&gt;0,ROUND(W280+V281-U281,2),0)</f>
        <v>0</v>
      </c>
      <c r="X281" s="24">
        <f>IF(Z280&gt;0,MIN(ROUND(X$6+IF(X$5=$C281,$E$5+$E281,0),2),ROUND(Z280+Y281,2)),0)</f>
        <v>0</v>
      </c>
      <c r="Y281" s="24">
        <f>IF(Z280&gt;0,ROUND(ROUND(Z280*100,0)*ROUND(X$7*10000,0)/12000000,0)/100,0)</f>
        <v>0</v>
      </c>
      <c r="Z281" s="24">
        <f>IF(Z280&gt;0,ROUND(Z280+Y281-X281,2),0)</f>
        <v>0</v>
      </c>
      <c r="AA281" s="24">
        <f>IF(AC280&gt;0,MIN(ROUND(AA$6+IF(AA$5=$C281,$E$5+$E281,0),2),ROUND(AC280+AB281,2)),0)</f>
        <v>0</v>
      </c>
      <c r="AB281" s="24">
        <f>IF(AC280&gt;0,ROUND(ROUND(AC280*100,0)*ROUND(AA$7*10000,0)/12000000,0)/100,0)</f>
        <v>0</v>
      </c>
      <c r="AC281" s="24">
        <f>IF(AC280&gt;0,ROUND(AC280+AB281-AA281,2),0)</f>
        <v>0</v>
      </c>
      <c r="AD281" s="24">
        <f>IF(AF280&gt;0,MIN(ROUND(AD$6+IF(AD$5=$C281,$E$5+$E281,0),2),ROUND(AF280+AE281,2)),0)</f>
        <v>0</v>
      </c>
      <c r="AE281" s="24">
        <f>IF(AF280&gt;0,ROUND(ROUND(AF280*100,0)*ROUND(AD$7*10000,0)/12000000,0)/100,0)</f>
        <v>0</v>
      </c>
      <c r="AF281" s="24">
        <f>IF(AF280&gt;0,ROUND(AF280+AE281-AD281,2),0)</f>
        <v>0</v>
      </c>
      <c r="AG281" s="24">
        <f>IF(AI280&gt;0,MIN(ROUND(AG$6+IF(AG$5=$C281,$E$5+$E281,0),2),ROUND(AI280+AH281,2)),0)</f>
        <v>0</v>
      </c>
      <c r="AH281" s="24">
        <f>IF(AI280&gt;0,ROUND(ROUND(AI280*100,0)*ROUND(AG$7*10000,0)/12000000,0)/100,0)</f>
        <v>0</v>
      </c>
      <c r="AI281" s="24">
        <f>IF(AI280&gt;0,ROUND(AI280+AH281-AG281,2),0)</f>
        <v>0</v>
      </c>
      <c r="AJ281" s="24">
        <f>IF(AL280&gt;0,MIN(ROUND(AJ$6+IF(AJ$5=$C281,$E$5+$E281,0),2),ROUND(AL280+AK281,2)),0)</f>
        <v>0</v>
      </c>
      <c r="AK281" s="24">
        <f>IF(AL280&gt;0,ROUND(ROUND(AL280*100,0)*ROUND(AJ$7*10000,0)/12000000,0)/100,0)</f>
        <v>0</v>
      </c>
      <c r="AL281" s="24">
        <f>IF(AL280&gt;0,ROUND(AL280+AK281-AJ281,2),0)</f>
        <v>0</v>
      </c>
    </row>
    <row r="282" spans="1:38" x14ac:dyDescent="0.25">
      <c r="A282" s="17" t="str">
        <f>IF(F282&gt;0,272,"")</f>
        <v/>
      </c>
      <c r="B282" s="18" t="str">
        <f>IF(F282&gt;0,EDATE($E$6,272),"")</f>
        <v/>
      </c>
      <c r="C282" s="21">
        <f>IF(H281&gt;0,MIN(IF(K281&gt;0,I$5,99),IF(N281&gt;0,L$5,99),IF(Q281&gt;0,O$5,99),IF(T281&gt;0,R$5,99),IF(W281&gt;0,U$5,99),IF(Z281&gt;0,X$5,99),IF(AC281&gt;0,AA$5,99),IF(AF281&gt;0,AD$5,99),IF(AI281&gt;0,AG$5,99),IF(AL281&gt;0,AJ$5,99)),0)</f>
        <v>0</v>
      </c>
      <c r="D282" t="str">
        <f>IF(C282&gt;0,INDEX($I$4:$AL$4,1,MATCH(C282,$I$5:$AL$5,0)),"")</f>
        <v/>
      </c>
      <c r="E282" s="24">
        <f>ROUND(IF(AND(I$8&gt;0,K281=0),I$6,0)+IF(AND(L$8&gt;0,N281=0),L$6,0)+IF(AND(O$8&gt;0,Q281=0),O$6,0)+IF(AND(R$8&gt;0,T281=0),R$6,0)+IF(AND(U$8&gt;0,W281=0),U$6,0)+IF(AND(X$8&gt;0,Z281=0),X$6,0)+IF(AND(AA$8&gt;0,AC281=0),AA$6,0)+IF(AND(AD$8&gt;0,AF281=0),AD$6,0)+IF(AND(AG$8&gt;0,AI281=0),AG$6,0)+IF(AND(AJ$8&gt;0,AL281=0),AJ$6,0),2)</f>
        <v>330</v>
      </c>
      <c r="F282" s="24">
        <f>ROUND(I282+L282+O282+R282+U282+X282+AA282+AD282+AG282+AJ282,2)</f>
        <v>0</v>
      </c>
      <c r="G282" s="24">
        <f>ROUND(J282+M282+P282+S282+V282+Y282+AB282+AE282+AH282+AK282,2)</f>
        <v>0</v>
      </c>
      <c r="H282" s="24">
        <f>ROUND(K282+N282+Q282+T282+W282+Z282+AC282+AF282+AI282+AL282,2)</f>
        <v>0</v>
      </c>
      <c r="I282" s="24">
        <f>IF(K281&gt;0,MIN(ROUND(I$6+IF(I$5=$C282,$E$5+$E282,0),2),ROUND(K281+J282,2)),0)</f>
        <v>0</v>
      </c>
      <c r="J282" s="24">
        <f>IF(K281&gt;0,ROUND(ROUND(K281*100,0)*ROUND(I$7*10000,0)/12000000,0)/100,0)</f>
        <v>0</v>
      </c>
      <c r="K282" s="24">
        <f>IF(K281&gt;0,ROUND(K281+J282-I282,2),0)</f>
        <v>0</v>
      </c>
      <c r="L282" s="24">
        <f>IF(N281&gt;0,MIN(ROUND(L$6+IF(L$5=$C282,$E$5+$E282,0),2),ROUND(N281+M282,2)),0)</f>
        <v>0</v>
      </c>
      <c r="M282" s="24">
        <f>IF(N281&gt;0,ROUND(ROUND(N281*100,0)*ROUND(L$7*10000,0)/12000000,0)/100,0)</f>
        <v>0</v>
      </c>
      <c r="N282" s="24">
        <f>IF(N281&gt;0,ROUND(N281+M282-L282,2),0)</f>
        <v>0</v>
      </c>
      <c r="O282" s="24">
        <f>IF(Q281&gt;0,MIN(ROUND(O$6+IF(O$5=$C282,$E$5+$E282,0),2),ROUND(Q281+P282,2)),0)</f>
        <v>0</v>
      </c>
      <c r="P282" s="24">
        <f>IF(Q281&gt;0,ROUND(ROUND(Q281*100,0)*ROUND(O$7*10000,0)/12000000,0)/100,0)</f>
        <v>0</v>
      </c>
      <c r="Q282" s="24">
        <f>IF(Q281&gt;0,ROUND(Q281+P282-O282,2),0)</f>
        <v>0</v>
      </c>
      <c r="R282" s="24">
        <f>IF(T281&gt;0,MIN(ROUND(R$6+IF(R$5=$C282,$E$5+$E282,0),2),ROUND(T281+S282,2)),0)</f>
        <v>0</v>
      </c>
      <c r="S282" s="24">
        <f>IF(T281&gt;0,ROUND(ROUND(T281*100,0)*ROUND(R$7*10000,0)/12000000,0)/100,0)</f>
        <v>0</v>
      </c>
      <c r="T282" s="24">
        <f>IF(T281&gt;0,ROUND(T281+S282-R282,2),0)</f>
        <v>0</v>
      </c>
      <c r="U282" s="24">
        <f>IF(W281&gt;0,MIN(ROUND(U$6+IF(U$5=$C282,$E$5+$E282,0),2),ROUND(W281+V282,2)),0)</f>
        <v>0</v>
      </c>
      <c r="V282" s="24">
        <f>IF(W281&gt;0,ROUND(ROUND(W281*100,0)*ROUND(U$7*10000,0)/12000000,0)/100,0)</f>
        <v>0</v>
      </c>
      <c r="W282" s="24">
        <f>IF(W281&gt;0,ROUND(W281+V282-U282,2),0)</f>
        <v>0</v>
      </c>
      <c r="X282" s="24">
        <f>IF(Z281&gt;0,MIN(ROUND(X$6+IF(X$5=$C282,$E$5+$E282,0),2),ROUND(Z281+Y282,2)),0)</f>
        <v>0</v>
      </c>
      <c r="Y282" s="24">
        <f>IF(Z281&gt;0,ROUND(ROUND(Z281*100,0)*ROUND(X$7*10000,0)/12000000,0)/100,0)</f>
        <v>0</v>
      </c>
      <c r="Z282" s="24">
        <f>IF(Z281&gt;0,ROUND(Z281+Y282-X282,2),0)</f>
        <v>0</v>
      </c>
      <c r="AA282" s="24">
        <f>IF(AC281&gt;0,MIN(ROUND(AA$6+IF(AA$5=$C282,$E$5+$E282,0),2),ROUND(AC281+AB282,2)),0)</f>
        <v>0</v>
      </c>
      <c r="AB282" s="24">
        <f>IF(AC281&gt;0,ROUND(ROUND(AC281*100,0)*ROUND(AA$7*10000,0)/12000000,0)/100,0)</f>
        <v>0</v>
      </c>
      <c r="AC282" s="24">
        <f>IF(AC281&gt;0,ROUND(AC281+AB282-AA282,2),0)</f>
        <v>0</v>
      </c>
      <c r="AD282" s="24">
        <f>IF(AF281&gt;0,MIN(ROUND(AD$6+IF(AD$5=$C282,$E$5+$E282,0),2),ROUND(AF281+AE282,2)),0)</f>
        <v>0</v>
      </c>
      <c r="AE282" s="24">
        <f>IF(AF281&gt;0,ROUND(ROUND(AF281*100,0)*ROUND(AD$7*10000,0)/12000000,0)/100,0)</f>
        <v>0</v>
      </c>
      <c r="AF282" s="24">
        <f>IF(AF281&gt;0,ROUND(AF281+AE282-AD282,2),0)</f>
        <v>0</v>
      </c>
      <c r="AG282" s="24">
        <f>IF(AI281&gt;0,MIN(ROUND(AG$6+IF(AG$5=$C282,$E$5+$E282,0),2),ROUND(AI281+AH282,2)),0)</f>
        <v>0</v>
      </c>
      <c r="AH282" s="24">
        <f>IF(AI281&gt;0,ROUND(ROUND(AI281*100,0)*ROUND(AG$7*10000,0)/12000000,0)/100,0)</f>
        <v>0</v>
      </c>
      <c r="AI282" s="24">
        <f>IF(AI281&gt;0,ROUND(AI281+AH282-AG282,2),0)</f>
        <v>0</v>
      </c>
      <c r="AJ282" s="24">
        <f>IF(AL281&gt;0,MIN(ROUND(AJ$6+IF(AJ$5=$C282,$E$5+$E282,0),2),ROUND(AL281+AK282,2)),0)</f>
        <v>0</v>
      </c>
      <c r="AK282" s="24">
        <f>IF(AL281&gt;0,ROUND(ROUND(AL281*100,0)*ROUND(AJ$7*10000,0)/12000000,0)/100,0)</f>
        <v>0</v>
      </c>
      <c r="AL282" s="24">
        <f>IF(AL281&gt;0,ROUND(AL281+AK282-AJ282,2),0)</f>
        <v>0</v>
      </c>
    </row>
    <row r="283" spans="1:38" x14ac:dyDescent="0.25">
      <c r="A283" s="17" t="str">
        <f>IF(F283&gt;0,273,"")</f>
        <v/>
      </c>
      <c r="B283" s="18" t="str">
        <f>IF(F283&gt;0,EDATE($E$6,273),"")</f>
        <v/>
      </c>
      <c r="C283" s="21">
        <f>IF(H282&gt;0,MIN(IF(K282&gt;0,I$5,99),IF(N282&gt;0,L$5,99),IF(Q282&gt;0,O$5,99),IF(T282&gt;0,R$5,99),IF(W282&gt;0,U$5,99),IF(Z282&gt;0,X$5,99),IF(AC282&gt;0,AA$5,99),IF(AF282&gt;0,AD$5,99),IF(AI282&gt;0,AG$5,99),IF(AL282&gt;0,AJ$5,99)),0)</f>
        <v>0</v>
      </c>
      <c r="D283" t="str">
        <f>IF(C283&gt;0,INDEX($I$4:$AL$4,1,MATCH(C283,$I$5:$AL$5,0)),"")</f>
        <v/>
      </c>
      <c r="E283" s="24">
        <f>ROUND(IF(AND(I$8&gt;0,K282=0),I$6,0)+IF(AND(L$8&gt;0,N282=0),L$6,0)+IF(AND(O$8&gt;0,Q282=0),O$6,0)+IF(AND(R$8&gt;0,T282=0),R$6,0)+IF(AND(U$8&gt;0,W282=0),U$6,0)+IF(AND(X$8&gt;0,Z282=0),X$6,0)+IF(AND(AA$8&gt;0,AC282=0),AA$6,0)+IF(AND(AD$8&gt;0,AF282=0),AD$6,0)+IF(AND(AG$8&gt;0,AI282=0),AG$6,0)+IF(AND(AJ$8&gt;0,AL282=0),AJ$6,0),2)</f>
        <v>330</v>
      </c>
      <c r="F283" s="24">
        <f>ROUND(I283+L283+O283+R283+U283+X283+AA283+AD283+AG283+AJ283,2)</f>
        <v>0</v>
      </c>
      <c r="G283" s="24">
        <f>ROUND(J283+M283+P283+S283+V283+Y283+AB283+AE283+AH283+AK283,2)</f>
        <v>0</v>
      </c>
      <c r="H283" s="24">
        <f>ROUND(K283+N283+Q283+T283+W283+Z283+AC283+AF283+AI283+AL283,2)</f>
        <v>0</v>
      </c>
      <c r="I283" s="24">
        <f>IF(K282&gt;0,MIN(ROUND(I$6+IF(I$5=$C283,$E$5+$E283,0),2),ROUND(K282+J283,2)),0)</f>
        <v>0</v>
      </c>
      <c r="J283" s="24">
        <f>IF(K282&gt;0,ROUND(ROUND(K282*100,0)*ROUND(I$7*10000,0)/12000000,0)/100,0)</f>
        <v>0</v>
      </c>
      <c r="K283" s="24">
        <f>IF(K282&gt;0,ROUND(K282+J283-I283,2),0)</f>
        <v>0</v>
      </c>
      <c r="L283" s="24">
        <f>IF(N282&gt;0,MIN(ROUND(L$6+IF(L$5=$C283,$E$5+$E283,0),2),ROUND(N282+M283,2)),0)</f>
        <v>0</v>
      </c>
      <c r="M283" s="24">
        <f>IF(N282&gt;0,ROUND(ROUND(N282*100,0)*ROUND(L$7*10000,0)/12000000,0)/100,0)</f>
        <v>0</v>
      </c>
      <c r="N283" s="24">
        <f>IF(N282&gt;0,ROUND(N282+M283-L283,2),0)</f>
        <v>0</v>
      </c>
      <c r="O283" s="24">
        <f>IF(Q282&gt;0,MIN(ROUND(O$6+IF(O$5=$C283,$E$5+$E283,0),2),ROUND(Q282+P283,2)),0)</f>
        <v>0</v>
      </c>
      <c r="P283" s="24">
        <f>IF(Q282&gt;0,ROUND(ROUND(Q282*100,0)*ROUND(O$7*10000,0)/12000000,0)/100,0)</f>
        <v>0</v>
      </c>
      <c r="Q283" s="24">
        <f>IF(Q282&gt;0,ROUND(Q282+P283-O283,2),0)</f>
        <v>0</v>
      </c>
      <c r="R283" s="24">
        <f>IF(T282&gt;0,MIN(ROUND(R$6+IF(R$5=$C283,$E$5+$E283,0),2),ROUND(T282+S283,2)),0)</f>
        <v>0</v>
      </c>
      <c r="S283" s="24">
        <f>IF(T282&gt;0,ROUND(ROUND(T282*100,0)*ROUND(R$7*10000,0)/12000000,0)/100,0)</f>
        <v>0</v>
      </c>
      <c r="T283" s="24">
        <f>IF(T282&gt;0,ROUND(T282+S283-R283,2),0)</f>
        <v>0</v>
      </c>
      <c r="U283" s="24">
        <f>IF(W282&gt;0,MIN(ROUND(U$6+IF(U$5=$C283,$E$5+$E283,0),2),ROUND(W282+V283,2)),0)</f>
        <v>0</v>
      </c>
      <c r="V283" s="24">
        <f>IF(W282&gt;0,ROUND(ROUND(W282*100,0)*ROUND(U$7*10000,0)/12000000,0)/100,0)</f>
        <v>0</v>
      </c>
      <c r="W283" s="24">
        <f>IF(W282&gt;0,ROUND(W282+V283-U283,2),0)</f>
        <v>0</v>
      </c>
      <c r="X283" s="24">
        <f>IF(Z282&gt;0,MIN(ROUND(X$6+IF(X$5=$C283,$E$5+$E283,0),2),ROUND(Z282+Y283,2)),0)</f>
        <v>0</v>
      </c>
      <c r="Y283" s="24">
        <f>IF(Z282&gt;0,ROUND(ROUND(Z282*100,0)*ROUND(X$7*10000,0)/12000000,0)/100,0)</f>
        <v>0</v>
      </c>
      <c r="Z283" s="24">
        <f>IF(Z282&gt;0,ROUND(Z282+Y283-X283,2),0)</f>
        <v>0</v>
      </c>
      <c r="AA283" s="24">
        <f>IF(AC282&gt;0,MIN(ROUND(AA$6+IF(AA$5=$C283,$E$5+$E283,0),2),ROUND(AC282+AB283,2)),0)</f>
        <v>0</v>
      </c>
      <c r="AB283" s="24">
        <f>IF(AC282&gt;0,ROUND(ROUND(AC282*100,0)*ROUND(AA$7*10000,0)/12000000,0)/100,0)</f>
        <v>0</v>
      </c>
      <c r="AC283" s="24">
        <f>IF(AC282&gt;0,ROUND(AC282+AB283-AA283,2),0)</f>
        <v>0</v>
      </c>
      <c r="AD283" s="24">
        <f>IF(AF282&gt;0,MIN(ROUND(AD$6+IF(AD$5=$C283,$E$5+$E283,0),2),ROUND(AF282+AE283,2)),0)</f>
        <v>0</v>
      </c>
      <c r="AE283" s="24">
        <f>IF(AF282&gt;0,ROUND(ROUND(AF282*100,0)*ROUND(AD$7*10000,0)/12000000,0)/100,0)</f>
        <v>0</v>
      </c>
      <c r="AF283" s="24">
        <f>IF(AF282&gt;0,ROUND(AF282+AE283-AD283,2),0)</f>
        <v>0</v>
      </c>
      <c r="AG283" s="24">
        <f>IF(AI282&gt;0,MIN(ROUND(AG$6+IF(AG$5=$C283,$E$5+$E283,0),2),ROUND(AI282+AH283,2)),0)</f>
        <v>0</v>
      </c>
      <c r="AH283" s="24">
        <f>IF(AI282&gt;0,ROUND(ROUND(AI282*100,0)*ROUND(AG$7*10000,0)/12000000,0)/100,0)</f>
        <v>0</v>
      </c>
      <c r="AI283" s="24">
        <f>IF(AI282&gt;0,ROUND(AI282+AH283-AG283,2),0)</f>
        <v>0</v>
      </c>
      <c r="AJ283" s="24">
        <f>IF(AL282&gt;0,MIN(ROUND(AJ$6+IF(AJ$5=$C283,$E$5+$E283,0),2),ROUND(AL282+AK283,2)),0)</f>
        <v>0</v>
      </c>
      <c r="AK283" s="24">
        <f>IF(AL282&gt;0,ROUND(ROUND(AL282*100,0)*ROUND(AJ$7*10000,0)/12000000,0)/100,0)</f>
        <v>0</v>
      </c>
      <c r="AL283" s="24">
        <f>IF(AL282&gt;0,ROUND(AL282+AK283-AJ283,2),0)</f>
        <v>0</v>
      </c>
    </row>
    <row r="284" spans="1:38" x14ac:dyDescent="0.25">
      <c r="A284" s="17" t="str">
        <f>IF(F284&gt;0,274,"")</f>
        <v/>
      </c>
      <c r="B284" s="18" t="str">
        <f>IF(F284&gt;0,EDATE($E$6,274),"")</f>
        <v/>
      </c>
      <c r="C284" s="21">
        <f>IF(H283&gt;0,MIN(IF(K283&gt;0,I$5,99),IF(N283&gt;0,L$5,99),IF(Q283&gt;0,O$5,99),IF(T283&gt;0,R$5,99),IF(W283&gt;0,U$5,99),IF(Z283&gt;0,X$5,99),IF(AC283&gt;0,AA$5,99),IF(AF283&gt;0,AD$5,99),IF(AI283&gt;0,AG$5,99),IF(AL283&gt;0,AJ$5,99)),0)</f>
        <v>0</v>
      </c>
      <c r="D284" t="str">
        <f>IF(C284&gt;0,INDEX($I$4:$AL$4,1,MATCH(C284,$I$5:$AL$5,0)),"")</f>
        <v/>
      </c>
      <c r="E284" s="24">
        <f>ROUND(IF(AND(I$8&gt;0,K283=0),I$6,0)+IF(AND(L$8&gt;0,N283=0),L$6,0)+IF(AND(O$8&gt;0,Q283=0),O$6,0)+IF(AND(R$8&gt;0,T283=0),R$6,0)+IF(AND(U$8&gt;0,W283=0),U$6,0)+IF(AND(X$8&gt;0,Z283=0),X$6,0)+IF(AND(AA$8&gt;0,AC283=0),AA$6,0)+IF(AND(AD$8&gt;0,AF283=0),AD$6,0)+IF(AND(AG$8&gt;0,AI283=0),AG$6,0)+IF(AND(AJ$8&gt;0,AL283=0),AJ$6,0),2)</f>
        <v>330</v>
      </c>
      <c r="F284" s="24">
        <f>ROUND(I284+L284+O284+R284+U284+X284+AA284+AD284+AG284+AJ284,2)</f>
        <v>0</v>
      </c>
      <c r="G284" s="24">
        <f>ROUND(J284+M284+P284+S284+V284+Y284+AB284+AE284+AH284+AK284,2)</f>
        <v>0</v>
      </c>
      <c r="H284" s="24">
        <f>ROUND(K284+N284+Q284+T284+W284+Z284+AC284+AF284+AI284+AL284,2)</f>
        <v>0</v>
      </c>
      <c r="I284" s="24">
        <f>IF(K283&gt;0,MIN(ROUND(I$6+IF(I$5=$C284,$E$5+$E284,0),2),ROUND(K283+J284,2)),0)</f>
        <v>0</v>
      </c>
      <c r="J284" s="24">
        <f>IF(K283&gt;0,ROUND(ROUND(K283*100,0)*ROUND(I$7*10000,0)/12000000,0)/100,0)</f>
        <v>0</v>
      </c>
      <c r="K284" s="24">
        <f>IF(K283&gt;0,ROUND(K283+J284-I284,2),0)</f>
        <v>0</v>
      </c>
      <c r="L284" s="24">
        <f>IF(N283&gt;0,MIN(ROUND(L$6+IF(L$5=$C284,$E$5+$E284,0),2),ROUND(N283+M284,2)),0)</f>
        <v>0</v>
      </c>
      <c r="M284" s="24">
        <f>IF(N283&gt;0,ROUND(ROUND(N283*100,0)*ROUND(L$7*10000,0)/12000000,0)/100,0)</f>
        <v>0</v>
      </c>
      <c r="N284" s="24">
        <f>IF(N283&gt;0,ROUND(N283+M284-L284,2),0)</f>
        <v>0</v>
      </c>
      <c r="O284" s="24">
        <f>IF(Q283&gt;0,MIN(ROUND(O$6+IF(O$5=$C284,$E$5+$E284,0),2),ROUND(Q283+P284,2)),0)</f>
        <v>0</v>
      </c>
      <c r="P284" s="24">
        <f>IF(Q283&gt;0,ROUND(ROUND(Q283*100,0)*ROUND(O$7*10000,0)/12000000,0)/100,0)</f>
        <v>0</v>
      </c>
      <c r="Q284" s="24">
        <f>IF(Q283&gt;0,ROUND(Q283+P284-O284,2),0)</f>
        <v>0</v>
      </c>
      <c r="R284" s="24">
        <f>IF(T283&gt;0,MIN(ROUND(R$6+IF(R$5=$C284,$E$5+$E284,0),2),ROUND(T283+S284,2)),0)</f>
        <v>0</v>
      </c>
      <c r="S284" s="24">
        <f>IF(T283&gt;0,ROUND(ROUND(T283*100,0)*ROUND(R$7*10000,0)/12000000,0)/100,0)</f>
        <v>0</v>
      </c>
      <c r="T284" s="24">
        <f>IF(T283&gt;0,ROUND(T283+S284-R284,2),0)</f>
        <v>0</v>
      </c>
      <c r="U284" s="24">
        <f>IF(W283&gt;0,MIN(ROUND(U$6+IF(U$5=$C284,$E$5+$E284,0),2),ROUND(W283+V284,2)),0)</f>
        <v>0</v>
      </c>
      <c r="V284" s="24">
        <f>IF(W283&gt;0,ROUND(ROUND(W283*100,0)*ROUND(U$7*10000,0)/12000000,0)/100,0)</f>
        <v>0</v>
      </c>
      <c r="W284" s="24">
        <f>IF(W283&gt;0,ROUND(W283+V284-U284,2),0)</f>
        <v>0</v>
      </c>
      <c r="X284" s="24">
        <f>IF(Z283&gt;0,MIN(ROUND(X$6+IF(X$5=$C284,$E$5+$E284,0),2),ROUND(Z283+Y284,2)),0)</f>
        <v>0</v>
      </c>
      <c r="Y284" s="24">
        <f>IF(Z283&gt;0,ROUND(ROUND(Z283*100,0)*ROUND(X$7*10000,0)/12000000,0)/100,0)</f>
        <v>0</v>
      </c>
      <c r="Z284" s="24">
        <f>IF(Z283&gt;0,ROUND(Z283+Y284-X284,2),0)</f>
        <v>0</v>
      </c>
      <c r="AA284" s="24">
        <f>IF(AC283&gt;0,MIN(ROUND(AA$6+IF(AA$5=$C284,$E$5+$E284,0),2),ROUND(AC283+AB284,2)),0)</f>
        <v>0</v>
      </c>
      <c r="AB284" s="24">
        <f>IF(AC283&gt;0,ROUND(ROUND(AC283*100,0)*ROUND(AA$7*10000,0)/12000000,0)/100,0)</f>
        <v>0</v>
      </c>
      <c r="AC284" s="24">
        <f>IF(AC283&gt;0,ROUND(AC283+AB284-AA284,2),0)</f>
        <v>0</v>
      </c>
      <c r="AD284" s="24">
        <f>IF(AF283&gt;0,MIN(ROUND(AD$6+IF(AD$5=$C284,$E$5+$E284,0),2),ROUND(AF283+AE284,2)),0)</f>
        <v>0</v>
      </c>
      <c r="AE284" s="24">
        <f>IF(AF283&gt;0,ROUND(ROUND(AF283*100,0)*ROUND(AD$7*10000,0)/12000000,0)/100,0)</f>
        <v>0</v>
      </c>
      <c r="AF284" s="24">
        <f>IF(AF283&gt;0,ROUND(AF283+AE284-AD284,2),0)</f>
        <v>0</v>
      </c>
      <c r="AG284" s="24">
        <f>IF(AI283&gt;0,MIN(ROUND(AG$6+IF(AG$5=$C284,$E$5+$E284,0),2),ROUND(AI283+AH284,2)),0)</f>
        <v>0</v>
      </c>
      <c r="AH284" s="24">
        <f>IF(AI283&gt;0,ROUND(ROUND(AI283*100,0)*ROUND(AG$7*10000,0)/12000000,0)/100,0)</f>
        <v>0</v>
      </c>
      <c r="AI284" s="24">
        <f>IF(AI283&gt;0,ROUND(AI283+AH284-AG284,2),0)</f>
        <v>0</v>
      </c>
      <c r="AJ284" s="24">
        <f>IF(AL283&gt;0,MIN(ROUND(AJ$6+IF(AJ$5=$C284,$E$5+$E284,0),2),ROUND(AL283+AK284,2)),0)</f>
        <v>0</v>
      </c>
      <c r="AK284" s="24">
        <f>IF(AL283&gt;0,ROUND(ROUND(AL283*100,0)*ROUND(AJ$7*10000,0)/12000000,0)/100,0)</f>
        <v>0</v>
      </c>
      <c r="AL284" s="24">
        <f>IF(AL283&gt;0,ROUND(AL283+AK284-AJ284,2),0)</f>
        <v>0</v>
      </c>
    </row>
    <row r="285" spans="1:38" x14ac:dyDescent="0.25">
      <c r="A285" s="17" t="str">
        <f>IF(F285&gt;0,275,"")</f>
        <v/>
      </c>
      <c r="B285" s="18" t="str">
        <f>IF(F285&gt;0,EDATE($E$6,275),"")</f>
        <v/>
      </c>
      <c r="C285" s="21">
        <f>IF(H284&gt;0,MIN(IF(K284&gt;0,I$5,99),IF(N284&gt;0,L$5,99),IF(Q284&gt;0,O$5,99),IF(T284&gt;0,R$5,99),IF(W284&gt;0,U$5,99),IF(Z284&gt;0,X$5,99),IF(AC284&gt;0,AA$5,99),IF(AF284&gt;0,AD$5,99),IF(AI284&gt;0,AG$5,99),IF(AL284&gt;0,AJ$5,99)),0)</f>
        <v>0</v>
      </c>
      <c r="D285" t="str">
        <f>IF(C285&gt;0,INDEX($I$4:$AL$4,1,MATCH(C285,$I$5:$AL$5,0)),"")</f>
        <v/>
      </c>
      <c r="E285" s="24">
        <f>ROUND(IF(AND(I$8&gt;0,K284=0),I$6,0)+IF(AND(L$8&gt;0,N284=0),L$6,0)+IF(AND(O$8&gt;0,Q284=0),O$6,0)+IF(AND(R$8&gt;0,T284=0),R$6,0)+IF(AND(U$8&gt;0,W284=0),U$6,0)+IF(AND(X$8&gt;0,Z284=0),X$6,0)+IF(AND(AA$8&gt;0,AC284=0),AA$6,0)+IF(AND(AD$8&gt;0,AF284=0),AD$6,0)+IF(AND(AG$8&gt;0,AI284=0),AG$6,0)+IF(AND(AJ$8&gt;0,AL284=0),AJ$6,0),2)</f>
        <v>330</v>
      </c>
      <c r="F285" s="24">
        <f>ROUND(I285+L285+O285+R285+U285+X285+AA285+AD285+AG285+AJ285,2)</f>
        <v>0</v>
      </c>
      <c r="G285" s="24">
        <f>ROUND(J285+M285+P285+S285+V285+Y285+AB285+AE285+AH285+AK285,2)</f>
        <v>0</v>
      </c>
      <c r="H285" s="24">
        <f>ROUND(K285+N285+Q285+T285+W285+Z285+AC285+AF285+AI285+AL285,2)</f>
        <v>0</v>
      </c>
      <c r="I285" s="24">
        <f>IF(K284&gt;0,MIN(ROUND(I$6+IF(I$5=$C285,$E$5+$E285,0),2),ROUND(K284+J285,2)),0)</f>
        <v>0</v>
      </c>
      <c r="J285" s="24">
        <f>IF(K284&gt;0,ROUND(ROUND(K284*100,0)*ROUND(I$7*10000,0)/12000000,0)/100,0)</f>
        <v>0</v>
      </c>
      <c r="K285" s="24">
        <f>IF(K284&gt;0,ROUND(K284+J285-I285,2),0)</f>
        <v>0</v>
      </c>
      <c r="L285" s="24">
        <f>IF(N284&gt;0,MIN(ROUND(L$6+IF(L$5=$C285,$E$5+$E285,0),2),ROUND(N284+M285,2)),0)</f>
        <v>0</v>
      </c>
      <c r="M285" s="24">
        <f>IF(N284&gt;0,ROUND(ROUND(N284*100,0)*ROUND(L$7*10000,0)/12000000,0)/100,0)</f>
        <v>0</v>
      </c>
      <c r="N285" s="24">
        <f>IF(N284&gt;0,ROUND(N284+M285-L285,2),0)</f>
        <v>0</v>
      </c>
      <c r="O285" s="24">
        <f>IF(Q284&gt;0,MIN(ROUND(O$6+IF(O$5=$C285,$E$5+$E285,0),2),ROUND(Q284+P285,2)),0)</f>
        <v>0</v>
      </c>
      <c r="P285" s="24">
        <f>IF(Q284&gt;0,ROUND(ROUND(Q284*100,0)*ROUND(O$7*10000,0)/12000000,0)/100,0)</f>
        <v>0</v>
      </c>
      <c r="Q285" s="24">
        <f>IF(Q284&gt;0,ROUND(Q284+P285-O285,2),0)</f>
        <v>0</v>
      </c>
      <c r="R285" s="24">
        <f>IF(T284&gt;0,MIN(ROUND(R$6+IF(R$5=$C285,$E$5+$E285,0),2),ROUND(T284+S285,2)),0)</f>
        <v>0</v>
      </c>
      <c r="S285" s="24">
        <f>IF(T284&gt;0,ROUND(ROUND(T284*100,0)*ROUND(R$7*10000,0)/12000000,0)/100,0)</f>
        <v>0</v>
      </c>
      <c r="T285" s="24">
        <f>IF(T284&gt;0,ROUND(T284+S285-R285,2),0)</f>
        <v>0</v>
      </c>
      <c r="U285" s="24">
        <f>IF(W284&gt;0,MIN(ROUND(U$6+IF(U$5=$C285,$E$5+$E285,0),2),ROUND(W284+V285,2)),0)</f>
        <v>0</v>
      </c>
      <c r="V285" s="24">
        <f>IF(W284&gt;0,ROUND(ROUND(W284*100,0)*ROUND(U$7*10000,0)/12000000,0)/100,0)</f>
        <v>0</v>
      </c>
      <c r="W285" s="24">
        <f>IF(W284&gt;0,ROUND(W284+V285-U285,2),0)</f>
        <v>0</v>
      </c>
      <c r="X285" s="24">
        <f>IF(Z284&gt;0,MIN(ROUND(X$6+IF(X$5=$C285,$E$5+$E285,0),2),ROUND(Z284+Y285,2)),0)</f>
        <v>0</v>
      </c>
      <c r="Y285" s="24">
        <f>IF(Z284&gt;0,ROUND(ROUND(Z284*100,0)*ROUND(X$7*10000,0)/12000000,0)/100,0)</f>
        <v>0</v>
      </c>
      <c r="Z285" s="24">
        <f>IF(Z284&gt;0,ROUND(Z284+Y285-X285,2),0)</f>
        <v>0</v>
      </c>
      <c r="AA285" s="24">
        <f>IF(AC284&gt;0,MIN(ROUND(AA$6+IF(AA$5=$C285,$E$5+$E285,0),2),ROUND(AC284+AB285,2)),0)</f>
        <v>0</v>
      </c>
      <c r="AB285" s="24">
        <f>IF(AC284&gt;0,ROUND(ROUND(AC284*100,0)*ROUND(AA$7*10000,0)/12000000,0)/100,0)</f>
        <v>0</v>
      </c>
      <c r="AC285" s="24">
        <f>IF(AC284&gt;0,ROUND(AC284+AB285-AA285,2),0)</f>
        <v>0</v>
      </c>
      <c r="AD285" s="24">
        <f>IF(AF284&gt;0,MIN(ROUND(AD$6+IF(AD$5=$C285,$E$5+$E285,0),2),ROUND(AF284+AE285,2)),0)</f>
        <v>0</v>
      </c>
      <c r="AE285" s="24">
        <f>IF(AF284&gt;0,ROUND(ROUND(AF284*100,0)*ROUND(AD$7*10000,0)/12000000,0)/100,0)</f>
        <v>0</v>
      </c>
      <c r="AF285" s="24">
        <f>IF(AF284&gt;0,ROUND(AF284+AE285-AD285,2),0)</f>
        <v>0</v>
      </c>
      <c r="AG285" s="24">
        <f>IF(AI284&gt;0,MIN(ROUND(AG$6+IF(AG$5=$C285,$E$5+$E285,0),2),ROUND(AI284+AH285,2)),0)</f>
        <v>0</v>
      </c>
      <c r="AH285" s="24">
        <f>IF(AI284&gt;0,ROUND(ROUND(AI284*100,0)*ROUND(AG$7*10000,0)/12000000,0)/100,0)</f>
        <v>0</v>
      </c>
      <c r="AI285" s="24">
        <f>IF(AI284&gt;0,ROUND(AI284+AH285-AG285,2),0)</f>
        <v>0</v>
      </c>
      <c r="AJ285" s="24">
        <f>IF(AL284&gt;0,MIN(ROUND(AJ$6+IF(AJ$5=$C285,$E$5+$E285,0),2),ROUND(AL284+AK285,2)),0)</f>
        <v>0</v>
      </c>
      <c r="AK285" s="24">
        <f>IF(AL284&gt;0,ROUND(ROUND(AL284*100,0)*ROUND(AJ$7*10000,0)/12000000,0)/100,0)</f>
        <v>0</v>
      </c>
      <c r="AL285" s="24">
        <f>IF(AL284&gt;0,ROUND(AL284+AK285-AJ285,2),0)</f>
        <v>0</v>
      </c>
    </row>
    <row r="286" spans="1:38" x14ac:dyDescent="0.25">
      <c r="A286" s="17" t="str">
        <f>IF(F286&gt;0,276,"")</f>
        <v/>
      </c>
      <c r="B286" s="18" t="str">
        <f>IF(F286&gt;0,EDATE($E$6,276),"")</f>
        <v/>
      </c>
      <c r="C286" s="21">
        <f>IF(H285&gt;0,MIN(IF(K285&gt;0,I$5,99),IF(N285&gt;0,L$5,99),IF(Q285&gt;0,O$5,99),IF(T285&gt;0,R$5,99),IF(W285&gt;0,U$5,99),IF(Z285&gt;0,X$5,99),IF(AC285&gt;0,AA$5,99),IF(AF285&gt;0,AD$5,99),IF(AI285&gt;0,AG$5,99),IF(AL285&gt;0,AJ$5,99)),0)</f>
        <v>0</v>
      </c>
      <c r="D286" t="str">
        <f>IF(C286&gt;0,INDEX($I$4:$AL$4,1,MATCH(C286,$I$5:$AL$5,0)),"")</f>
        <v/>
      </c>
      <c r="E286" s="24">
        <f>ROUND(IF(AND(I$8&gt;0,K285=0),I$6,0)+IF(AND(L$8&gt;0,N285=0),L$6,0)+IF(AND(O$8&gt;0,Q285=0),O$6,0)+IF(AND(R$8&gt;0,T285=0),R$6,0)+IF(AND(U$8&gt;0,W285=0),U$6,0)+IF(AND(X$8&gt;0,Z285=0),X$6,0)+IF(AND(AA$8&gt;0,AC285=0),AA$6,0)+IF(AND(AD$8&gt;0,AF285=0),AD$6,0)+IF(AND(AG$8&gt;0,AI285=0),AG$6,0)+IF(AND(AJ$8&gt;0,AL285=0),AJ$6,0),2)</f>
        <v>330</v>
      </c>
      <c r="F286" s="24">
        <f>ROUND(I286+L286+O286+R286+U286+X286+AA286+AD286+AG286+AJ286,2)</f>
        <v>0</v>
      </c>
      <c r="G286" s="24">
        <f>ROUND(J286+M286+P286+S286+V286+Y286+AB286+AE286+AH286+AK286,2)</f>
        <v>0</v>
      </c>
      <c r="H286" s="24">
        <f>ROUND(K286+N286+Q286+T286+W286+Z286+AC286+AF286+AI286+AL286,2)</f>
        <v>0</v>
      </c>
      <c r="I286" s="24">
        <f>IF(K285&gt;0,MIN(ROUND(I$6+IF(I$5=$C286,$E$5+$E286,0),2),ROUND(K285+J286,2)),0)</f>
        <v>0</v>
      </c>
      <c r="J286" s="24">
        <f>IF(K285&gt;0,ROUND(ROUND(K285*100,0)*ROUND(I$7*10000,0)/12000000,0)/100,0)</f>
        <v>0</v>
      </c>
      <c r="K286" s="24">
        <f>IF(K285&gt;0,ROUND(K285+J286-I286,2),0)</f>
        <v>0</v>
      </c>
      <c r="L286" s="24">
        <f>IF(N285&gt;0,MIN(ROUND(L$6+IF(L$5=$C286,$E$5+$E286,0),2),ROUND(N285+M286,2)),0)</f>
        <v>0</v>
      </c>
      <c r="M286" s="24">
        <f>IF(N285&gt;0,ROUND(ROUND(N285*100,0)*ROUND(L$7*10000,0)/12000000,0)/100,0)</f>
        <v>0</v>
      </c>
      <c r="N286" s="24">
        <f>IF(N285&gt;0,ROUND(N285+M286-L286,2),0)</f>
        <v>0</v>
      </c>
      <c r="O286" s="24">
        <f>IF(Q285&gt;0,MIN(ROUND(O$6+IF(O$5=$C286,$E$5+$E286,0),2),ROUND(Q285+P286,2)),0)</f>
        <v>0</v>
      </c>
      <c r="P286" s="24">
        <f>IF(Q285&gt;0,ROUND(ROUND(Q285*100,0)*ROUND(O$7*10000,0)/12000000,0)/100,0)</f>
        <v>0</v>
      </c>
      <c r="Q286" s="24">
        <f>IF(Q285&gt;0,ROUND(Q285+P286-O286,2),0)</f>
        <v>0</v>
      </c>
      <c r="R286" s="24">
        <f>IF(T285&gt;0,MIN(ROUND(R$6+IF(R$5=$C286,$E$5+$E286,0),2),ROUND(T285+S286,2)),0)</f>
        <v>0</v>
      </c>
      <c r="S286" s="24">
        <f>IF(T285&gt;0,ROUND(ROUND(T285*100,0)*ROUND(R$7*10000,0)/12000000,0)/100,0)</f>
        <v>0</v>
      </c>
      <c r="T286" s="24">
        <f>IF(T285&gt;0,ROUND(T285+S286-R286,2),0)</f>
        <v>0</v>
      </c>
      <c r="U286" s="24">
        <f>IF(W285&gt;0,MIN(ROUND(U$6+IF(U$5=$C286,$E$5+$E286,0),2),ROUND(W285+V286,2)),0)</f>
        <v>0</v>
      </c>
      <c r="V286" s="24">
        <f>IF(W285&gt;0,ROUND(ROUND(W285*100,0)*ROUND(U$7*10000,0)/12000000,0)/100,0)</f>
        <v>0</v>
      </c>
      <c r="W286" s="24">
        <f>IF(W285&gt;0,ROUND(W285+V286-U286,2),0)</f>
        <v>0</v>
      </c>
      <c r="X286" s="24">
        <f>IF(Z285&gt;0,MIN(ROUND(X$6+IF(X$5=$C286,$E$5+$E286,0),2),ROUND(Z285+Y286,2)),0)</f>
        <v>0</v>
      </c>
      <c r="Y286" s="24">
        <f>IF(Z285&gt;0,ROUND(ROUND(Z285*100,0)*ROUND(X$7*10000,0)/12000000,0)/100,0)</f>
        <v>0</v>
      </c>
      <c r="Z286" s="24">
        <f>IF(Z285&gt;0,ROUND(Z285+Y286-X286,2),0)</f>
        <v>0</v>
      </c>
      <c r="AA286" s="24">
        <f>IF(AC285&gt;0,MIN(ROUND(AA$6+IF(AA$5=$C286,$E$5+$E286,0),2),ROUND(AC285+AB286,2)),0)</f>
        <v>0</v>
      </c>
      <c r="AB286" s="24">
        <f>IF(AC285&gt;0,ROUND(ROUND(AC285*100,0)*ROUND(AA$7*10000,0)/12000000,0)/100,0)</f>
        <v>0</v>
      </c>
      <c r="AC286" s="24">
        <f>IF(AC285&gt;0,ROUND(AC285+AB286-AA286,2),0)</f>
        <v>0</v>
      </c>
      <c r="AD286" s="24">
        <f>IF(AF285&gt;0,MIN(ROUND(AD$6+IF(AD$5=$C286,$E$5+$E286,0),2),ROUND(AF285+AE286,2)),0)</f>
        <v>0</v>
      </c>
      <c r="AE286" s="24">
        <f>IF(AF285&gt;0,ROUND(ROUND(AF285*100,0)*ROUND(AD$7*10000,0)/12000000,0)/100,0)</f>
        <v>0</v>
      </c>
      <c r="AF286" s="24">
        <f>IF(AF285&gt;0,ROUND(AF285+AE286-AD286,2),0)</f>
        <v>0</v>
      </c>
      <c r="AG286" s="24">
        <f>IF(AI285&gt;0,MIN(ROUND(AG$6+IF(AG$5=$C286,$E$5+$E286,0),2),ROUND(AI285+AH286,2)),0)</f>
        <v>0</v>
      </c>
      <c r="AH286" s="24">
        <f>IF(AI285&gt;0,ROUND(ROUND(AI285*100,0)*ROUND(AG$7*10000,0)/12000000,0)/100,0)</f>
        <v>0</v>
      </c>
      <c r="AI286" s="24">
        <f>IF(AI285&gt;0,ROUND(AI285+AH286-AG286,2),0)</f>
        <v>0</v>
      </c>
      <c r="AJ286" s="24">
        <f>IF(AL285&gt;0,MIN(ROUND(AJ$6+IF(AJ$5=$C286,$E$5+$E286,0),2),ROUND(AL285+AK286,2)),0)</f>
        <v>0</v>
      </c>
      <c r="AK286" s="24">
        <f>IF(AL285&gt;0,ROUND(ROUND(AL285*100,0)*ROUND(AJ$7*10000,0)/12000000,0)/100,0)</f>
        <v>0</v>
      </c>
      <c r="AL286" s="24">
        <f>IF(AL285&gt;0,ROUND(AL285+AK286-AJ286,2),0)</f>
        <v>0</v>
      </c>
    </row>
    <row r="287" spans="1:38" x14ac:dyDescent="0.25">
      <c r="A287" s="17" t="str">
        <f>IF(F287&gt;0,277,"")</f>
        <v/>
      </c>
      <c r="B287" s="18" t="str">
        <f>IF(F287&gt;0,EDATE($E$6,277),"")</f>
        <v/>
      </c>
      <c r="C287" s="21">
        <f>IF(H286&gt;0,MIN(IF(K286&gt;0,I$5,99),IF(N286&gt;0,L$5,99),IF(Q286&gt;0,O$5,99),IF(T286&gt;0,R$5,99),IF(W286&gt;0,U$5,99),IF(Z286&gt;0,X$5,99),IF(AC286&gt;0,AA$5,99),IF(AF286&gt;0,AD$5,99),IF(AI286&gt;0,AG$5,99),IF(AL286&gt;0,AJ$5,99)),0)</f>
        <v>0</v>
      </c>
      <c r="D287" t="str">
        <f>IF(C287&gt;0,INDEX($I$4:$AL$4,1,MATCH(C287,$I$5:$AL$5,0)),"")</f>
        <v/>
      </c>
      <c r="E287" s="24">
        <f>ROUND(IF(AND(I$8&gt;0,K286=0),I$6,0)+IF(AND(L$8&gt;0,N286=0),L$6,0)+IF(AND(O$8&gt;0,Q286=0),O$6,0)+IF(AND(R$8&gt;0,T286=0),R$6,0)+IF(AND(U$8&gt;0,W286=0),U$6,0)+IF(AND(X$8&gt;0,Z286=0),X$6,0)+IF(AND(AA$8&gt;0,AC286=0),AA$6,0)+IF(AND(AD$8&gt;0,AF286=0),AD$6,0)+IF(AND(AG$8&gt;0,AI286=0),AG$6,0)+IF(AND(AJ$8&gt;0,AL286=0),AJ$6,0),2)</f>
        <v>330</v>
      </c>
      <c r="F287" s="24">
        <f>ROUND(I287+L287+O287+R287+U287+X287+AA287+AD287+AG287+AJ287,2)</f>
        <v>0</v>
      </c>
      <c r="G287" s="24">
        <f>ROUND(J287+M287+P287+S287+V287+Y287+AB287+AE287+AH287+AK287,2)</f>
        <v>0</v>
      </c>
      <c r="H287" s="24">
        <f>ROUND(K287+N287+Q287+T287+W287+Z287+AC287+AF287+AI287+AL287,2)</f>
        <v>0</v>
      </c>
      <c r="I287" s="24">
        <f>IF(K286&gt;0,MIN(ROUND(I$6+IF(I$5=$C287,$E$5+$E287,0),2),ROUND(K286+J287,2)),0)</f>
        <v>0</v>
      </c>
      <c r="J287" s="24">
        <f>IF(K286&gt;0,ROUND(ROUND(K286*100,0)*ROUND(I$7*10000,0)/12000000,0)/100,0)</f>
        <v>0</v>
      </c>
      <c r="K287" s="24">
        <f>IF(K286&gt;0,ROUND(K286+J287-I287,2),0)</f>
        <v>0</v>
      </c>
      <c r="L287" s="24">
        <f>IF(N286&gt;0,MIN(ROUND(L$6+IF(L$5=$C287,$E$5+$E287,0),2),ROUND(N286+M287,2)),0)</f>
        <v>0</v>
      </c>
      <c r="M287" s="24">
        <f>IF(N286&gt;0,ROUND(ROUND(N286*100,0)*ROUND(L$7*10000,0)/12000000,0)/100,0)</f>
        <v>0</v>
      </c>
      <c r="N287" s="24">
        <f>IF(N286&gt;0,ROUND(N286+M287-L287,2),0)</f>
        <v>0</v>
      </c>
      <c r="O287" s="24">
        <f>IF(Q286&gt;0,MIN(ROUND(O$6+IF(O$5=$C287,$E$5+$E287,0),2),ROUND(Q286+P287,2)),0)</f>
        <v>0</v>
      </c>
      <c r="P287" s="24">
        <f>IF(Q286&gt;0,ROUND(ROUND(Q286*100,0)*ROUND(O$7*10000,0)/12000000,0)/100,0)</f>
        <v>0</v>
      </c>
      <c r="Q287" s="24">
        <f>IF(Q286&gt;0,ROUND(Q286+P287-O287,2),0)</f>
        <v>0</v>
      </c>
      <c r="R287" s="24">
        <f>IF(T286&gt;0,MIN(ROUND(R$6+IF(R$5=$C287,$E$5+$E287,0),2),ROUND(T286+S287,2)),0)</f>
        <v>0</v>
      </c>
      <c r="S287" s="24">
        <f>IF(T286&gt;0,ROUND(ROUND(T286*100,0)*ROUND(R$7*10000,0)/12000000,0)/100,0)</f>
        <v>0</v>
      </c>
      <c r="T287" s="24">
        <f>IF(T286&gt;0,ROUND(T286+S287-R287,2),0)</f>
        <v>0</v>
      </c>
      <c r="U287" s="24">
        <f>IF(W286&gt;0,MIN(ROUND(U$6+IF(U$5=$C287,$E$5+$E287,0),2),ROUND(W286+V287,2)),0)</f>
        <v>0</v>
      </c>
      <c r="V287" s="24">
        <f>IF(W286&gt;0,ROUND(ROUND(W286*100,0)*ROUND(U$7*10000,0)/12000000,0)/100,0)</f>
        <v>0</v>
      </c>
      <c r="W287" s="24">
        <f>IF(W286&gt;0,ROUND(W286+V287-U287,2),0)</f>
        <v>0</v>
      </c>
      <c r="X287" s="24">
        <f>IF(Z286&gt;0,MIN(ROUND(X$6+IF(X$5=$C287,$E$5+$E287,0),2),ROUND(Z286+Y287,2)),0)</f>
        <v>0</v>
      </c>
      <c r="Y287" s="24">
        <f>IF(Z286&gt;0,ROUND(ROUND(Z286*100,0)*ROUND(X$7*10000,0)/12000000,0)/100,0)</f>
        <v>0</v>
      </c>
      <c r="Z287" s="24">
        <f>IF(Z286&gt;0,ROUND(Z286+Y287-X287,2),0)</f>
        <v>0</v>
      </c>
      <c r="AA287" s="24">
        <f>IF(AC286&gt;0,MIN(ROUND(AA$6+IF(AA$5=$C287,$E$5+$E287,0),2),ROUND(AC286+AB287,2)),0)</f>
        <v>0</v>
      </c>
      <c r="AB287" s="24">
        <f>IF(AC286&gt;0,ROUND(ROUND(AC286*100,0)*ROUND(AA$7*10000,0)/12000000,0)/100,0)</f>
        <v>0</v>
      </c>
      <c r="AC287" s="24">
        <f>IF(AC286&gt;0,ROUND(AC286+AB287-AA287,2),0)</f>
        <v>0</v>
      </c>
      <c r="AD287" s="24">
        <f>IF(AF286&gt;0,MIN(ROUND(AD$6+IF(AD$5=$C287,$E$5+$E287,0),2),ROUND(AF286+AE287,2)),0)</f>
        <v>0</v>
      </c>
      <c r="AE287" s="24">
        <f>IF(AF286&gt;0,ROUND(ROUND(AF286*100,0)*ROUND(AD$7*10000,0)/12000000,0)/100,0)</f>
        <v>0</v>
      </c>
      <c r="AF287" s="24">
        <f>IF(AF286&gt;0,ROUND(AF286+AE287-AD287,2),0)</f>
        <v>0</v>
      </c>
      <c r="AG287" s="24">
        <f>IF(AI286&gt;0,MIN(ROUND(AG$6+IF(AG$5=$C287,$E$5+$E287,0),2),ROUND(AI286+AH287,2)),0)</f>
        <v>0</v>
      </c>
      <c r="AH287" s="24">
        <f>IF(AI286&gt;0,ROUND(ROUND(AI286*100,0)*ROUND(AG$7*10000,0)/12000000,0)/100,0)</f>
        <v>0</v>
      </c>
      <c r="AI287" s="24">
        <f>IF(AI286&gt;0,ROUND(AI286+AH287-AG287,2),0)</f>
        <v>0</v>
      </c>
      <c r="AJ287" s="24">
        <f>IF(AL286&gt;0,MIN(ROUND(AJ$6+IF(AJ$5=$C287,$E$5+$E287,0),2),ROUND(AL286+AK287,2)),0)</f>
        <v>0</v>
      </c>
      <c r="AK287" s="24">
        <f>IF(AL286&gt;0,ROUND(ROUND(AL286*100,0)*ROUND(AJ$7*10000,0)/12000000,0)/100,0)</f>
        <v>0</v>
      </c>
      <c r="AL287" s="24">
        <f>IF(AL286&gt;0,ROUND(AL286+AK287-AJ287,2),0)</f>
        <v>0</v>
      </c>
    </row>
    <row r="288" spans="1:38" x14ac:dyDescent="0.25">
      <c r="A288" s="17" t="str">
        <f>IF(F288&gt;0,278,"")</f>
        <v/>
      </c>
      <c r="B288" s="18" t="str">
        <f>IF(F288&gt;0,EDATE($E$6,278),"")</f>
        <v/>
      </c>
      <c r="C288" s="21">
        <f>IF(H287&gt;0,MIN(IF(K287&gt;0,I$5,99),IF(N287&gt;0,L$5,99),IF(Q287&gt;0,O$5,99),IF(T287&gt;0,R$5,99),IF(W287&gt;0,U$5,99),IF(Z287&gt;0,X$5,99),IF(AC287&gt;0,AA$5,99),IF(AF287&gt;0,AD$5,99),IF(AI287&gt;0,AG$5,99),IF(AL287&gt;0,AJ$5,99)),0)</f>
        <v>0</v>
      </c>
      <c r="D288" t="str">
        <f>IF(C288&gt;0,INDEX($I$4:$AL$4,1,MATCH(C288,$I$5:$AL$5,0)),"")</f>
        <v/>
      </c>
      <c r="E288" s="24">
        <f>ROUND(IF(AND(I$8&gt;0,K287=0),I$6,0)+IF(AND(L$8&gt;0,N287=0),L$6,0)+IF(AND(O$8&gt;0,Q287=0),O$6,0)+IF(AND(R$8&gt;0,T287=0),R$6,0)+IF(AND(U$8&gt;0,W287=0),U$6,0)+IF(AND(X$8&gt;0,Z287=0),X$6,0)+IF(AND(AA$8&gt;0,AC287=0),AA$6,0)+IF(AND(AD$8&gt;0,AF287=0),AD$6,0)+IF(AND(AG$8&gt;0,AI287=0),AG$6,0)+IF(AND(AJ$8&gt;0,AL287=0),AJ$6,0),2)</f>
        <v>330</v>
      </c>
      <c r="F288" s="24">
        <f>ROUND(I288+L288+O288+R288+U288+X288+AA288+AD288+AG288+AJ288,2)</f>
        <v>0</v>
      </c>
      <c r="G288" s="24">
        <f>ROUND(J288+M288+P288+S288+V288+Y288+AB288+AE288+AH288+AK288,2)</f>
        <v>0</v>
      </c>
      <c r="H288" s="24">
        <f>ROUND(K288+N288+Q288+T288+W288+Z288+AC288+AF288+AI288+AL288,2)</f>
        <v>0</v>
      </c>
      <c r="I288" s="24">
        <f>IF(K287&gt;0,MIN(ROUND(I$6+IF(I$5=$C288,$E$5+$E288,0),2),ROUND(K287+J288,2)),0)</f>
        <v>0</v>
      </c>
      <c r="J288" s="24">
        <f>IF(K287&gt;0,ROUND(ROUND(K287*100,0)*ROUND(I$7*10000,0)/12000000,0)/100,0)</f>
        <v>0</v>
      </c>
      <c r="K288" s="24">
        <f>IF(K287&gt;0,ROUND(K287+J288-I288,2),0)</f>
        <v>0</v>
      </c>
      <c r="L288" s="24">
        <f>IF(N287&gt;0,MIN(ROUND(L$6+IF(L$5=$C288,$E$5+$E288,0),2),ROUND(N287+M288,2)),0)</f>
        <v>0</v>
      </c>
      <c r="M288" s="24">
        <f>IF(N287&gt;0,ROUND(ROUND(N287*100,0)*ROUND(L$7*10000,0)/12000000,0)/100,0)</f>
        <v>0</v>
      </c>
      <c r="N288" s="24">
        <f>IF(N287&gt;0,ROUND(N287+M288-L288,2),0)</f>
        <v>0</v>
      </c>
      <c r="O288" s="24">
        <f>IF(Q287&gt;0,MIN(ROUND(O$6+IF(O$5=$C288,$E$5+$E288,0),2),ROUND(Q287+P288,2)),0)</f>
        <v>0</v>
      </c>
      <c r="P288" s="24">
        <f>IF(Q287&gt;0,ROUND(ROUND(Q287*100,0)*ROUND(O$7*10000,0)/12000000,0)/100,0)</f>
        <v>0</v>
      </c>
      <c r="Q288" s="24">
        <f>IF(Q287&gt;0,ROUND(Q287+P288-O288,2),0)</f>
        <v>0</v>
      </c>
      <c r="R288" s="24">
        <f>IF(T287&gt;0,MIN(ROUND(R$6+IF(R$5=$C288,$E$5+$E288,0),2),ROUND(T287+S288,2)),0)</f>
        <v>0</v>
      </c>
      <c r="S288" s="24">
        <f>IF(T287&gt;0,ROUND(ROUND(T287*100,0)*ROUND(R$7*10000,0)/12000000,0)/100,0)</f>
        <v>0</v>
      </c>
      <c r="T288" s="24">
        <f>IF(T287&gt;0,ROUND(T287+S288-R288,2),0)</f>
        <v>0</v>
      </c>
      <c r="U288" s="24">
        <f>IF(W287&gt;0,MIN(ROUND(U$6+IF(U$5=$C288,$E$5+$E288,0),2),ROUND(W287+V288,2)),0)</f>
        <v>0</v>
      </c>
      <c r="V288" s="24">
        <f>IF(W287&gt;0,ROUND(ROUND(W287*100,0)*ROUND(U$7*10000,0)/12000000,0)/100,0)</f>
        <v>0</v>
      </c>
      <c r="W288" s="24">
        <f>IF(W287&gt;0,ROUND(W287+V288-U288,2),0)</f>
        <v>0</v>
      </c>
      <c r="X288" s="24">
        <f>IF(Z287&gt;0,MIN(ROUND(X$6+IF(X$5=$C288,$E$5+$E288,0),2),ROUND(Z287+Y288,2)),0)</f>
        <v>0</v>
      </c>
      <c r="Y288" s="24">
        <f>IF(Z287&gt;0,ROUND(ROUND(Z287*100,0)*ROUND(X$7*10000,0)/12000000,0)/100,0)</f>
        <v>0</v>
      </c>
      <c r="Z288" s="24">
        <f>IF(Z287&gt;0,ROUND(Z287+Y288-X288,2),0)</f>
        <v>0</v>
      </c>
      <c r="AA288" s="24">
        <f>IF(AC287&gt;0,MIN(ROUND(AA$6+IF(AA$5=$C288,$E$5+$E288,0),2),ROUND(AC287+AB288,2)),0)</f>
        <v>0</v>
      </c>
      <c r="AB288" s="24">
        <f>IF(AC287&gt;0,ROUND(ROUND(AC287*100,0)*ROUND(AA$7*10000,0)/12000000,0)/100,0)</f>
        <v>0</v>
      </c>
      <c r="AC288" s="24">
        <f>IF(AC287&gt;0,ROUND(AC287+AB288-AA288,2),0)</f>
        <v>0</v>
      </c>
      <c r="AD288" s="24">
        <f>IF(AF287&gt;0,MIN(ROUND(AD$6+IF(AD$5=$C288,$E$5+$E288,0),2),ROUND(AF287+AE288,2)),0)</f>
        <v>0</v>
      </c>
      <c r="AE288" s="24">
        <f>IF(AF287&gt;0,ROUND(ROUND(AF287*100,0)*ROUND(AD$7*10000,0)/12000000,0)/100,0)</f>
        <v>0</v>
      </c>
      <c r="AF288" s="24">
        <f>IF(AF287&gt;0,ROUND(AF287+AE288-AD288,2),0)</f>
        <v>0</v>
      </c>
      <c r="AG288" s="24">
        <f>IF(AI287&gt;0,MIN(ROUND(AG$6+IF(AG$5=$C288,$E$5+$E288,0),2),ROUND(AI287+AH288,2)),0)</f>
        <v>0</v>
      </c>
      <c r="AH288" s="24">
        <f>IF(AI287&gt;0,ROUND(ROUND(AI287*100,0)*ROUND(AG$7*10000,0)/12000000,0)/100,0)</f>
        <v>0</v>
      </c>
      <c r="AI288" s="24">
        <f>IF(AI287&gt;0,ROUND(AI287+AH288-AG288,2),0)</f>
        <v>0</v>
      </c>
      <c r="AJ288" s="24">
        <f>IF(AL287&gt;0,MIN(ROUND(AJ$6+IF(AJ$5=$C288,$E$5+$E288,0),2),ROUND(AL287+AK288,2)),0)</f>
        <v>0</v>
      </c>
      <c r="AK288" s="24">
        <f>IF(AL287&gt;0,ROUND(ROUND(AL287*100,0)*ROUND(AJ$7*10000,0)/12000000,0)/100,0)</f>
        <v>0</v>
      </c>
      <c r="AL288" s="24">
        <f>IF(AL287&gt;0,ROUND(AL287+AK288-AJ288,2),0)</f>
        <v>0</v>
      </c>
    </row>
    <row r="289" spans="1:38" x14ac:dyDescent="0.25">
      <c r="A289" s="17" t="str">
        <f>IF(F289&gt;0,279,"")</f>
        <v/>
      </c>
      <c r="B289" s="18" t="str">
        <f>IF(F289&gt;0,EDATE($E$6,279),"")</f>
        <v/>
      </c>
      <c r="C289" s="21">
        <f>IF(H288&gt;0,MIN(IF(K288&gt;0,I$5,99),IF(N288&gt;0,L$5,99),IF(Q288&gt;0,O$5,99),IF(T288&gt;0,R$5,99),IF(W288&gt;0,U$5,99),IF(Z288&gt;0,X$5,99),IF(AC288&gt;0,AA$5,99),IF(AF288&gt;0,AD$5,99),IF(AI288&gt;0,AG$5,99),IF(AL288&gt;0,AJ$5,99)),0)</f>
        <v>0</v>
      </c>
      <c r="D289" t="str">
        <f>IF(C289&gt;0,INDEX($I$4:$AL$4,1,MATCH(C289,$I$5:$AL$5,0)),"")</f>
        <v/>
      </c>
      <c r="E289" s="24">
        <f>ROUND(IF(AND(I$8&gt;0,K288=0),I$6,0)+IF(AND(L$8&gt;0,N288=0),L$6,0)+IF(AND(O$8&gt;0,Q288=0),O$6,0)+IF(AND(R$8&gt;0,T288=0),R$6,0)+IF(AND(U$8&gt;0,W288=0),U$6,0)+IF(AND(X$8&gt;0,Z288=0),X$6,0)+IF(AND(AA$8&gt;0,AC288=0),AA$6,0)+IF(AND(AD$8&gt;0,AF288=0),AD$6,0)+IF(AND(AG$8&gt;0,AI288=0),AG$6,0)+IF(AND(AJ$8&gt;0,AL288=0),AJ$6,0),2)</f>
        <v>330</v>
      </c>
      <c r="F289" s="24">
        <f>ROUND(I289+L289+O289+R289+U289+X289+AA289+AD289+AG289+AJ289,2)</f>
        <v>0</v>
      </c>
      <c r="G289" s="24">
        <f>ROUND(J289+M289+P289+S289+V289+Y289+AB289+AE289+AH289+AK289,2)</f>
        <v>0</v>
      </c>
      <c r="H289" s="24">
        <f>ROUND(K289+N289+Q289+T289+W289+Z289+AC289+AF289+AI289+AL289,2)</f>
        <v>0</v>
      </c>
      <c r="I289" s="24">
        <f>IF(K288&gt;0,MIN(ROUND(I$6+IF(I$5=$C289,$E$5+$E289,0),2),ROUND(K288+J289,2)),0)</f>
        <v>0</v>
      </c>
      <c r="J289" s="24">
        <f>IF(K288&gt;0,ROUND(ROUND(K288*100,0)*ROUND(I$7*10000,0)/12000000,0)/100,0)</f>
        <v>0</v>
      </c>
      <c r="K289" s="24">
        <f>IF(K288&gt;0,ROUND(K288+J289-I289,2),0)</f>
        <v>0</v>
      </c>
      <c r="L289" s="24">
        <f>IF(N288&gt;0,MIN(ROUND(L$6+IF(L$5=$C289,$E$5+$E289,0),2),ROUND(N288+M289,2)),0)</f>
        <v>0</v>
      </c>
      <c r="M289" s="24">
        <f>IF(N288&gt;0,ROUND(ROUND(N288*100,0)*ROUND(L$7*10000,0)/12000000,0)/100,0)</f>
        <v>0</v>
      </c>
      <c r="N289" s="24">
        <f>IF(N288&gt;0,ROUND(N288+M289-L289,2),0)</f>
        <v>0</v>
      </c>
      <c r="O289" s="24">
        <f>IF(Q288&gt;0,MIN(ROUND(O$6+IF(O$5=$C289,$E$5+$E289,0),2),ROUND(Q288+P289,2)),0)</f>
        <v>0</v>
      </c>
      <c r="P289" s="24">
        <f>IF(Q288&gt;0,ROUND(ROUND(Q288*100,0)*ROUND(O$7*10000,0)/12000000,0)/100,0)</f>
        <v>0</v>
      </c>
      <c r="Q289" s="24">
        <f>IF(Q288&gt;0,ROUND(Q288+P289-O289,2),0)</f>
        <v>0</v>
      </c>
      <c r="R289" s="24">
        <f>IF(T288&gt;0,MIN(ROUND(R$6+IF(R$5=$C289,$E$5+$E289,0),2),ROUND(T288+S289,2)),0)</f>
        <v>0</v>
      </c>
      <c r="S289" s="24">
        <f>IF(T288&gt;0,ROUND(ROUND(T288*100,0)*ROUND(R$7*10000,0)/12000000,0)/100,0)</f>
        <v>0</v>
      </c>
      <c r="T289" s="24">
        <f>IF(T288&gt;0,ROUND(T288+S289-R289,2),0)</f>
        <v>0</v>
      </c>
      <c r="U289" s="24">
        <f>IF(W288&gt;0,MIN(ROUND(U$6+IF(U$5=$C289,$E$5+$E289,0),2),ROUND(W288+V289,2)),0)</f>
        <v>0</v>
      </c>
      <c r="V289" s="24">
        <f>IF(W288&gt;0,ROUND(ROUND(W288*100,0)*ROUND(U$7*10000,0)/12000000,0)/100,0)</f>
        <v>0</v>
      </c>
      <c r="W289" s="24">
        <f>IF(W288&gt;0,ROUND(W288+V289-U289,2),0)</f>
        <v>0</v>
      </c>
      <c r="X289" s="24">
        <f>IF(Z288&gt;0,MIN(ROUND(X$6+IF(X$5=$C289,$E$5+$E289,0),2),ROUND(Z288+Y289,2)),0)</f>
        <v>0</v>
      </c>
      <c r="Y289" s="24">
        <f>IF(Z288&gt;0,ROUND(ROUND(Z288*100,0)*ROUND(X$7*10000,0)/12000000,0)/100,0)</f>
        <v>0</v>
      </c>
      <c r="Z289" s="24">
        <f>IF(Z288&gt;0,ROUND(Z288+Y289-X289,2),0)</f>
        <v>0</v>
      </c>
      <c r="AA289" s="24">
        <f>IF(AC288&gt;0,MIN(ROUND(AA$6+IF(AA$5=$C289,$E$5+$E289,0),2),ROUND(AC288+AB289,2)),0)</f>
        <v>0</v>
      </c>
      <c r="AB289" s="24">
        <f>IF(AC288&gt;0,ROUND(ROUND(AC288*100,0)*ROUND(AA$7*10000,0)/12000000,0)/100,0)</f>
        <v>0</v>
      </c>
      <c r="AC289" s="24">
        <f>IF(AC288&gt;0,ROUND(AC288+AB289-AA289,2),0)</f>
        <v>0</v>
      </c>
      <c r="AD289" s="24">
        <f>IF(AF288&gt;0,MIN(ROUND(AD$6+IF(AD$5=$C289,$E$5+$E289,0),2),ROUND(AF288+AE289,2)),0)</f>
        <v>0</v>
      </c>
      <c r="AE289" s="24">
        <f>IF(AF288&gt;0,ROUND(ROUND(AF288*100,0)*ROUND(AD$7*10000,0)/12000000,0)/100,0)</f>
        <v>0</v>
      </c>
      <c r="AF289" s="24">
        <f>IF(AF288&gt;0,ROUND(AF288+AE289-AD289,2),0)</f>
        <v>0</v>
      </c>
      <c r="AG289" s="24">
        <f>IF(AI288&gt;0,MIN(ROUND(AG$6+IF(AG$5=$C289,$E$5+$E289,0),2),ROUND(AI288+AH289,2)),0)</f>
        <v>0</v>
      </c>
      <c r="AH289" s="24">
        <f>IF(AI288&gt;0,ROUND(ROUND(AI288*100,0)*ROUND(AG$7*10000,0)/12000000,0)/100,0)</f>
        <v>0</v>
      </c>
      <c r="AI289" s="24">
        <f>IF(AI288&gt;0,ROUND(AI288+AH289-AG289,2),0)</f>
        <v>0</v>
      </c>
      <c r="AJ289" s="24">
        <f>IF(AL288&gt;0,MIN(ROUND(AJ$6+IF(AJ$5=$C289,$E$5+$E289,0),2),ROUND(AL288+AK289,2)),0)</f>
        <v>0</v>
      </c>
      <c r="AK289" s="24">
        <f>IF(AL288&gt;0,ROUND(ROUND(AL288*100,0)*ROUND(AJ$7*10000,0)/12000000,0)/100,0)</f>
        <v>0</v>
      </c>
      <c r="AL289" s="24">
        <f>IF(AL288&gt;0,ROUND(AL288+AK289-AJ289,2),0)</f>
        <v>0</v>
      </c>
    </row>
    <row r="290" spans="1:38" x14ac:dyDescent="0.25">
      <c r="A290" s="17" t="str">
        <f>IF(F290&gt;0,280,"")</f>
        <v/>
      </c>
      <c r="B290" s="18" t="str">
        <f>IF(F290&gt;0,EDATE($E$6,280),"")</f>
        <v/>
      </c>
      <c r="C290" s="21">
        <f>IF(H289&gt;0,MIN(IF(K289&gt;0,I$5,99),IF(N289&gt;0,L$5,99),IF(Q289&gt;0,O$5,99),IF(T289&gt;0,R$5,99),IF(W289&gt;0,U$5,99),IF(Z289&gt;0,X$5,99),IF(AC289&gt;0,AA$5,99),IF(AF289&gt;0,AD$5,99),IF(AI289&gt;0,AG$5,99),IF(AL289&gt;0,AJ$5,99)),0)</f>
        <v>0</v>
      </c>
      <c r="D290" t="str">
        <f>IF(C290&gt;0,INDEX($I$4:$AL$4,1,MATCH(C290,$I$5:$AL$5,0)),"")</f>
        <v/>
      </c>
      <c r="E290" s="24">
        <f>ROUND(IF(AND(I$8&gt;0,K289=0),I$6,0)+IF(AND(L$8&gt;0,N289=0),L$6,0)+IF(AND(O$8&gt;0,Q289=0),O$6,0)+IF(AND(R$8&gt;0,T289=0),R$6,0)+IF(AND(U$8&gt;0,W289=0),U$6,0)+IF(AND(X$8&gt;0,Z289=0),X$6,0)+IF(AND(AA$8&gt;0,AC289=0),AA$6,0)+IF(AND(AD$8&gt;0,AF289=0),AD$6,0)+IF(AND(AG$8&gt;0,AI289=0),AG$6,0)+IF(AND(AJ$8&gt;0,AL289=0),AJ$6,0),2)</f>
        <v>330</v>
      </c>
      <c r="F290" s="24">
        <f>ROUND(I290+L290+O290+R290+U290+X290+AA290+AD290+AG290+AJ290,2)</f>
        <v>0</v>
      </c>
      <c r="G290" s="24">
        <f>ROUND(J290+M290+P290+S290+V290+Y290+AB290+AE290+AH290+AK290,2)</f>
        <v>0</v>
      </c>
      <c r="H290" s="24">
        <f>ROUND(K290+N290+Q290+T290+W290+Z290+AC290+AF290+AI290+AL290,2)</f>
        <v>0</v>
      </c>
      <c r="I290" s="24">
        <f>IF(K289&gt;0,MIN(ROUND(I$6+IF(I$5=$C290,$E$5+$E290,0),2),ROUND(K289+J290,2)),0)</f>
        <v>0</v>
      </c>
      <c r="J290" s="24">
        <f>IF(K289&gt;0,ROUND(ROUND(K289*100,0)*ROUND(I$7*10000,0)/12000000,0)/100,0)</f>
        <v>0</v>
      </c>
      <c r="K290" s="24">
        <f>IF(K289&gt;0,ROUND(K289+J290-I290,2),0)</f>
        <v>0</v>
      </c>
      <c r="L290" s="24">
        <f>IF(N289&gt;0,MIN(ROUND(L$6+IF(L$5=$C290,$E$5+$E290,0),2),ROUND(N289+M290,2)),0)</f>
        <v>0</v>
      </c>
      <c r="M290" s="24">
        <f>IF(N289&gt;0,ROUND(ROUND(N289*100,0)*ROUND(L$7*10000,0)/12000000,0)/100,0)</f>
        <v>0</v>
      </c>
      <c r="N290" s="24">
        <f>IF(N289&gt;0,ROUND(N289+M290-L290,2),0)</f>
        <v>0</v>
      </c>
      <c r="O290" s="24">
        <f>IF(Q289&gt;0,MIN(ROUND(O$6+IF(O$5=$C290,$E$5+$E290,0),2),ROUND(Q289+P290,2)),0)</f>
        <v>0</v>
      </c>
      <c r="P290" s="24">
        <f>IF(Q289&gt;0,ROUND(ROUND(Q289*100,0)*ROUND(O$7*10000,0)/12000000,0)/100,0)</f>
        <v>0</v>
      </c>
      <c r="Q290" s="24">
        <f>IF(Q289&gt;0,ROUND(Q289+P290-O290,2),0)</f>
        <v>0</v>
      </c>
      <c r="R290" s="24">
        <f>IF(T289&gt;0,MIN(ROUND(R$6+IF(R$5=$C290,$E$5+$E290,0),2),ROUND(T289+S290,2)),0)</f>
        <v>0</v>
      </c>
      <c r="S290" s="24">
        <f>IF(T289&gt;0,ROUND(ROUND(T289*100,0)*ROUND(R$7*10000,0)/12000000,0)/100,0)</f>
        <v>0</v>
      </c>
      <c r="T290" s="24">
        <f>IF(T289&gt;0,ROUND(T289+S290-R290,2),0)</f>
        <v>0</v>
      </c>
      <c r="U290" s="24">
        <f>IF(W289&gt;0,MIN(ROUND(U$6+IF(U$5=$C290,$E$5+$E290,0),2),ROUND(W289+V290,2)),0)</f>
        <v>0</v>
      </c>
      <c r="V290" s="24">
        <f>IF(W289&gt;0,ROUND(ROUND(W289*100,0)*ROUND(U$7*10000,0)/12000000,0)/100,0)</f>
        <v>0</v>
      </c>
      <c r="W290" s="24">
        <f>IF(W289&gt;0,ROUND(W289+V290-U290,2),0)</f>
        <v>0</v>
      </c>
      <c r="X290" s="24">
        <f>IF(Z289&gt;0,MIN(ROUND(X$6+IF(X$5=$C290,$E$5+$E290,0),2),ROUND(Z289+Y290,2)),0)</f>
        <v>0</v>
      </c>
      <c r="Y290" s="24">
        <f>IF(Z289&gt;0,ROUND(ROUND(Z289*100,0)*ROUND(X$7*10000,0)/12000000,0)/100,0)</f>
        <v>0</v>
      </c>
      <c r="Z290" s="24">
        <f>IF(Z289&gt;0,ROUND(Z289+Y290-X290,2),0)</f>
        <v>0</v>
      </c>
      <c r="AA290" s="24">
        <f>IF(AC289&gt;0,MIN(ROUND(AA$6+IF(AA$5=$C290,$E$5+$E290,0),2),ROUND(AC289+AB290,2)),0)</f>
        <v>0</v>
      </c>
      <c r="AB290" s="24">
        <f>IF(AC289&gt;0,ROUND(ROUND(AC289*100,0)*ROUND(AA$7*10000,0)/12000000,0)/100,0)</f>
        <v>0</v>
      </c>
      <c r="AC290" s="24">
        <f>IF(AC289&gt;0,ROUND(AC289+AB290-AA290,2),0)</f>
        <v>0</v>
      </c>
      <c r="AD290" s="24">
        <f>IF(AF289&gt;0,MIN(ROUND(AD$6+IF(AD$5=$C290,$E$5+$E290,0),2),ROUND(AF289+AE290,2)),0)</f>
        <v>0</v>
      </c>
      <c r="AE290" s="24">
        <f>IF(AF289&gt;0,ROUND(ROUND(AF289*100,0)*ROUND(AD$7*10000,0)/12000000,0)/100,0)</f>
        <v>0</v>
      </c>
      <c r="AF290" s="24">
        <f>IF(AF289&gt;0,ROUND(AF289+AE290-AD290,2),0)</f>
        <v>0</v>
      </c>
      <c r="AG290" s="24">
        <f>IF(AI289&gt;0,MIN(ROUND(AG$6+IF(AG$5=$C290,$E$5+$E290,0),2),ROUND(AI289+AH290,2)),0)</f>
        <v>0</v>
      </c>
      <c r="AH290" s="24">
        <f>IF(AI289&gt;0,ROUND(ROUND(AI289*100,0)*ROUND(AG$7*10000,0)/12000000,0)/100,0)</f>
        <v>0</v>
      </c>
      <c r="AI290" s="24">
        <f>IF(AI289&gt;0,ROUND(AI289+AH290-AG290,2),0)</f>
        <v>0</v>
      </c>
      <c r="AJ290" s="24">
        <f>IF(AL289&gt;0,MIN(ROUND(AJ$6+IF(AJ$5=$C290,$E$5+$E290,0),2),ROUND(AL289+AK290,2)),0)</f>
        <v>0</v>
      </c>
      <c r="AK290" s="24">
        <f>IF(AL289&gt;0,ROUND(ROUND(AL289*100,0)*ROUND(AJ$7*10000,0)/12000000,0)/100,0)</f>
        <v>0</v>
      </c>
      <c r="AL290" s="24">
        <f>IF(AL289&gt;0,ROUND(AL289+AK290-AJ290,2),0)</f>
        <v>0</v>
      </c>
    </row>
    <row r="291" spans="1:38" x14ac:dyDescent="0.25">
      <c r="A291" s="17" t="str">
        <f>IF(F291&gt;0,281,"")</f>
        <v/>
      </c>
      <c r="B291" s="18" t="str">
        <f>IF(F291&gt;0,EDATE($E$6,281),"")</f>
        <v/>
      </c>
      <c r="C291" s="21">
        <f>IF(H290&gt;0,MIN(IF(K290&gt;0,I$5,99),IF(N290&gt;0,L$5,99),IF(Q290&gt;0,O$5,99),IF(T290&gt;0,R$5,99),IF(W290&gt;0,U$5,99),IF(Z290&gt;0,X$5,99),IF(AC290&gt;0,AA$5,99),IF(AF290&gt;0,AD$5,99),IF(AI290&gt;0,AG$5,99),IF(AL290&gt;0,AJ$5,99)),0)</f>
        <v>0</v>
      </c>
      <c r="D291" t="str">
        <f>IF(C291&gt;0,INDEX($I$4:$AL$4,1,MATCH(C291,$I$5:$AL$5,0)),"")</f>
        <v/>
      </c>
      <c r="E291" s="24">
        <f>ROUND(IF(AND(I$8&gt;0,K290=0),I$6,0)+IF(AND(L$8&gt;0,N290=0),L$6,0)+IF(AND(O$8&gt;0,Q290=0),O$6,0)+IF(AND(R$8&gt;0,T290=0),R$6,0)+IF(AND(U$8&gt;0,W290=0),U$6,0)+IF(AND(X$8&gt;0,Z290=0),X$6,0)+IF(AND(AA$8&gt;0,AC290=0),AA$6,0)+IF(AND(AD$8&gt;0,AF290=0),AD$6,0)+IF(AND(AG$8&gt;0,AI290=0),AG$6,0)+IF(AND(AJ$8&gt;0,AL290=0),AJ$6,0),2)</f>
        <v>330</v>
      </c>
      <c r="F291" s="24">
        <f>ROUND(I291+L291+O291+R291+U291+X291+AA291+AD291+AG291+AJ291,2)</f>
        <v>0</v>
      </c>
      <c r="G291" s="24">
        <f>ROUND(J291+M291+P291+S291+V291+Y291+AB291+AE291+AH291+AK291,2)</f>
        <v>0</v>
      </c>
      <c r="H291" s="24">
        <f>ROUND(K291+N291+Q291+T291+W291+Z291+AC291+AF291+AI291+AL291,2)</f>
        <v>0</v>
      </c>
      <c r="I291" s="24">
        <f>IF(K290&gt;0,MIN(ROUND(I$6+IF(I$5=$C291,$E$5+$E291,0),2),ROUND(K290+J291,2)),0)</f>
        <v>0</v>
      </c>
      <c r="J291" s="24">
        <f>IF(K290&gt;0,ROUND(ROUND(K290*100,0)*ROUND(I$7*10000,0)/12000000,0)/100,0)</f>
        <v>0</v>
      </c>
      <c r="K291" s="24">
        <f>IF(K290&gt;0,ROUND(K290+J291-I291,2),0)</f>
        <v>0</v>
      </c>
      <c r="L291" s="24">
        <f>IF(N290&gt;0,MIN(ROUND(L$6+IF(L$5=$C291,$E$5+$E291,0),2),ROUND(N290+M291,2)),0)</f>
        <v>0</v>
      </c>
      <c r="M291" s="24">
        <f>IF(N290&gt;0,ROUND(ROUND(N290*100,0)*ROUND(L$7*10000,0)/12000000,0)/100,0)</f>
        <v>0</v>
      </c>
      <c r="N291" s="24">
        <f>IF(N290&gt;0,ROUND(N290+M291-L291,2),0)</f>
        <v>0</v>
      </c>
      <c r="O291" s="24">
        <f>IF(Q290&gt;0,MIN(ROUND(O$6+IF(O$5=$C291,$E$5+$E291,0),2),ROUND(Q290+P291,2)),0)</f>
        <v>0</v>
      </c>
      <c r="P291" s="24">
        <f>IF(Q290&gt;0,ROUND(ROUND(Q290*100,0)*ROUND(O$7*10000,0)/12000000,0)/100,0)</f>
        <v>0</v>
      </c>
      <c r="Q291" s="24">
        <f>IF(Q290&gt;0,ROUND(Q290+P291-O291,2),0)</f>
        <v>0</v>
      </c>
      <c r="R291" s="24">
        <f>IF(T290&gt;0,MIN(ROUND(R$6+IF(R$5=$C291,$E$5+$E291,0),2),ROUND(T290+S291,2)),0)</f>
        <v>0</v>
      </c>
      <c r="S291" s="24">
        <f>IF(T290&gt;0,ROUND(ROUND(T290*100,0)*ROUND(R$7*10000,0)/12000000,0)/100,0)</f>
        <v>0</v>
      </c>
      <c r="T291" s="24">
        <f>IF(T290&gt;0,ROUND(T290+S291-R291,2),0)</f>
        <v>0</v>
      </c>
      <c r="U291" s="24">
        <f>IF(W290&gt;0,MIN(ROUND(U$6+IF(U$5=$C291,$E$5+$E291,0),2),ROUND(W290+V291,2)),0)</f>
        <v>0</v>
      </c>
      <c r="V291" s="24">
        <f>IF(W290&gt;0,ROUND(ROUND(W290*100,0)*ROUND(U$7*10000,0)/12000000,0)/100,0)</f>
        <v>0</v>
      </c>
      <c r="W291" s="24">
        <f>IF(W290&gt;0,ROUND(W290+V291-U291,2),0)</f>
        <v>0</v>
      </c>
      <c r="X291" s="24">
        <f>IF(Z290&gt;0,MIN(ROUND(X$6+IF(X$5=$C291,$E$5+$E291,0),2),ROUND(Z290+Y291,2)),0)</f>
        <v>0</v>
      </c>
      <c r="Y291" s="24">
        <f>IF(Z290&gt;0,ROUND(ROUND(Z290*100,0)*ROUND(X$7*10000,0)/12000000,0)/100,0)</f>
        <v>0</v>
      </c>
      <c r="Z291" s="24">
        <f>IF(Z290&gt;0,ROUND(Z290+Y291-X291,2),0)</f>
        <v>0</v>
      </c>
      <c r="AA291" s="24">
        <f>IF(AC290&gt;0,MIN(ROUND(AA$6+IF(AA$5=$C291,$E$5+$E291,0),2),ROUND(AC290+AB291,2)),0)</f>
        <v>0</v>
      </c>
      <c r="AB291" s="24">
        <f>IF(AC290&gt;0,ROUND(ROUND(AC290*100,0)*ROUND(AA$7*10000,0)/12000000,0)/100,0)</f>
        <v>0</v>
      </c>
      <c r="AC291" s="24">
        <f>IF(AC290&gt;0,ROUND(AC290+AB291-AA291,2),0)</f>
        <v>0</v>
      </c>
      <c r="AD291" s="24">
        <f>IF(AF290&gt;0,MIN(ROUND(AD$6+IF(AD$5=$C291,$E$5+$E291,0),2),ROUND(AF290+AE291,2)),0)</f>
        <v>0</v>
      </c>
      <c r="AE291" s="24">
        <f>IF(AF290&gt;0,ROUND(ROUND(AF290*100,0)*ROUND(AD$7*10000,0)/12000000,0)/100,0)</f>
        <v>0</v>
      </c>
      <c r="AF291" s="24">
        <f>IF(AF290&gt;0,ROUND(AF290+AE291-AD291,2),0)</f>
        <v>0</v>
      </c>
      <c r="AG291" s="24">
        <f>IF(AI290&gt;0,MIN(ROUND(AG$6+IF(AG$5=$C291,$E$5+$E291,0),2),ROUND(AI290+AH291,2)),0)</f>
        <v>0</v>
      </c>
      <c r="AH291" s="24">
        <f>IF(AI290&gt;0,ROUND(ROUND(AI290*100,0)*ROUND(AG$7*10000,0)/12000000,0)/100,0)</f>
        <v>0</v>
      </c>
      <c r="AI291" s="24">
        <f>IF(AI290&gt;0,ROUND(AI290+AH291-AG291,2),0)</f>
        <v>0</v>
      </c>
      <c r="AJ291" s="24">
        <f>IF(AL290&gt;0,MIN(ROUND(AJ$6+IF(AJ$5=$C291,$E$5+$E291,0),2),ROUND(AL290+AK291,2)),0)</f>
        <v>0</v>
      </c>
      <c r="AK291" s="24">
        <f>IF(AL290&gt;0,ROUND(ROUND(AL290*100,0)*ROUND(AJ$7*10000,0)/12000000,0)/100,0)</f>
        <v>0</v>
      </c>
      <c r="AL291" s="24">
        <f>IF(AL290&gt;0,ROUND(AL290+AK291-AJ291,2),0)</f>
        <v>0</v>
      </c>
    </row>
    <row r="292" spans="1:38" x14ac:dyDescent="0.25">
      <c r="A292" s="17" t="str">
        <f>IF(F292&gt;0,282,"")</f>
        <v/>
      </c>
      <c r="B292" s="18" t="str">
        <f>IF(F292&gt;0,EDATE($E$6,282),"")</f>
        <v/>
      </c>
      <c r="C292" s="21">
        <f>IF(H291&gt;0,MIN(IF(K291&gt;0,I$5,99),IF(N291&gt;0,L$5,99),IF(Q291&gt;0,O$5,99),IF(T291&gt;0,R$5,99),IF(W291&gt;0,U$5,99),IF(Z291&gt;0,X$5,99),IF(AC291&gt;0,AA$5,99),IF(AF291&gt;0,AD$5,99),IF(AI291&gt;0,AG$5,99),IF(AL291&gt;0,AJ$5,99)),0)</f>
        <v>0</v>
      </c>
      <c r="D292" t="str">
        <f>IF(C292&gt;0,INDEX($I$4:$AL$4,1,MATCH(C292,$I$5:$AL$5,0)),"")</f>
        <v/>
      </c>
      <c r="E292" s="24">
        <f>ROUND(IF(AND(I$8&gt;0,K291=0),I$6,0)+IF(AND(L$8&gt;0,N291=0),L$6,0)+IF(AND(O$8&gt;0,Q291=0),O$6,0)+IF(AND(R$8&gt;0,T291=0),R$6,0)+IF(AND(U$8&gt;0,W291=0),U$6,0)+IF(AND(X$8&gt;0,Z291=0),X$6,0)+IF(AND(AA$8&gt;0,AC291=0),AA$6,0)+IF(AND(AD$8&gt;0,AF291=0),AD$6,0)+IF(AND(AG$8&gt;0,AI291=0),AG$6,0)+IF(AND(AJ$8&gt;0,AL291=0),AJ$6,0),2)</f>
        <v>330</v>
      </c>
      <c r="F292" s="24">
        <f>ROUND(I292+L292+O292+R292+U292+X292+AA292+AD292+AG292+AJ292,2)</f>
        <v>0</v>
      </c>
      <c r="G292" s="24">
        <f>ROUND(J292+M292+P292+S292+V292+Y292+AB292+AE292+AH292+AK292,2)</f>
        <v>0</v>
      </c>
      <c r="H292" s="24">
        <f>ROUND(K292+N292+Q292+T292+W292+Z292+AC292+AF292+AI292+AL292,2)</f>
        <v>0</v>
      </c>
      <c r="I292" s="24">
        <f>IF(K291&gt;0,MIN(ROUND(I$6+IF(I$5=$C292,$E$5+$E292,0),2),ROUND(K291+J292,2)),0)</f>
        <v>0</v>
      </c>
      <c r="J292" s="24">
        <f>IF(K291&gt;0,ROUND(ROUND(K291*100,0)*ROUND(I$7*10000,0)/12000000,0)/100,0)</f>
        <v>0</v>
      </c>
      <c r="K292" s="24">
        <f>IF(K291&gt;0,ROUND(K291+J292-I292,2),0)</f>
        <v>0</v>
      </c>
      <c r="L292" s="24">
        <f>IF(N291&gt;0,MIN(ROUND(L$6+IF(L$5=$C292,$E$5+$E292,0),2),ROUND(N291+M292,2)),0)</f>
        <v>0</v>
      </c>
      <c r="M292" s="24">
        <f>IF(N291&gt;0,ROUND(ROUND(N291*100,0)*ROUND(L$7*10000,0)/12000000,0)/100,0)</f>
        <v>0</v>
      </c>
      <c r="N292" s="24">
        <f>IF(N291&gt;0,ROUND(N291+M292-L292,2),0)</f>
        <v>0</v>
      </c>
      <c r="O292" s="24">
        <f>IF(Q291&gt;0,MIN(ROUND(O$6+IF(O$5=$C292,$E$5+$E292,0),2),ROUND(Q291+P292,2)),0)</f>
        <v>0</v>
      </c>
      <c r="P292" s="24">
        <f>IF(Q291&gt;0,ROUND(ROUND(Q291*100,0)*ROUND(O$7*10000,0)/12000000,0)/100,0)</f>
        <v>0</v>
      </c>
      <c r="Q292" s="24">
        <f>IF(Q291&gt;0,ROUND(Q291+P292-O292,2),0)</f>
        <v>0</v>
      </c>
      <c r="R292" s="24">
        <f>IF(T291&gt;0,MIN(ROUND(R$6+IF(R$5=$C292,$E$5+$E292,0),2),ROUND(T291+S292,2)),0)</f>
        <v>0</v>
      </c>
      <c r="S292" s="24">
        <f>IF(T291&gt;0,ROUND(ROUND(T291*100,0)*ROUND(R$7*10000,0)/12000000,0)/100,0)</f>
        <v>0</v>
      </c>
      <c r="T292" s="24">
        <f>IF(T291&gt;0,ROUND(T291+S292-R292,2),0)</f>
        <v>0</v>
      </c>
      <c r="U292" s="24">
        <f>IF(W291&gt;0,MIN(ROUND(U$6+IF(U$5=$C292,$E$5+$E292,0),2),ROUND(W291+V292,2)),0)</f>
        <v>0</v>
      </c>
      <c r="V292" s="24">
        <f>IF(W291&gt;0,ROUND(ROUND(W291*100,0)*ROUND(U$7*10000,0)/12000000,0)/100,0)</f>
        <v>0</v>
      </c>
      <c r="W292" s="24">
        <f>IF(W291&gt;0,ROUND(W291+V292-U292,2),0)</f>
        <v>0</v>
      </c>
      <c r="X292" s="24">
        <f>IF(Z291&gt;0,MIN(ROUND(X$6+IF(X$5=$C292,$E$5+$E292,0),2),ROUND(Z291+Y292,2)),0)</f>
        <v>0</v>
      </c>
      <c r="Y292" s="24">
        <f>IF(Z291&gt;0,ROUND(ROUND(Z291*100,0)*ROUND(X$7*10000,0)/12000000,0)/100,0)</f>
        <v>0</v>
      </c>
      <c r="Z292" s="24">
        <f>IF(Z291&gt;0,ROUND(Z291+Y292-X292,2),0)</f>
        <v>0</v>
      </c>
      <c r="AA292" s="24">
        <f>IF(AC291&gt;0,MIN(ROUND(AA$6+IF(AA$5=$C292,$E$5+$E292,0),2),ROUND(AC291+AB292,2)),0)</f>
        <v>0</v>
      </c>
      <c r="AB292" s="24">
        <f>IF(AC291&gt;0,ROUND(ROUND(AC291*100,0)*ROUND(AA$7*10000,0)/12000000,0)/100,0)</f>
        <v>0</v>
      </c>
      <c r="AC292" s="24">
        <f>IF(AC291&gt;0,ROUND(AC291+AB292-AA292,2),0)</f>
        <v>0</v>
      </c>
      <c r="AD292" s="24">
        <f>IF(AF291&gt;0,MIN(ROUND(AD$6+IF(AD$5=$C292,$E$5+$E292,0),2),ROUND(AF291+AE292,2)),0)</f>
        <v>0</v>
      </c>
      <c r="AE292" s="24">
        <f>IF(AF291&gt;0,ROUND(ROUND(AF291*100,0)*ROUND(AD$7*10000,0)/12000000,0)/100,0)</f>
        <v>0</v>
      </c>
      <c r="AF292" s="24">
        <f>IF(AF291&gt;0,ROUND(AF291+AE292-AD292,2),0)</f>
        <v>0</v>
      </c>
      <c r="AG292" s="24">
        <f>IF(AI291&gt;0,MIN(ROUND(AG$6+IF(AG$5=$C292,$E$5+$E292,0),2),ROUND(AI291+AH292,2)),0)</f>
        <v>0</v>
      </c>
      <c r="AH292" s="24">
        <f>IF(AI291&gt;0,ROUND(ROUND(AI291*100,0)*ROUND(AG$7*10000,0)/12000000,0)/100,0)</f>
        <v>0</v>
      </c>
      <c r="AI292" s="24">
        <f>IF(AI291&gt;0,ROUND(AI291+AH292-AG292,2),0)</f>
        <v>0</v>
      </c>
      <c r="AJ292" s="24">
        <f>IF(AL291&gt;0,MIN(ROUND(AJ$6+IF(AJ$5=$C292,$E$5+$E292,0),2),ROUND(AL291+AK292,2)),0)</f>
        <v>0</v>
      </c>
      <c r="AK292" s="24">
        <f>IF(AL291&gt;0,ROUND(ROUND(AL291*100,0)*ROUND(AJ$7*10000,0)/12000000,0)/100,0)</f>
        <v>0</v>
      </c>
      <c r="AL292" s="24">
        <f>IF(AL291&gt;0,ROUND(AL291+AK292-AJ292,2),0)</f>
        <v>0</v>
      </c>
    </row>
    <row r="293" spans="1:38" x14ac:dyDescent="0.25">
      <c r="A293" s="17" t="str">
        <f>IF(F293&gt;0,283,"")</f>
        <v/>
      </c>
      <c r="B293" s="18" t="str">
        <f>IF(F293&gt;0,EDATE($E$6,283),"")</f>
        <v/>
      </c>
      <c r="C293" s="21">
        <f>IF(H292&gt;0,MIN(IF(K292&gt;0,I$5,99),IF(N292&gt;0,L$5,99),IF(Q292&gt;0,O$5,99),IF(T292&gt;0,R$5,99),IF(W292&gt;0,U$5,99),IF(Z292&gt;0,X$5,99),IF(AC292&gt;0,AA$5,99),IF(AF292&gt;0,AD$5,99),IF(AI292&gt;0,AG$5,99),IF(AL292&gt;0,AJ$5,99)),0)</f>
        <v>0</v>
      </c>
      <c r="D293" t="str">
        <f>IF(C293&gt;0,INDEX($I$4:$AL$4,1,MATCH(C293,$I$5:$AL$5,0)),"")</f>
        <v/>
      </c>
      <c r="E293" s="24">
        <f>ROUND(IF(AND(I$8&gt;0,K292=0),I$6,0)+IF(AND(L$8&gt;0,N292=0),L$6,0)+IF(AND(O$8&gt;0,Q292=0),O$6,0)+IF(AND(R$8&gt;0,T292=0),R$6,0)+IF(AND(U$8&gt;0,W292=0),U$6,0)+IF(AND(X$8&gt;0,Z292=0),X$6,0)+IF(AND(AA$8&gt;0,AC292=0),AA$6,0)+IF(AND(AD$8&gt;0,AF292=0),AD$6,0)+IF(AND(AG$8&gt;0,AI292=0),AG$6,0)+IF(AND(AJ$8&gt;0,AL292=0),AJ$6,0),2)</f>
        <v>330</v>
      </c>
      <c r="F293" s="24">
        <f>ROUND(I293+L293+O293+R293+U293+X293+AA293+AD293+AG293+AJ293,2)</f>
        <v>0</v>
      </c>
      <c r="G293" s="24">
        <f>ROUND(J293+M293+P293+S293+V293+Y293+AB293+AE293+AH293+AK293,2)</f>
        <v>0</v>
      </c>
      <c r="H293" s="24">
        <f>ROUND(K293+N293+Q293+T293+W293+Z293+AC293+AF293+AI293+AL293,2)</f>
        <v>0</v>
      </c>
      <c r="I293" s="24">
        <f>IF(K292&gt;0,MIN(ROUND(I$6+IF(I$5=$C293,$E$5+$E293,0),2),ROUND(K292+J293,2)),0)</f>
        <v>0</v>
      </c>
      <c r="J293" s="24">
        <f>IF(K292&gt;0,ROUND(ROUND(K292*100,0)*ROUND(I$7*10000,0)/12000000,0)/100,0)</f>
        <v>0</v>
      </c>
      <c r="K293" s="24">
        <f>IF(K292&gt;0,ROUND(K292+J293-I293,2),0)</f>
        <v>0</v>
      </c>
      <c r="L293" s="24">
        <f>IF(N292&gt;0,MIN(ROUND(L$6+IF(L$5=$C293,$E$5+$E293,0),2),ROUND(N292+M293,2)),0)</f>
        <v>0</v>
      </c>
      <c r="M293" s="24">
        <f>IF(N292&gt;0,ROUND(ROUND(N292*100,0)*ROUND(L$7*10000,0)/12000000,0)/100,0)</f>
        <v>0</v>
      </c>
      <c r="N293" s="24">
        <f>IF(N292&gt;0,ROUND(N292+M293-L293,2),0)</f>
        <v>0</v>
      </c>
      <c r="O293" s="24">
        <f>IF(Q292&gt;0,MIN(ROUND(O$6+IF(O$5=$C293,$E$5+$E293,0),2),ROUND(Q292+P293,2)),0)</f>
        <v>0</v>
      </c>
      <c r="P293" s="24">
        <f>IF(Q292&gt;0,ROUND(ROUND(Q292*100,0)*ROUND(O$7*10000,0)/12000000,0)/100,0)</f>
        <v>0</v>
      </c>
      <c r="Q293" s="24">
        <f>IF(Q292&gt;0,ROUND(Q292+P293-O293,2),0)</f>
        <v>0</v>
      </c>
      <c r="R293" s="24">
        <f>IF(T292&gt;0,MIN(ROUND(R$6+IF(R$5=$C293,$E$5+$E293,0),2),ROUND(T292+S293,2)),0)</f>
        <v>0</v>
      </c>
      <c r="S293" s="24">
        <f>IF(T292&gt;0,ROUND(ROUND(T292*100,0)*ROUND(R$7*10000,0)/12000000,0)/100,0)</f>
        <v>0</v>
      </c>
      <c r="T293" s="24">
        <f>IF(T292&gt;0,ROUND(T292+S293-R293,2),0)</f>
        <v>0</v>
      </c>
      <c r="U293" s="24">
        <f>IF(W292&gt;0,MIN(ROUND(U$6+IF(U$5=$C293,$E$5+$E293,0),2),ROUND(W292+V293,2)),0)</f>
        <v>0</v>
      </c>
      <c r="V293" s="24">
        <f>IF(W292&gt;0,ROUND(ROUND(W292*100,0)*ROUND(U$7*10000,0)/12000000,0)/100,0)</f>
        <v>0</v>
      </c>
      <c r="W293" s="24">
        <f>IF(W292&gt;0,ROUND(W292+V293-U293,2),0)</f>
        <v>0</v>
      </c>
      <c r="X293" s="24">
        <f>IF(Z292&gt;0,MIN(ROUND(X$6+IF(X$5=$C293,$E$5+$E293,0),2),ROUND(Z292+Y293,2)),0)</f>
        <v>0</v>
      </c>
      <c r="Y293" s="24">
        <f>IF(Z292&gt;0,ROUND(ROUND(Z292*100,0)*ROUND(X$7*10000,0)/12000000,0)/100,0)</f>
        <v>0</v>
      </c>
      <c r="Z293" s="24">
        <f>IF(Z292&gt;0,ROUND(Z292+Y293-X293,2),0)</f>
        <v>0</v>
      </c>
      <c r="AA293" s="24">
        <f>IF(AC292&gt;0,MIN(ROUND(AA$6+IF(AA$5=$C293,$E$5+$E293,0),2),ROUND(AC292+AB293,2)),0)</f>
        <v>0</v>
      </c>
      <c r="AB293" s="24">
        <f>IF(AC292&gt;0,ROUND(ROUND(AC292*100,0)*ROUND(AA$7*10000,0)/12000000,0)/100,0)</f>
        <v>0</v>
      </c>
      <c r="AC293" s="24">
        <f>IF(AC292&gt;0,ROUND(AC292+AB293-AA293,2),0)</f>
        <v>0</v>
      </c>
      <c r="AD293" s="24">
        <f>IF(AF292&gt;0,MIN(ROUND(AD$6+IF(AD$5=$C293,$E$5+$E293,0),2),ROUND(AF292+AE293,2)),0)</f>
        <v>0</v>
      </c>
      <c r="AE293" s="24">
        <f>IF(AF292&gt;0,ROUND(ROUND(AF292*100,0)*ROUND(AD$7*10000,0)/12000000,0)/100,0)</f>
        <v>0</v>
      </c>
      <c r="AF293" s="24">
        <f>IF(AF292&gt;0,ROUND(AF292+AE293-AD293,2),0)</f>
        <v>0</v>
      </c>
      <c r="AG293" s="24">
        <f>IF(AI292&gt;0,MIN(ROUND(AG$6+IF(AG$5=$C293,$E$5+$E293,0),2),ROUND(AI292+AH293,2)),0)</f>
        <v>0</v>
      </c>
      <c r="AH293" s="24">
        <f>IF(AI292&gt;0,ROUND(ROUND(AI292*100,0)*ROUND(AG$7*10000,0)/12000000,0)/100,0)</f>
        <v>0</v>
      </c>
      <c r="AI293" s="24">
        <f>IF(AI292&gt;0,ROUND(AI292+AH293-AG293,2),0)</f>
        <v>0</v>
      </c>
      <c r="AJ293" s="24">
        <f>IF(AL292&gt;0,MIN(ROUND(AJ$6+IF(AJ$5=$C293,$E$5+$E293,0),2),ROUND(AL292+AK293,2)),0)</f>
        <v>0</v>
      </c>
      <c r="AK293" s="24">
        <f>IF(AL292&gt;0,ROUND(ROUND(AL292*100,0)*ROUND(AJ$7*10000,0)/12000000,0)/100,0)</f>
        <v>0</v>
      </c>
      <c r="AL293" s="24">
        <f>IF(AL292&gt;0,ROUND(AL292+AK293-AJ293,2),0)</f>
        <v>0</v>
      </c>
    </row>
    <row r="294" spans="1:38" x14ac:dyDescent="0.25">
      <c r="A294" s="17" t="str">
        <f>IF(F294&gt;0,284,"")</f>
        <v/>
      </c>
      <c r="B294" s="18" t="str">
        <f>IF(F294&gt;0,EDATE($E$6,284),"")</f>
        <v/>
      </c>
      <c r="C294" s="21">
        <f>IF(H293&gt;0,MIN(IF(K293&gt;0,I$5,99),IF(N293&gt;0,L$5,99),IF(Q293&gt;0,O$5,99),IF(T293&gt;0,R$5,99),IF(W293&gt;0,U$5,99),IF(Z293&gt;0,X$5,99),IF(AC293&gt;0,AA$5,99),IF(AF293&gt;0,AD$5,99),IF(AI293&gt;0,AG$5,99),IF(AL293&gt;0,AJ$5,99)),0)</f>
        <v>0</v>
      </c>
      <c r="D294" t="str">
        <f>IF(C294&gt;0,INDEX($I$4:$AL$4,1,MATCH(C294,$I$5:$AL$5,0)),"")</f>
        <v/>
      </c>
      <c r="E294" s="24">
        <f>ROUND(IF(AND(I$8&gt;0,K293=0),I$6,0)+IF(AND(L$8&gt;0,N293=0),L$6,0)+IF(AND(O$8&gt;0,Q293=0),O$6,0)+IF(AND(R$8&gt;0,T293=0),R$6,0)+IF(AND(U$8&gt;0,W293=0),U$6,0)+IF(AND(X$8&gt;0,Z293=0),X$6,0)+IF(AND(AA$8&gt;0,AC293=0),AA$6,0)+IF(AND(AD$8&gt;0,AF293=0),AD$6,0)+IF(AND(AG$8&gt;0,AI293=0),AG$6,0)+IF(AND(AJ$8&gt;0,AL293=0),AJ$6,0),2)</f>
        <v>330</v>
      </c>
      <c r="F294" s="24">
        <f>ROUND(I294+L294+O294+R294+U294+X294+AA294+AD294+AG294+AJ294,2)</f>
        <v>0</v>
      </c>
      <c r="G294" s="24">
        <f>ROUND(J294+M294+P294+S294+V294+Y294+AB294+AE294+AH294+AK294,2)</f>
        <v>0</v>
      </c>
      <c r="H294" s="24">
        <f>ROUND(K294+N294+Q294+T294+W294+Z294+AC294+AF294+AI294+AL294,2)</f>
        <v>0</v>
      </c>
      <c r="I294" s="24">
        <f>IF(K293&gt;0,MIN(ROUND(I$6+IF(I$5=$C294,$E$5+$E294,0),2),ROUND(K293+J294,2)),0)</f>
        <v>0</v>
      </c>
      <c r="J294" s="24">
        <f>IF(K293&gt;0,ROUND(ROUND(K293*100,0)*ROUND(I$7*10000,0)/12000000,0)/100,0)</f>
        <v>0</v>
      </c>
      <c r="K294" s="24">
        <f>IF(K293&gt;0,ROUND(K293+J294-I294,2),0)</f>
        <v>0</v>
      </c>
      <c r="L294" s="24">
        <f>IF(N293&gt;0,MIN(ROUND(L$6+IF(L$5=$C294,$E$5+$E294,0),2),ROUND(N293+M294,2)),0)</f>
        <v>0</v>
      </c>
      <c r="M294" s="24">
        <f>IF(N293&gt;0,ROUND(ROUND(N293*100,0)*ROUND(L$7*10000,0)/12000000,0)/100,0)</f>
        <v>0</v>
      </c>
      <c r="N294" s="24">
        <f>IF(N293&gt;0,ROUND(N293+M294-L294,2),0)</f>
        <v>0</v>
      </c>
      <c r="O294" s="24">
        <f>IF(Q293&gt;0,MIN(ROUND(O$6+IF(O$5=$C294,$E$5+$E294,0),2),ROUND(Q293+P294,2)),0)</f>
        <v>0</v>
      </c>
      <c r="P294" s="24">
        <f>IF(Q293&gt;0,ROUND(ROUND(Q293*100,0)*ROUND(O$7*10000,0)/12000000,0)/100,0)</f>
        <v>0</v>
      </c>
      <c r="Q294" s="24">
        <f>IF(Q293&gt;0,ROUND(Q293+P294-O294,2),0)</f>
        <v>0</v>
      </c>
      <c r="R294" s="24">
        <f>IF(T293&gt;0,MIN(ROUND(R$6+IF(R$5=$C294,$E$5+$E294,0),2),ROUND(T293+S294,2)),0)</f>
        <v>0</v>
      </c>
      <c r="S294" s="24">
        <f>IF(T293&gt;0,ROUND(ROUND(T293*100,0)*ROUND(R$7*10000,0)/12000000,0)/100,0)</f>
        <v>0</v>
      </c>
      <c r="T294" s="24">
        <f>IF(T293&gt;0,ROUND(T293+S294-R294,2),0)</f>
        <v>0</v>
      </c>
      <c r="U294" s="24">
        <f>IF(W293&gt;0,MIN(ROUND(U$6+IF(U$5=$C294,$E$5+$E294,0),2),ROUND(W293+V294,2)),0)</f>
        <v>0</v>
      </c>
      <c r="V294" s="24">
        <f>IF(W293&gt;0,ROUND(ROUND(W293*100,0)*ROUND(U$7*10000,0)/12000000,0)/100,0)</f>
        <v>0</v>
      </c>
      <c r="W294" s="24">
        <f>IF(W293&gt;0,ROUND(W293+V294-U294,2),0)</f>
        <v>0</v>
      </c>
      <c r="X294" s="24">
        <f>IF(Z293&gt;0,MIN(ROUND(X$6+IF(X$5=$C294,$E$5+$E294,0),2),ROUND(Z293+Y294,2)),0)</f>
        <v>0</v>
      </c>
      <c r="Y294" s="24">
        <f>IF(Z293&gt;0,ROUND(ROUND(Z293*100,0)*ROUND(X$7*10000,0)/12000000,0)/100,0)</f>
        <v>0</v>
      </c>
      <c r="Z294" s="24">
        <f>IF(Z293&gt;0,ROUND(Z293+Y294-X294,2),0)</f>
        <v>0</v>
      </c>
      <c r="AA294" s="24">
        <f>IF(AC293&gt;0,MIN(ROUND(AA$6+IF(AA$5=$C294,$E$5+$E294,0),2),ROUND(AC293+AB294,2)),0)</f>
        <v>0</v>
      </c>
      <c r="AB294" s="24">
        <f>IF(AC293&gt;0,ROUND(ROUND(AC293*100,0)*ROUND(AA$7*10000,0)/12000000,0)/100,0)</f>
        <v>0</v>
      </c>
      <c r="AC294" s="24">
        <f>IF(AC293&gt;0,ROUND(AC293+AB294-AA294,2),0)</f>
        <v>0</v>
      </c>
      <c r="AD294" s="24">
        <f>IF(AF293&gt;0,MIN(ROUND(AD$6+IF(AD$5=$C294,$E$5+$E294,0),2),ROUND(AF293+AE294,2)),0)</f>
        <v>0</v>
      </c>
      <c r="AE294" s="24">
        <f>IF(AF293&gt;0,ROUND(ROUND(AF293*100,0)*ROUND(AD$7*10000,0)/12000000,0)/100,0)</f>
        <v>0</v>
      </c>
      <c r="AF294" s="24">
        <f>IF(AF293&gt;0,ROUND(AF293+AE294-AD294,2),0)</f>
        <v>0</v>
      </c>
      <c r="AG294" s="24">
        <f>IF(AI293&gt;0,MIN(ROUND(AG$6+IF(AG$5=$C294,$E$5+$E294,0),2),ROUND(AI293+AH294,2)),0)</f>
        <v>0</v>
      </c>
      <c r="AH294" s="24">
        <f>IF(AI293&gt;0,ROUND(ROUND(AI293*100,0)*ROUND(AG$7*10000,0)/12000000,0)/100,0)</f>
        <v>0</v>
      </c>
      <c r="AI294" s="24">
        <f>IF(AI293&gt;0,ROUND(AI293+AH294-AG294,2),0)</f>
        <v>0</v>
      </c>
      <c r="AJ294" s="24">
        <f>IF(AL293&gt;0,MIN(ROUND(AJ$6+IF(AJ$5=$C294,$E$5+$E294,0),2),ROUND(AL293+AK294,2)),0)</f>
        <v>0</v>
      </c>
      <c r="AK294" s="24">
        <f>IF(AL293&gt;0,ROUND(ROUND(AL293*100,0)*ROUND(AJ$7*10000,0)/12000000,0)/100,0)</f>
        <v>0</v>
      </c>
      <c r="AL294" s="24">
        <f>IF(AL293&gt;0,ROUND(AL293+AK294-AJ294,2),0)</f>
        <v>0</v>
      </c>
    </row>
    <row r="295" spans="1:38" x14ac:dyDescent="0.25">
      <c r="A295" s="17" t="str">
        <f>IF(F295&gt;0,285,"")</f>
        <v/>
      </c>
      <c r="B295" s="18" t="str">
        <f>IF(F295&gt;0,EDATE($E$6,285),"")</f>
        <v/>
      </c>
      <c r="C295" s="21">
        <f>IF(H294&gt;0,MIN(IF(K294&gt;0,I$5,99),IF(N294&gt;0,L$5,99),IF(Q294&gt;0,O$5,99),IF(T294&gt;0,R$5,99),IF(W294&gt;0,U$5,99),IF(Z294&gt;0,X$5,99),IF(AC294&gt;0,AA$5,99),IF(AF294&gt;0,AD$5,99),IF(AI294&gt;0,AG$5,99),IF(AL294&gt;0,AJ$5,99)),0)</f>
        <v>0</v>
      </c>
      <c r="D295" t="str">
        <f>IF(C295&gt;0,INDEX($I$4:$AL$4,1,MATCH(C295,$I$5:$AL$5,0)),"")</f>
        <v/>
      </c>
      <c r="E295" s="24">
        <f>ROUND(IF(AND(I$8&gt;0,K294=0),I$6,0)+IF(AND(L$8&gt;0,N294=0),L$6,0)+IF(AND(O$8&gt;0,Q294=0),O$6,0)+IF(AND(R$8&gt;0,T294=0),R$6,0)+IF(AND(U$8&gt;0,W294=0),U$6,0)+IF(AND(X$8&gt;0,Z294=0),X$6,0)+IF(AND(AA$8&gt;0,AC294=0),AA$6,0)+IF(AND(AD$8&gt;0,AF294=0),AD$6,0)+IF(AND(AG$8&gt;0,AI294=0),AG$6,0)+IF(AND(AJ$8&gt;0,AL294=0),AJ$6,0),2)</f>
        <v>330</v>
      </c>
      <c r="F295" s="24">
        <f>ROUND(I295+L295+O295+R295+U295+X295+AA295+AD295+AG295+AJ295,2)</f>
        <v>0</v>
      </c>
      <c r="G295" s="24">
        <f>ROUND(J295+M295+P295+S295+V295+Y295+AB295+AE295+AH295+AK295,2)</f>
        <v>0</v>
      </c>
      <c r="H295" s="24">
        <f>ROUND(K295+N295+Q295+T295+W295+Z295+AC295+AF295+AI295+AL295,2)</f>
        <v>0</v>
      </c>
      <c r="I295" s="24">
        <f>IF(K294&gt;0,MIN(ROUND(I$6+IF(I$5=$C295,$E$5+$E295,0),2),ROUND(K294+J295,2)),0)</f>
        <v>0</v>
      </c>
      <c r="J295" s="24">
        <f>IF(K294&gt;0,ROUND(ROUND(K294*100,0)*ROUND(I$7*10000,0)/12000000,0)/100,0)</f>
        <v>0</v>
      </c>
      <c r="K295" s="24">
        <f>IF(K294&gt;0,ROUND(K294+J295-I295,2),0)</f>
        <v>0</v>
      </c>
      <c r="L295" s="24">
        <f>IF(N294&gt;0,MIN(ROUND(L$6+IF(L$5=$C295,$E$5+$E295,0),2),ROUND(N294+M295,2)),0)</f>
        <v>0</v>
      </c>
      <c r="M295" s="24">
        <f>IF(N294&gt;0,ROUND(ROUND(N294*100,0)*ROUND(L$7*10000,0)/12000000,0)/100,0)</f>
        <v>0</v>
      </c>
      <c r="N295" s="24">
        <f>IF(N294&gt;0,ROUND(N294+M295-L295,2),0)</f>
        <v>0</v>
      </c>
      <c r="O295" s="24">
        <f>IF(Q294&gt;0,MIN(ROUND(O$6+IF(O$5=$C295,$E$5+$E295,0),2),ROUND(Q294+P295,2)),0)</f>
        <v>0</v>
      </c>
      <c r="P295" s="24">
        <f>IF(Q294&gt;0,ROUND(ROUND(Q294*100,0)*ROUND(O$7*10000,0)/12000000,0)/100,0)</f>
        <v>0</v>
      </c>
      <c r="Q295" s="24">
        <f>IF(Q294&gt;0,ROUND(Q294+P295-O295,2),0)</f>
        <v>0</v>
      </c>
      <c r="R295" s="24">
        <f>IF(T294&gt;0,MIN(ROUND(R$6+IF(R$5=$C295,$E$5+$E295,0),2),ROUND(T294+S295,2)),0)</f>
        <v>0</v>
      </c>
      <c r="S295" s="24">
        <f>IF(T294&gt;0,ROUND(ROUND(T294*100,0)*ROUND(R$7*10000,0)/12000000,0)/100,0)</f>
        <v>0</v>
      </c>
      <c r="T295" s="24">
        <f>IF(T294&gt;0,ROUND(T294+S295-R295,2),0)</f>
        <v>0</v>
      </c>
      <c r="U295" s="24">
        <f>IF(W294&gt;0,MIN(ROUND(U$6+IF(U$5=$C295,$E$5+$E295,0),2),ROUND(W294+V295,2)),0)</f>
        <v>0</v>
      </c>
      <c r="V295" s="24">
        <f>IF(W294&gt;0,ROUND(ROUND(W294*100,0)*ROUND(U$7*10000,0)/12000000,0)/100,0)</f>
        <v>0</v>
      </c>
      <c r="W295" s="24">
        <f>IF(W294&gt;0,ROUND(W294+V295-U295,2),0)</f>
        <v>0</v>
      </c>
      <c r="X295" s="24">
        <f>IF(Z294&gt;0,MIN(ROUND(X$6+IF(X$5=$C295,$E$5+$E295,0),2),ROUND(Z294+Y295,2)),0)</f>
        <v>0</v>
      </c>
      <c r="Y295" s="24">
        <f>IF(Z294&gt;0,ROUND(ROUND(Z294*100,0)*ROUND(X$7*10000,0)/12000000,0)/100,0)</f>
        <v>0</v>
      </c>
      <c r="Z295" s="24">
        <f>IF(Z294&gt;0,ROUND(Z294+Y295-X295,2),0)</f>
        <v>0</v>
      </c>
      <c r="AA295" s="24">
        <f>IF(AC294&gt;0,MIN(ROUND(AA$6+IF(AA$5=$C295,$E$5+$E295,0),2),ROUND(AC294+AB295,2)),0)</f>
        <v>0</v>
      </c>
      <c r="AB295" s="24">
        <f>IF(AC294&gt;0,ROUND(ROUND(AC294*100,0)*ROUND(AA$7*10000,0)/12000000,0)/100,0)</f>
        <v>0</v>
      </c>
      <c r="AC295" s="24">
        <f>IF(AC294&gt;0,ROUND(AC294+AB295-AA295,2),0)</f>
        <v>0</v>
      </c>
      <c r="AD295" s="24">
        <f>IF(AF294&gt;0,MIN(ROUND(AD$6+IF(AD$5=$C295,$E$5+$E295,0),2),ROUND(AF294+AE295,2)),0)</f>
        <v>0</v>
      </c>
      <c r="AE295" s="24">
        <f>IF(AF294&gt;0,ROUND(ROUND(AF294*100,0)*ROUND(AD$7*10000,0)/12000000,0)/100,0)</f>
        <v>0</v>
      </c>
      <c r="AF295" s="24">
        <f>IF(AF294&gt;0,ROUND(AF294+AE295-AD295,2),0)</f>
        <v>0</v>
      </c>
      <c r="AG295" s="24">
        <f>IF(AI294&gt;0,MIN(ROUND(AG$6+IF(AG$5=$C295,$E$5+$E295,0),2),ROUND(AI294+AH295,2)),0)</f>
        <v>0</v>
      </c>
      <c r="AH295" s="24">
        <f>IF(AI294&gt;0,ROUND(ROUND(AI294*100,0)*ROUND(AG$7*10000,0)/12000000,0)/100,0)</f>
        <v>0</v>
      </c>
      <c r="AI295" s="24">
        <f>IF(AI294&gt;0,ROUND(AI294+AH295-AG295,2),0)</f>
        <v>0</v>
      </c>
      <c r="AJ295" s="24">
        <f>IF(AL294&gt;0,MIN(ROUND(AJ$6+IF(AJ$5=$C295,$E$5+$E295,0),2),ROUND(AL294+AK295,2)),0)</f>
        <v>0</v>
      </c>
      <c r="AK295" s="24">
        <f>IF(AL294&gt;0,ROUND(ROUND(AL294*100,0)*ROUND(AJ$7*10000,0)/12000000,0)/100,0)</f>
        <v>0</v>
      </c>
      <c r="AL295" s="24">
        <f>IF(AL294&gt;0,ROUND(AL294+AK295-AJ295,2),0)</f>
        <v>0</v>
      </c>
    </row>
    <row r="296" spans="1:38" x14ac:dyDescent="0.25">
      <c r="A296" s="17" t="str">
        <f>IF(F296&gt;0,286,"")</f>
        <v/>
      </c>
      <c r="B296" s="18" t="str">
        <f>IF(F296&gt;0,EDATE($E$6,286),"")</f>
        <v/>
      </c>
      <c r="C296" s="21">
        <f>IF(H295&gt;0,MIN(IF(K295&gt;0,I$5,99),IF(N295&gt;0,L$5,99),IF(Q295&gt;0,O$5,99),IF(T295&gt;0,R$5,99),IF(W295&gt;0,U$5,99),IF(Z295&gt;0,X$5,99),IF(AC295&gt;0,AA$5,99),IF(AF295&gt;0,AD$5,99),IF(AI295&gt;0,AG$5,99),IF(AL295&gt;0,AJ$5,99)),0)</f>
        <v>0</v>
      </c>
      <c r="D296" t="str">
        <f>IF(C296&gt;0,INDEX($I$4:$AL$4,1,MATCH(C296,$I$5:$AL$5,0)),"")</f>
        <v/>
      </c>
      <c r="E296" s="24">
        <f>ROUND(IF(AND(I$8&gt;0,K295=0),I$6,0)+IF(AND(L$8&gt;0,N295=0),L$6,0)+IF(AND(O$8&gt;0,Q295=0),O$6,0)+IF(AND(R$8&gt;0,T295=0),R$6,0)+IF(AND(U$8&gt;0,W295=0),U$6,0)+IF(AND(X$8&gt;0,Z295=0),X$6,0)+IF(AND(AA$8&gt;0,AC295=0),AA$6,0)+IF(AND(AD$8&gt;0,AF295=0),AD$6,0)+IF(AND(AG$8&gt;0,AI295=0),AG$6,0)+IF(AND(AJ$8&gt;0,AL295=0),AJ$6,0),2)</f>
        <v>330</v>
      </c>
      <c r="F296" s="24">
        <f>ROUND(I296+L296+O296+R296+U296+X296+AA296+AD296+AG296+AJ296,2)</f>
        <v>0</v>
      </c>
      <c r="G296" s="24">
        <f>ROUND(J296+M296+P296+S296+V296+Y296+AB296+AE296+AH296+AK296,2)</f>
        <v>0</v>
      </c>
      <c r="H296" s="24">
        <f>ROUND(K296+N296+Q296+T296+W296+Z296+AC296+AF296+AI296+AL296,2)</f>
        <v>0</v>
      </c>
      <c r="I296" s="24">
        <f>IF(K295&gt;0,MIN(ROUND(I$6+IF(I$5=$C296,$E$5+$E296,0),2),ROUND(K295+J296,2)),0)</f>
        <v>0</v>
      </c>
      <c r="J296" s="24">
        <f>IF(K295&gt;0,ROUND(ROUND(K295*100,0)*ROUND(I$7*10000,0)/12000000,0)/100,0)</f>
        <v>0</v>
      </c>
      <c r="K296" s="24">
        <f>IF(K295&gt;0,ROUND(K295+J296-I296,2),0)</f>
        <v>0</v>
      </c>
      <c r="L296" s="24">
        <f>IF(N295&gt;0,MIN(ROUND(L$6+IF(L$5=$C296,$E$5+$E296,0),2),ROUND(N295+M296,2)),0)</f>
        <v>0</v>
      </c>
      <c r="M296" s="24">
        <f>IF(N295&gt;0,ROUND(ROUND(N295*100,0)*ROUND(L$7*10000,0)/12000000,0)/100,0)</f>
        <v>0</v>
      </c>
      <c r="N296" s="24">
        <f>IF(N295&gt;0,ROUND(N295+M296-L296,2),0)</f>
        <v>0</v>
      </c>
      <c r="O296" s="24">
        <f>IF(Q295&gt;0,MIN(ROUND(O$6+IF(O$5=$C296,$E$5+$E296,0),2),ROUND(Q295+P296,2)),0)</f>
        <v>0</v>
      </c>
      <c r="P296" s="24">
        <f>IF(Q295&gt;0,ROUND(ROUND(Q295*100,0)*ROUND(O$7*10000,0)/12000000,0)/100,0)</f>
        <v>0</v>
      </c>
      <c r="Q296" s="24">
        <f>IF(Q295&gt;0,ROUND(Q295+P296-O296,2),0)</f>
        <v>0</v>
      </c>
      <c r="R296" s="24">
        <f>IF(T295&gt;0,MIN(ROUND(R$6+IF(R$5=$C296,$E$5+$E296,0),2),ROUND(T295+S296,2)),0)</f>
        <v>0</v>
      </c>
      <c r="S296" s="24">
        <f>IF(T295&gt;0,ROUND(ROUND(T295*100,0)*ROUND(R$7*10000,0)/12000000,0)/100,0)</f>
        <v>0</v>
      </c>
      <c r="T296" s="24">
        <f>IF(T295&gt;0,ROUND(T295+S296-R296,2),0)</f>
        <v>0</v>
      </c>
      <c r="U296" s="24">
        <f>IF(W295&gt;0,MIN(ROUND(U$6+IF(U$5=$C296,$E$5+$E296,0),2),ROUND(W295+V296,2)),0)</f>
        <v>0</v>
      </c>
      <c r="V296" s="24">
        <f>IF(W295&gt;0,ROUND(ROUND(W295*100,0)*ROUND(U$7*10000,0)/12000000,0)/100,0)</f>
        <v>0</v>
      </c>
      <c r="W296" s="24">
        <f>IF(W295&gt;0,ROUND(W295+V296-U296,2),0)</f>
        <v>0</v>
      </c>
      <c r="X296" s="24">
        <f>IF(Z295&gt;0,MIN(ROUND(X$6+IF(X$5=$C296,$E$5+$E296,0),2),ROUND(Z295+Y296,2)),0)</f>
        <v>0</v>
      </c>
      <c r="Y296" s="24">
        <f>IF(Z295&gt;0,ROUND(ROUND(Z295*100,0)*ROUND(X$7*10000,0)/12000000,0)/100,0)</f>
        <v>0</v>
      </c>
      <c r="Z296" s="24">
        <f>IF(Z295&gt;0,ROUND(Z295+Y296-X296,2),0)</f>
        <v>0</v>
      </c>
      <c r="AA296" s="24">
        <f>IF(AC295&gt;0,MIN(ROUND(AA$6+IF(AA$5=$C296,$E$5+$E296,0),2),ROUND(AC295+AB296,2)),0)</f>
        <v>0</v>
      </c>
      <c r="AB296" s="24">
        <f>IF(AC295&gt;0,ROUND(ROUND(AC295*100,0)*ROUND(AA$7*10000,0)/12000000,0)/100,0)</f>
        <v>0</v>
      </c>
      <c r="AC296" s="24">
        <f>IF(AC295&gt;0,ROUND(AC295+AB296-AA296,2),0)</f>
        <v>0</v>
      </c>
      <c r="AD296" s="24">
        <f>IF(AF295&gt;0,MIN(ROUND(AD$6+IF(AD$5=$C296,$E$5+$E296,0),2),ROUND(AF295+AE296,2)),0)</f>
        <v>0</v>
      </c>
      <c r="AE296" s="24">
        <f>IF(AF295&gt;0,ROUND(ROUND(AF295*100,0)*ROUND(AD$7*10000,0)/12000000,0)/100,0)</f>
        <v>0</v>
      </c>
      <c r="AF296" s="24">
        <f>IF(AF295&gt;0,ROUND(AF295+AE296-AD296,2),0)</f>
        <v>0</v>
      </c>
      <c r="AG296" s="24">
        <f>IF(AI295&gt;0,MIN(ROUND(AG$6+IF(AG$5=$C296,$E$5+$E296,0),2),ROUND(AI295+AH296,2)),0)</f>
        <v>0</v>
      </c>
      <c r="AH296" s="24">
        <f>IF(AI295&gt;0,ROUND(ROUND(AI295*100,0)*ROUND(AG$7*10000,0)/12000000,0)/100,0)</f>
        <v>0</v>
      </c>
      <c r="AI296" s="24">
        <f>IF(AI295&gt;0,ROUND(AI295+AH296-AG296,2),0)</f>
        <v>0</v>
      </c>
      <c r="AJ296" s="24">
        <f>IF(AL295&gt;0,MIN(ROUND(AJ$6+IF(AJ$5=$C296,$E$5+$E296,0),2),ROUND(AL295+AK296,2)),0)</f>
        <v>0</v>
      </c>
      <c r="AK296" s="24">
        <f>IF(AL295&gt;0,ROUND(ROUND(AL295*100,0)*ROUND(AJ$7*10000,0)/12000000,0)/100,0)</f>
        <v>0</v>
      </c>
      <c r="AL296" s="24">
        <f>IF(AL295&gt;0,ROUND(AL295+AK296-AJ296,2),0)</f>
        <v>0</v>
      </c>
    </row>
    <row r="297" spans="1:38" x14ac:dyDescent="0.25">
      <c r="A297" s="17" t="str">
        <f>IF(F297&gt;0,287,"")</f>
        <v/>
      </c>
      <c r="B297" s="18" t="str">
        <f>IF(F297&gt;0,EDATE($E$6,287),"")</f>
        <v/>
      </c>
      <c r="C297" s="21">
        <f>IF(H296&gt;0,MIN(IF(K296&gt;0,I$5,99),IF(N296&gt;0,L$5,99),IF(Q296&gt;0,O$5,99),IF(T296&gt;0,R$5,99),IF(W296&gt;0,U$5,99),IF(Z296&gt;0,X$5,99),IF(AC296&gt;0,AA$5,99),IF(AF296&gt;0,AD$5,99),IF(AI296&gt;0,AG$5,99),IF(AL296&gt;0,AJ$5,99)),0)</f>
        <v>0</v>
      </c>
      <c r="D297" t="str">
        <f>IF(C297&gt;0,INDEX($I$4:$AL$4,1,MATCH(C297,$I$5:$AL$5,0)),"")</f>
        <v/>
      </c>
      <c r="E297" s="24">
        <f>ROUND(IF(AND(I$8&gt;0,K296=0),I$6,0)+IF(AND(L$8&gt;0,N296=0),L$6,0)+IF(AND(O$8&gt;0,Q296=0),O$6,0)+IF(AND(R$8&gt;0,T296=0),R$6,0)+IF(AND(U$8&gt;0,W296=0),U$6,0)+IF(AND(X$8&gt;0,Z296=0),X$6,0)+IF(AND(AA$8&gt;0,AC296=0),AA$6,0)+IF(AND(AD$8&gt;0,AF296=0),AD$6,0)+IF(AND(AG$8&gt;0,AI296=0),AG$6,0)+IF(AND(AJ$8&gt;0,AL296=0),AJ$6,0),2)</f>
        <v>330</v>
      </c>
      <c r="F297" s="24">
        <f>ROUND(I297+L297+O297+R297+U297+X297+AA297+AD297+AG297+AJ297,2)</f>
        <v>0</v>
      </c>
      <c r="G297" s="24">
        <f>ROUND(J297+M297+P297+S297+V297+Y297+AB297+AE297+AH297+AK297,2)</f>
        <v>0</v>
      </c>
      <c r="H297" s="24">
        <f>ROUND(K297+N297+Q297+T297+W297+Z297+AC297+AF297+AI297+AL297,2)</f>
        <v>0</v>
      </c>
      <c r="I297" s="24">
        <f>IF(K296&gt;0,MIN(ROUND(I$6+IF(I$5=$C297,$E$5+$E297,0),2),ROUND(K296+J297,2)),0)</f>
        <v>0</v>
      </c>
      <c r="J297" s="24">
        <f>IF(K296&gt;0,ROUND(ROUND(K296*100,0)*ROUND(I$7*10000,0)/12000000,0)/100,0)</f>
        <v>0</v>
      </c>
      <c r="K297" s="24">
        <f>IF(K296&gt;0,ROUND(K296+J297-I297,2),0)</f>
        <v>0</v>
      </c>
      <c r="L297" s="24">
        <f>IF(N296&gt;0,MIN(ROUND(L$6+IF(L$5=$C297,$E$5+$E297,0),2),ROUND(N296+M297,2)),0)</f>
        <v>0</v>
      </c>
      <c r="M297" s="24">
        <f>IF(N296&gt;0,ROUND(ROUND(N296*100,0)*ROUND(L$7*10000,0)/12000000,0)/100,0)</f>
        <v>0</v>
      </c>
      <c r="N297" s="24">
        <f>IF(N296&gt;0,ROUND(N296+M297-L297,2),0)</f>
        <v>0</v>
      </c>
      <c r="O297" s="24">
        <f>IF(Q296&gt;0,MIN(ROUND(O$6+IF(O$5=$C297,$E$5+$E297,0),2),ROUND(Q296+P297,2)),0)</f>
        <v>0</v>
      </c>
      <c r="P297" s="24">
        <f>IF(Q296&gt;0,ROUND(ROUND(Q296*100,0)*ROUND(O$7*10000,0)/12000000,0)/100,0)</f>
        <v>0</v>
      </c>
      <c r="Q297" s="24">
        <f>IF(Q296&gt;0,ROUND(Q296+P297-O297,2),0)</f>
        <v>0</v>
      </c>
      <c r="R297" s="24">
        <f>IF(T296&gt;0,MIN(ROUND(R$6+IF(R$5=$C297,$E$5+$E297,0),2),ROUND(T296+S297,2)),0)</f>
        <v>0</v>
      </c>
      <c r="S297" s="24">
        <f>IF(T296&gt;0,ROUND(ROUND(T296*100,0)*ROUND(R$7*10000,0)/12000000,0)/100,0)</f>
        <v>0</v>
      </c>
      <c r="T297" s="24">
        <f>IF(T296&gt;0,ROUND(T296+S297-R297,2),0)</f>
        <v>0</v>
      </c>
      <c r="U297" s="24">
        <f>IF(W296&gt;0,MIN(ROUND(U$6+IF(U$5=$C297,$E$5+$E297,0),2),ROUND(W296+V297,2)),0)</f>
        <v>0</v>
      </c>
      <c r="V297" s="24">
        <f>IF(W296&gt;0,ROUND(ROUND(W296*100,0)*ROUND(U$7*10000,0)/12000000,0)/100,0)</f>
        <v>0</v>
      </c>
      <c r="W297" s="24">
        <f>IF(W296&gt;0,ROUND(W296+V297-U297,2),0)</f>
        <v>0</v>
      </c>
      <c r="X297" s="24">
        <f>IF(Z296&gt;0,MIN(ROUND(X$6+IF(X$5=$C297,$E$5+$E297,0),2),ROUND(Z296+Y297,2)),0)</f>
        <v>0</v>
      </c>
      <c r="Y297" s="24">
        <f>IF(Z296&gt;0,ROUND(ROUND(Z296*100,0)*ROUND(X$7*10000,0)/12000000,0)/100,0)</f>
        <v>0</v>
      </c>
      <c r="Z297" s="24">
        <f>IF(Z296&gt;0,ROUND(Z296+Y297-X297,2),0)</f>
        <v>0</v>
      </c>
      <c r="AA297" s="24">
        <f>IF(AC296&gt;0,MIN(ROUND(AA$6+IF(AA$5=$C297,$E$5+$E297,0),2),ROUND(AC296+AB297,2)),0)</f>
        <v>0</v>
      </c>
      <c r="AB297" s="24">
        <f>IF(AC296&gt;0,ROUND(ROUND(AC296*100,0)*ROUND(AA$7*10000,0)/12000000,0)/100,0)</f>
        <v>0</v>
      </c>
      <c r="AC297" s="24">
        <f>IF(AC296&gt;0,ROUND(AC296+AB297-AA297,2),0)</f>
        <v>0</v>
      </c>
      <c r="AD297" s="24">
        <f>IF(AF296&gt;0,MIN(ROUND(AD$6+IF(AD$5=$C297,$E$5+$E297,0),2),ROUND(AF296+AE297,2)),0)</f>
        <v>0</v>
      </c>
      <c r="AE297" s="24">
        <f>IF(AF296&gt;0,ROUND(ROUND(AF296*100,0)*ROUND(AD$7*10000,0)/12000000,0)/100,0)</f>
        <v>0</v>
      </c>
      <c r="AF297" s="24">
        <f>IF(AF296&gt;0,ROUND(AF296+AE297-AD297,2),0)</f>
        <v>0</v>
      </c>
      <c r="AG297" s="24">
        <f>IF(AI296&gt;0,MIN(ROUND(AG$6+IF(AG$5=$C297,$E$5+$E297,0),2),ROUND(AI296+AH297,2)),0)</f>
        <v>0</v>
      </c>
      <c r="AH297" s="24">
        <f>IF(AI296&gt;0,ROUND(ROUND(AI296*100,0)*ROUND(AG$7*10000,0)/12000000,0)/100,0)</f>
        <v>0</v>
      </c>
      <c r="AI297" s="24">
        <f>IF(AI296&gt;0,ROUND(AI296+AH297-AG297,2),0)</f>
        <v>0</v>
      </c>
      <c r="AJ297" s="24">
        <f>IF(AL296&gt;0,MIN(ROUND(AJ$6+IF(AJ$5=$C297,$E$5+$E297,0),2),ROUND(AL296+AK297,2)),0)</f>
        <v>0</v>
      </c>
      <c r="AK297" s="24">
        <f>IF(AL296&gt;0,ROUND(ROUND(AL296*100,0)*ROUND(AJ$7*10000,0)/12000000,0)/100,0)</f>
        <v>0</v>
      </c>
      <c r="AL297" s="24">
        <f>IF(AL296&gt;0,ROUND(AL296+AK297-AJ297,2),0)</f>
        <v>0</v>
      </c>
    </row>
    <row r="298" spans="1:38" x14ac:dyDescent="0.25">
      <c r="A298" s="17" t="str">
        <f>IF(F298&gt;0,288,"")</f>
        <v/>
      </c>
      <c r="B298" s="18" t="str">
        <f>IF(F298&gt;0,EDATE($E$6,288),"")</f>
        <v/>
      </c>
      <c r="C298" s="21">
        <f>IF(H297&gt;0,MIN(IF(K297&gt;0,I$5,99),IF(N297&gt;0,L$5,99),IF(Q297&gt;0,O$5,99),IF(T297&gt;0,R$5,99),IF(W297&gt;0,U$5,99),IF(Z297&gt;0,X$5,99),IF(AC297&gt;0,AA$5,99),IF(AF297&gt;0,AD$5,99),IF(AI297&gt;0,AG$5,99),IF(AL297&gt;0,AJ$5,99)),0)</f>
        <v>0</v>
      </c>
      <c r="D298" t="str">
        <f>IF(C298&gt;0,INDEX($I$4:$AL$4,1,MATCH(C298,$I$5:$AL$5,0)),"")</f>
        <v/>
      </c>
      <c r="E298" s="24">
        <f>ROUND(IF(AND(I$8&gt;0,K297=0),I$6,0)+IF(AND(L$8&gt;0,N297=0),L$6,0)+IF(AND(O$8&gt;0,Q297=0),O$6,0)+IF(AND(R$8&gt;0,T297=0),R$6,0)+IF(AND(U$8&gt;0,W297=0),U$6,0)+IF(AND(X$8&gt;0,Z297=0),X$6,0)+IF(AND(AA$8&gt;0,AC297=0),AA$6,0)+IF(AND(AD$8&gt;0,AF297=0),AD$6,0)+IF(AND(AG$8&gt;0,AI297=0),AG$6,0)+IF(AND(AJ$8&gt;0,AL297=0),AJ$6,0),2)</f>
        <v>330</v>
      </c>
      <c r="F298" s="24">
        <f>ROUND(I298+L298+O298+R298+U298+X298+AA298+AD298+AG298+AJ298,2)</f>
        <v>0</v>
      </c>
      <c r="G298" s="24">
        <f>ROUND(J298+M298+P298+S298+V298+Y298+AB298+AE298+AH298+AK298,2)</f>
        <v>0</v>
      </c>
      <c r="H298" s="24">
        <f>ROUND(K298+N298+Q298+T298+W298+Z298+AC298+AF298+AI298+AL298,2)</f>
        <v>0</v>
      </c>
      <c r="I298" s="24">
        <f>IF(K297&gt;0,MIN(ROUND(I$6+IF(I$5=$C298,$E$5+$E298,0),2),ROUND(K297+J298,2)),0)</f>
        <v>0</v>
      </c>
      <c r="J298" s="24">
        <f>IF(K297&gt;0,ROUND(ROUND(K297*100,0)*ROUND(I$7*10000,0)/12000000,0)/100,0)</f>
        <v>0</v>
      </c>
      <c r="K298" s="24">
        <f>IF(K297&gt;0,ROUND(K297+J298-I298,2),0)</f>
        <v>0</v>
      </c>
      <c r="L298" s="24">
        <f>IF(N297&gt;0,MIN(ROUND(L$6+IF(L$5=$C298,$E$5+$E298,0),2),ROUND(N297+M298,2)),0)</f>
        <v>0</v>
      </c>
      <c r="M298" s="24">
        <f>IF(N297&gt;0,ROUND(ROUND(N297*100,0)*ROUND(L$7*10000,0)/12000000,0)/100,0)</f>
        <v>0</v>
      </c>
      <c r="N298" s="24">
        <f>IF(N297&gt;0,ROUND(N297+M298-L298,2),0)</f>
        <v>0</v>
      </c>
      <c r="O298" s="24">
        <f>IF(Q297&gt;0,MIN(ROUND(O$6+IF(O$5=$C298,$E$5+$E298,0),2),ROUND(Q297+P298,2)),0)</f>
        <v>0</v>
      </c>
      <c r="P298" s="24">
        <f>IF(Q297&gt;0,ROUND(ROUND(Q297*100,0)*ROUND(O$7*10000,0)/12000000,0)/100,0)</f>
        <v>0</v>
      </c>
      <c r="Q298" s="24">
        <f>IF(Q297&gt;0,ROUND(Q297+P298-O298,2),0)</f>
        <v>0</v>
      </c>
      <c r="R298" s="24">
        <f>IF(T297&gt;0,MIN(ROUND(R$6+IF(R$5=$C298,$E$5+$E298,0),2),ROUND(T297+S298,2)),0)</f>
        <v>0</v>
      </c>
      <c r="S298" s="24">
        <f>IF(T297&gt;0,ROUND(ROUND(T297*100,0)*ROUND(R$7*10000,0)/12000000,0)/100,0)</f>
        <v>0</v>
      </c>
      <c r="T298" s="24">
        <f>IF(T297&gt;0,ROUND(T297+S298-R298,2),0)</f>
        <v>0</v>
      </c>
      <c r="U298" s="24">
        <f>IF(W297&gt;0,MIN(ROUND(U$6+IF(U$5=$C298,$E$5+$E298,0),2),ROUND(W297+V298,2)),0)</f>
        <v>0</v>
      </c>
      <c r="V298" s="24">
        <f>IF(W297&gt;0,ROUND(ROUND(W297*100,0)*ROUND(U$7*10000,0)/12000000,0)/100,0)</f>
        <v>0</v>
      </c>
      <c r="W298" s="24">
        <f>IF(W297&gt;0,ROUND(W297+V298-U298,2),0)</f>
        <v>0</v>
      </c>
      <c r="X298" s="24">
        <f>IF(Z297&gt;0,MIN(ROUND(X$6+IF(X$5=$C298,$E$5+$E298,0),2),ROUND(Z297+Y298,2)),0)</f>
        <v>0</v>
      </c>
      <c r="Y298" s="24">
        <f>IF(Z297&gt;0,ROUND(ROUND(Z297*100,0)*ROUND(X$7*10000,0)/12000000,0)/100,0)</f>
        <v>0</v>
      </c>
      <c r="Z298" s="24">
        <f>IF(Z297&gt;0,ROUND(Z297+Y298-X298,2),0)</f>
        <v>0</v>
      </c>
      <c r="AA298" s="24">
        <f>IF(AC297&gt;0,MIN(ROUND(AA$6+IF(AA$5=$C298,$E$5+$E298,0),2),ROUND(AC297+AB298,2)),0)</f>
        <v>0</v>
      </c>
      <c r="AB298" s="24">
        <f>IF(AC297&gt;0,ROUND(ROUND(AC297*100,0)*ROUND(AA$7*10000,0)/12000000,0)/100,0)</f>
        <v>0</v>
      </c>
      <c r="AC298" s="24">
        <f>IF(AC297&gt;0,ROUND(AC297+AB298-AA298,2),0)</f>
        <v>0</v>
      </c>
      <c r="AD298" s="24">
        <f>IF(AF297&gt;0,MIN(ROUND(AD$6+IF(AD$5=$C298,$E$5+$E298,0),2),ROUND(AF297+AE298,2)),0)</f>
        <v>0</v>
      </c>
      <c r="AE298" s="24">
        <f>IF(AF297&gt;0,ROUND(ROUND(AF297*100,0)*ROUND(AD$7*10000,0)/12000000,0)/100,0)</f>
        <v>0</v>
      </c>
      <c r="AF298" s="24">
        <f>IF(AF297&gt;0,ROUND(AF297+AE298-AD298,2),0)</f>
        <v>0</v>
      </c>
      <c r="AG298" s="24">
        <f>IF(AI297&gt;0,MIN(ROUND(AG$6+IF(AG$5=$C298,$E$5+$E298,0),2),ROUND(AI297+AH298,2)),0)</f>
        <v>0</v>
      </c>
      <c r="AH298" s="24">
        <f>IF(AI297&gt;0,ROUND(ROUND(AI297*100,0)*ROUND(AG$7*10000,0)/12000000,0)/100,0)</f>
        <v>0</v>
      </c>
      <c r="AI298" s="24">
        <f>IF(AI297&gt;0,ROUND(AI297+AH298-AG298,2),0)</f>
        <v>0</v>
      </c>
      <c r="AJ298" s="24">
        <f>IF(AL297&gt;0,MIN(ROUND(AJ$6+IF(AJ$5=$C298,$E$5+$E298,0),2),ROUND(AL297+AK298,2)),0)</f>
        <v>0</v>
      </c>
      <c r="AK298" s="24">
        <f>IF(AL297&gt;0,ROUND(ROUND(AL297*100,0)*ROUND(AJ$7*10000,0)/12000000,0)/100,0)</f>
        <v>0</v>
      </c>
      <c r="AL298" s="24">
        <f>IF(AL297&gt;0,ROUND(AL297+AK298-AJ298,2),0)</f>
        <v>0</v>
      </c>
    </row>
    <row r="299" spans="1:38" x14ac:dyDescent="0.25">
      <c r="A299" s="17" t="str">
        <f>IF(F299&gt;0,289,"")</f>
        <v/>
      </c>
      <c r="B299" s="18" t="str">
        <f>IF(F299&gt;0,EDATE($E$6,289),"")</f>
        <v/>
      </c>
      <c r="C299" s="21">
        <f>IF(H298&gt;0,MIN(IF(K298&gt;0,I$5,99),IF(N298&gt;0,L$5,99),IF(Q298&gt;0,O$5,99),IF(T298&gt;0,R$5,99),IF(W298&gt;0,U$5,99),IF(Z298&gt;0,X$5,99),IF(AC298&gt;0,AA$5,99),IF(AF298&gt;0,AD$5,99),IF(AI298&gt;0,AG$5,99),IF(AL298&gt;0,AJ$5,99)),0)</f>
        <v>0</v>
      </c>
      <c r="D299" t="str">
        <f>IF(C299&gt;0,INDEX($I$4:$AL$4,1,MATCH(C299,$I$5:$AL$5,0)),"")</f>
        <v/>
      </c>
      <c r="E299" s="24">
        <f>ROUND(IF(AND(I$8&gt;0,K298=0),I$6,0)+IF(AND(L$8&gt;0,N298=0),L$6,0)+IF(AND(O$8&gt;0,Q298=0),O$6,0)+IF(AND(R$8&gt;0,T298=0),R$6,0)+IF(AND(U$8&gt;0,W298=0),U$6,0)+IF(AND(X$8&gt;0,Z298=0),X$6,0)+IF(AND(AA$8&gt;0,AC298=0),AA$6,0)+IF(AND(AD$8&gt;0,AF298=0),AD$6,0)+IF(AND(AG$8&gt;0,AI298=0),AG$6,0)+IF(AND(AJ$8&gt;0,AL298=0),AJ$6,0),2)</f>
        <v>330</v>
      </c>
      <c r="F299" s="24">
        <f>ROUND(I299+L299+O299+R299+U299+X299+AA299+AD299+AG299+AJ299,2)</f>
        <v>0</v>
      </c>
      <c r="G299" s="24">
        <f>ROUND(J299+M299+P299+S299+V299+Y299+AB299+AE299+AH299+AK299,2)</f>
        <v>0</v>
      </c>
      <c r="H299" s="24">
        <f>ROUND(K299+N299+Q299+T299+W299+Z299+AC299+AF299+AI299+AL299,2)</f>
        <v>0</v>
      </c>
      <c r="I299" s="24">
        <f>IF(K298&gt;0,MIN(ROUND(I$6+IF(I$5=$C299,$E$5+$E299,0),2),ROUND(K298+J299,2)),0)</f>
        <v>0</v>
      </c>
      <c r="J299" s="24">
        <f>IF(K298&gt;0,ROUND(ROUND(K298*100,0)*ROUND(I$7*10000,0)/12000000,0)/100,0)</f>
        <v>0</v>
      </c>
      <c r="K299" s="24">
        <f>IF(K298&gt;0,ROUND(K298+J299-I299,2),0)</f>
        <v>0</v>
      </c>
      <c r="L299" s="24">
        <f>IF(N298&gt;0,MIN(ROUND(L$6+IF(L$5=$C299,$E$5+$E299,0),2),ROUND(N298+M299,2)),0)</f>
        <v>0</v>
      </c>
      <c r="M299" s="24">
        <f>IF(N298&gt;0,ROUND(ROUND(N298*100,0)*ROUND(L$7*10000,0)/12000000,0)/100,0)</f>
        <v>0</v>
      </c>
      <c r="N299" s="24">
        <f>IF(N298&gt;0,ROUND(N298+M299-L299,2),0)</f>
        <v>0</v>
      </c>
      <c r="O299" s="24">
        <f>IF(Q298&gt;0,MIN(ROUND(O$6+IF(O$5=$C299,$E$5+$E299,0),2),ROUND(Q298+P299,2)),0)</f>
        <v>0</v>
      </c>
      <c r="P299" s="24">
        <f>IF(Q298&gt;0,ROUND(ROUND(Q298*100,0)*ROUND(O$7*10000,0)/12000000,0)/100,0)</f>
        <v>0</v>
      </c>
      <c r="Q299" s="24">
        <f>IF(Q298&gt;0,ROUND(Q298+P299-O299,2),0)</f>
        <v>0</v>
      </c>
      <c r="R299" s="24">
        <f>IF(T298&gt;0,MIN(ROUND(R$6+IF(R$5=$C299,$E$5+$E299,0),2),ROUND(T298+S299,2)),0)</f>
        <v>0</v>
      </c>
      <c r="S299" s="24">
        <f>IF(T298&gt;0,ROUND(ROUND(T298*100,0)*ROUND(R$7*10000,0)/12000000,0)/100,0)</f>
        <v>0</v>
      </c>
      <c r="T299" s="24">
        <f>IF(T298&gt;0,ROUND(T298+S299-R299,2),0)</f>
        <v>0</v>
      </c>
      <c r="U299" s="24">
        <f>IF(W298&gt;0,MIN(ROUND(U$6+IF(U$5=$C299,$E$5+$E299,0),2),ROUND(W298+V299,2)),0)</f>
        <v>0</v>
      </c>
      <c r="V299" s="24">
        <f>IF(W298&gt;0,ROUND(ROUND(W298*100,0)*ROUND(U$7*10000,0)/12000000,0)/100,0)</f>
        <v>0</v>
      </c>
      <c r="W299" s="24">
        <f>IF(W298&gt;0,ROUND(W298+V299-U299,2),0)</f>
        <v>0</v>
      </c>
      <c r="X299" s="24">
        <f>IF(Z298&gt;0,MIN(ROUND(X$6+IF(X$5=$C299,$E$5+$E299,0),2),ROUND(Z298+Y299,2)),0)</f>
        <v>0</v>
      </c>
      <c r="Y299" s="24">
        <f>IF(Z298&gt;0,ROUND(ROUND(Z298*100,0)*ROUND(X$7*10000,0)/12000000,0)/100,0)</f>
        <v>0</v>
      </c>
      <c r="Z299" s="24">
        <f>IF(Z298&gt;0,ROUND(Z298+Y299-X299,2),0)</f>
        <v>0</v>
      </c>
      <c r="AA299" s="24">
        <f>IF(AC298&gt;0,MIN(ROUND(AA$6+IF(AA$5=$C299,$E$5+$E299,0),2),ROUND(AC298+AB299,2)),0)</f>
        <v>0</v>
      </c>
      <c r="AB299" s="24">
        <f>IF(AC298&gt;0,ROUND(ROUND(AC298*100,0)*ROUND(AA$7*10000,0)/12000000,0)/100,0)</f>
        <v>0</v>
      </c>
      <c r="AC299" s="24">
        <f>IF(AC298&gt;0,ROUND(AC298+AB299-AA299,2),0)</f>
        <v>0</v>
      </c>
      <c r="AD299" s="24">
        <f>IF(AF298&gt;0,MIN(ROUND(AD$6+IF(AD$5=$C299,$E$5+$E299,0),2),ROUND(AF298+AE299,2)),0)</f>
        <v>0</v>
      </c>
      <c r="AE299" s="24">
        <f>IF(AF298&gt;0,ROUND(ROUND(AF298*100,0)*ROUND(AD$7*10000,0)/12000000,0)/100,0)</f>
        <v>0</v>
      </c>
      <c r="AF299" s="24">
        <f>IF(AF298&gt;0,ROUND(AF298+AE299-AD299,2),0)</f>
        <v>0</v>
      </c>
      <c r="AG299" s="24">
        <f>IF(AI298&gt;0,MIN(ROUND(AG$6+IF(AG$5=$C299,$E$5+$E299,0),2),ROUND(AI298+AH299,2)),0)</f>
        <v>0</v>
      </c>
      <c r="AH299" s="24">
        <f>IF(AI298&gt;0,ROUND(ROUND(AI298*100,0)*ROUND(AG$7*10000,0)/12000000,0)/100,0)</f>
        <v>0</v>
      </c>
      <c r="AI299" s="24">
        <f>IF(AI298&gt;0,ROUND(AI298+AH299-AG299,2),0)</f>
        <v>0</v>
      </c>
      <c r="AJ299" s="24">
        <f>IF(AL298&gt;0,MIN(ROUND(AJ$6+IF(AJ$5=$C299,$E$5+$E299,0),2),ROUND(AL298+AK299,2)),0)</f>
        <v>0</v>
      </c>
      <c r="AK299" s="24">
        <f>IF(AL298&gt;0,ROUND(ROUND(AL298*100,0)*ROUND(AJ$7*10000,0)/12000000,0)/100,0)</f>
        <v>0</v>
      </c>
      <c r="AL299" s="24">
        <f>IF(AL298&gt;0,ROUND(AL298+AK299-AJ299,2),0)</f>
        <v>0</v>
      </c>
    </row>
    <row r="300" spans="1:38" x14ac:dyDescent="0.25">
      <c r="A300" s="17" t="str">
        <f>IF(F300&gt;0,290,"")</f>
        <v/>
      </c>
      <c r="B300" s="18" t="str">
        <f>IF(F300&gt;0,EDATE($E$6,290),"")</f>
        <v/>
      </c>
      <c r="C300" s="21">
        <f>IF(H299&gt;0,MIN(IF(K299&gt;0,I$5,99),IF(N299&gt;0,L$5,99),IF(Q299&gt;0,O$5,99),IF(T299&gt;0,R$5,99),IF(W299&gt;0,U$5,99),IF(Z299&gt;0,X$5,99),IF(AC299&gt;0,AA$5,99),IF(AF299&gt;0,AD$5,99),IF(AI299&gt;0,AG$5,99),IF(AL299&gt;0,AJ$5,99)),0)</f>
        <v>0</v>
      </c>
      <c r="D300" t="str">
        <f>IF(C300&gt;0,INDEX($I$4:$AL$4,1,MATCH(C300,$I$5:$AL$5,0)),"")</f>
        <v/>
      </c>
      <c r="E300" s="24">
        <f>ROUND(IF(AND(I$8&gt;0,K299=0),I$6,0)+IF(AND(L$8&gt;0,N299=0),L$6,0)+IF(AND(O$8&gt;0,Q299=0),O$6,0)+IF(AND(R$8&gt;0,T299=0),R$6,0)+IF(AND(U$8&gt;0,W299=0),U$6,0)+IF(AND(X$8&gt;0,Z299=0),X$6,0)+IF(AND(AA$8&gt;0,AC299=0),AA$6,0)+IF(AND(AD$8&gt;0,AF299=0),AD$6,0)+IF(AND(AG$8&gt;0,AI299=0),AG$6,0)+IF(AND(AJ$8&gt;0,AL299=0),AJ$6,0),2)</f>
        <v>330</v>
      </c>
      <c r="F300" s="24">
        <f>ROUND(I300+L300+O300+R300+U300+X300+AA300+AD300+AG300+AJ300,2)</f>
        <v>0</v>
      </c>
      <c r="G300" s="24">
        <f>ROUND(J300+M300+P300+S300+V300+Y300+AB300+AE300+AH300+AK300,2)</f>
        <v>0</v>
      </c>
      <c r="H300" s="24">
        <f>ROUND(K300+N300+Q300+T300+W300+Z300+AC300+AF300+AI300+AL300,2)</f>
        <v>0</v>
      </c>
      <c r="I300" s="24">
        <f>IF(K299&gt;0,MIN(ROUND(I$6+IF(I$5=$C300,$E$5+$E300,0),2),ROUND(K299+J300,2)),0)</f>
        <v>0</v>
      </c>
      <c r="J300" s="24">
        <f>IF(K299&gt;0,ROUND(ROUND(K299*100,0)*ROUND(I$7*10000,0)/12000000,0)/100,0)</f>
        <v>0</v>
      </c>
      <c r="K300" s="24">
        <f>IF(K299&gt;0,ROUND(K299+J300-I300,2),0)</f>
        <v>0</v>
      </c>
      <c r="L300" s="24">
        <f>IF(N299&gt;0,MIN(ROUND(L$6+IF(L$5=$C300,$E$5+$E300,0),2),ROUND(N299+M300,2)),0)</f>
        <v>0</v>
      </c>
      <c r="M300" s="24">
        <f>IF(N299&gt;0,ROUND(ROUND(N299*100,0)*ROUND(L$7*10000,0)/12000000,0)/100,0)</f>
        <v>0</v>
      </c>
      <c r="N300" s="24">
        <f>IF(N299&gt;0,ROUND(N299+M300-L300,2),0)</f>
        <v>0</v>
      </c>
      <c r="O300" s="24">
        <f>IF(Q299&gt;0,MIN(ROUND(O$6+IF(O$5=$C300,$E$5+$E300,0),2),ROUND(Q299+P300,2)),0)</f>
        <v>0</v>
      </c>
      <c r="P300" s="24">
        <f>IF(Q299&gt;0,ROUND(ROUND(Q299*100,0)*ROUND(O$7*10000,0)/12000000,0)/100,0)</f>
        <v>0</v>
      </c>
      <c r="Q300" s="24">
        <f>IF(Q299&gt;0,ROUND(Q299+P300-O300,2),0)</f>
        <v>0</v>
      </c>
      <c r="R300" s="24">
        <f>IF(T299&gt;0,MIN(ROUND(R$6+IF(R$5=$C300,$E$5+$E300,0),2),ROUND(T299+S300,2)),0)</f>
        <v>0</v>
      </c>
      <c r="S300" s="24">
        <f>IF(T299&gt;0,ROUND(ROUND(T299*100,0)*ROUND(R$7*10000,0)/12000000,0)/100,0)</f>
        <v>0</v>
      </c>
      <c r="T300" s="24">
        <f>IF(T299&gt;0,ROUND(T299+S300-R300,2),0)</f>
        <v>0</v>
      </c>
      <c r="U300" s="24">
        <f>IF(W299&gt;0,MIN(ROUND(U$6+IF(U$5=$C300,$E$5+$E300,0),2),ROUND(W299+V300,2)),0)</f>
        <v>0</v>
      </c>
      <c r="V300" s="24">
        <f>IF(W299&gt;0,ROUND(ROUND(W299*100,0)*ROUND(U$7*10000,0)/12000000,0)/100,0)</f>
        <v>0</v>
      </c>
      <c r="W300" s="24">
        <f>IF(W299&gt;0,ROUND(W299+V300-U300,2),0)</f>
        <v>0</v>
      </c>
      <c r="X300" s="24">
        <f>IF(Z299&gt;0,MIN(ROUND(X$6+IF(X$5=$C300,$E$5+$E300,0),2),ROUND(Z299+Y300,2)),0)</f>
        <v>0</v>
      </c>
      <c r="Y300" s="24">
        <f>IF(Z299&gt;0,ROUND(ROUND(Z299*100,0)*ROUND(X$7*10000,0)/12000000,0)/100,0)</f>
        <v>0</v>
      </c>
      <c r="Z300" s="24">
        <f>IF(Z299&gt;0,ROUND(Z299+Y300-X300,2),0)</f>
        <v>0</v>
      </c>
      <c r="AA300" s="24">
        <f>IF(AC299&gt;0,MIN(ROUND(AA$6+IF(AA$5=$C300,$E$5+$E300,0),2),ROUND(AC299+AB300,2)),0)</f>
        <v>0</v>
      </c>
      <c r="AB300" s="24">
        <f>IF(AC299&gt;0,ROUND(ROUND(AC299*100,0)*ROUND(AA$7*10000,0)/12000000,0)/100,0)</f>
        <v>0</v>
      </c>
      <c r="AC300" s="24">
        <f>IF(AC299&gt;0,ROUND(AC299+AB300-AA300,2),0)</f>
        <v>0</v>
      </c>
      <c r="AD300" s="24">
        <f>IF(AF299&gt;0,MIN(ROUND(AD$6+IF(AD$5=$C300,$E$5+$E300,0),2),ROUND(AF299+AE300,2)),0)</f>
        <v>0</v>
      </c>
      <c r="AE300" s="24">
        <f>IF(AF299&gt;0,ROUND(ROUND(AF299*100,0)*ROUND(AD$7*10000,0)/12000000,0)/100,0)</f>
        <v>0</v>
      </c>
      <c r="AF300" s="24">
        <f>IF(AF299&gt;0,ROUND(AF299+AE300-AD300,2),0)</f>
        <v>0</v>
      </c>
      <c r="AG300" s="24">
        <f>IF(AI299&gt;0,MIN(ROUND(AG$6+IF(AG$5=$C300,$E$5+$E300,0),2),ROUND(AI299+AH300,2)),0)</f>
        <v>0</v>
      </c>
      <c r="AH300" s="24">
        <f>IF(AI299&gt;0,ROUND(ROUND(AI299*100,0)*ROUND(AG$7*10000,0)/12000000,0)/100,0)</f>
        <v>0</v>
      </c>
      <c r="AI300" s="24">
        <f>IF(AI299&gt;0,ROUND(AI299+AH300-AG300,2),0)</f>
        <v>0</v>
      </c>
      <c r="AJ300" s="24">
        <f>IF(AL299&gt;0,MIN(ROUND(AJ$6+IF(AJ$5=$C300,$E$5+$E300,0),2),ROUND(AL299+AK300,2)),0)</f>
        <v>0</v>
      </c>
      <c r="AK300" s="24">
        <f>IF(AL299&gt;0,ROUND(ROUND(AL299*100,0)*ROUND(AJ$7*10000,0)/12000000,0)/100,0)</f>
        <v>0</v>
      </c>
      <c r="AL300" s="24">
        <f>IF(AL299&gt;0,ROUND(AL299+AK300-AJ300,2),0)</f>
        <v>0</v>
      </c>
    </row>
    <row r="301" spans="1:38" x14ac:dyDescent="0.25">
      <c r="A301" s="17" t="str">
        <f>IF(F301&gt;0,291,"")</f>
        <v/>
      </c>
      <c r="B301" s="18" t="str">
        <f>IF(F301&gt;0,EDATE($E$6,291),"")</f>
        <v/>
      </c>
      <c r="C301" s="21">
        <f>IF(H300&gt;0,MIN(IF(K300&gt;0,I$5,99),IF(N300&gt;0,L$5,99),IF(Q300&gt;0,O$5,99),IF(T300&gt;0,R$5,99),IF(W300&gt;0,U$5,99),IF(Z300&gt;0,X$5,99),IF(AC300&gt;0,AA$5,99),IF(AF300&gt;0,AD$5,99),IF(AI300&gt;0,AG$5,99),IF(AL300&gt;0,AJ$5,99)),0)</f>
        <v>0</v>
      </c>
      <c r="D301" t="str">
        <f>IF(C301&gt;0,INDEX($I$4:$AL$4,1,MATCH(C301,$I$5:$AL$5,0)),"")</f>
        <v/>
      </c>
      <c r="E301" s="24">
        <f>ROUND(IF(AND(I$8&gt;0,K300=0),I$6,0)+IF(AND(L$8&gt;0,N300=0),L$6,0)+IF(AND(O$8&gt;0,Q300=0),O$6,0)+IF(AND(R$8&gt;0,T300=0),R$6,0)+IF(AND(U$8&gt;0,W300=0),U$6,0)+IF(AND(X$8&gt;0,Z300=0),X$6,0)+IF(AND(AA$8&gt;0,AC300=0),AA$6,0)+IF(AND(AD$8&gt;0,AF300=0),AD$6,0)+IF(AND(AG$8&gt;0,AI300=0),AG$6,0)+IF(AND(AJ$8&gt;0,AL300=0),AJ$6,0),2)</f>
        <v>330</v>
      </c>
      <c r="F301" s="24">
        <f>ROUND(I301+L301+O301+R301+U301+X301+AA301+AD301+AG301+AJ301,2)</f>
        <v>0</v>
      </c>
      <c r="G301" s="24">
        <f>ROUND(J301+M301+P301+S301+V301+Y301+AB301+AE301+AH301+AK301,2)</f>
        <v>0</v>
      </c>
      <c r="H301" s="24">
        <f>ROUND(K301+N301+Q301+T301+W301+Z301+AC301+AF301+AI301+AL301,2)</f>
        <v>0</v>
      </c>
      <c r="I301" s="24">
        <f>IF(K300&gt;0,MIN(ROUND(I$6+IF(I$5=$C301,$E$5+$E301,0),2),ROUND(K300+J301,2)),0)</f>
        <v>0</v>
      </c>
      <c r="J301" s="24">
        <f>IF(K300&gt;0,ROUND(ROUND(K300*100,0)*ROUND(I$7*10000,0)/12000000,0)/100,0)</f>
        <v>0</v>
      </c>
      <c r="K301" s="24">
        <f>IF(K300&gt;0,ROUND(K300+J301-I301,2),0)</f>
        <v>0</v>
      </c>
      <c r="L301" s="24">
        <f>IF(N300&gt;0,MIN(ROUND(L$6+IF(L$5=$C301,$E$5+$E301,0),2),ROUND(N300+M301,2)),0)</f>
        <v>0</v>
      </c>
      <c r="M301" s="24">
        <f>IF(N300&gt;0,ROUND(ROUND(N300*100,0)*ROUND(L$7*10000,0)/12000000,0)/100,0)</f>
        <v>0</v>
      </c>
      <c r="N301" s="24">
        <f>IF(N300&gt;0,ROUND(N300+M301-L301,2),0)</f>
        <v>0</v>
      </c>
      <c r="O301" s="24">
        <f>IF(Q300&gt;0,MIN(ROUND(O$6+IF(O$5=$C301,$E$5+$E301,0),2),ROUND(Q300+P301,2)),0)</f>
        <v>0</v>
      </c>
      <c r="P301" s="24">
        <f>IF(Q300&gt;0,ROUND(ROUND(Q300*100,0)*ROUND(O$7*10000,0)/12000000,0)/100,0)</f>
        <v>0</v>
      </c>
      <c r="Q301" s="24">
        <f>IF(Q300&gt;0,ROUND(Q300+P301-O301,2),0)</f>
        <v>0</v>
      </c>
      <c r="R301" s="24">
        <f>IF(T300&gt;0,MIN(ROUND(R$6+IF(R$5=$C301,$E$5+$E301,0),2),ROUND(T300+S301,2)),0)</f>
        <v>0</v>
      </c>
      <c r="S301" s="24">
        <f>IF(T300&gt;0,ROUND(ROUND(T300*100,0)*ROUND(R$7*10000,0)/12000000,0)/100,0)</f>
        <v>0</v>
      </c>
      <c r="T301" s="24">
        <f>IF(T300&gt;0,ROUND(T300+S301-R301,2),0)</f>
        <v>0</v>
      </c>
      <c r="U301" s="24">
        <f>IF(W300&gt;0,MIN(ROUND(U$6+IF(U$5=$C301,$E$5+$E301,0),2),ROUND(W300+V301,2)),0)</f>
        <v>0</v>
      </c>
      <c r="V301" s="24">
        <f>IF(W300&gt;0,ROUND(ROUND(W300*100,0)*ROUND(U$7*10000,0)/12000000,0)/100,0)</f>
        <v>0</v>
      </c>
      <c r="W301" s="24">
        <f>IF(W300&gt;0,ROUND(W300+V301-U301,2),0)</f>
        <v>0</v>
      </c>
      <c r="X301" s="24">
        <f>IF(Z300&gt;0,MIN(ROUND(X$6+IF(X$5=$C301,$E$5+$E301,0),2),ROUND(Z300+Y301,2)),0)</f>
        <v>0</v>
      </c>
      <c r="Y301" s="24">
        <f>IF(Z300&gt;0,ROUND(ROUND(Z300*100,0)*ROUND(X$7*10000,0)/12000000,0)/100,0)</f>
        <v>0</v>
      </c>
      <c r="Z301" s="24">
        <f>IF(Z300&gt;0,ROUND(Z300+Y301-X301,2),0)</f>
        <v>0</v>
      </c>
      <c r="AA301" s="24">
        <f>IF(AC300&gt;0,MIN(ROUND(AA$6+IF(AA$5=$C301,$E$5+$E301,0),2),ROUND(AC300+AB301,2)),0)</f>
        <v>0</v>
      </c>
      <c r="AB301" s="24">
        <f>IF(AC300&gt;0,ROUND(ROUND(AC300*100,0)*ROUND(AA$7*10000,0)/12000000,0)/100,0)</f>
        <v>0</v>
      </c>
      <c r="AC301" s="24">
        <f>IF(AC300&gt;0,ROUND(AC300+AB301-AA301,2),0)</f>
        <v>0</v>
      </c>
      <c r="AD301" s="24">
        <f>IF(AF300&gt;0,MIN(ROUND(AD$6+IF(AD$5=$C301,$E$5+$E301,0),2),ROUND(AF300+AE301,2)),0)</f>
        <v>0</v>
      </c>
      <c r="AE301" s="24">
        <f>IF(AF300&gt;0,ROUND(ROUND(AF300*100,0)*ROUND(AD$7*10000,0)/12000000,0)/100,0)</f>
        <v>0</v>
      </c>
      <c r="AF301" s="24">
        <f>IF(AF300&gt;0,ROUND(AF300+AE301-AD301,2),0)</f>
        <v>0</v>
      </c>
      <c r="AG301" s="24">
        <f>IF(AI300&gt;0,MIN(ROUND(AG$6+IF(AG$5=$C301,$E$5+$E301,0),2),ROUND(AI300+AH301,2)),0)</f>
        <v>0</v>
      </c>
      <c r="AH301" s="24">
        <f>IF(AI300&gt;0,ROUND(ROUND(AI300*100,0)*ROUND(AG$7*10000,0)/12000000,0)/100,0)</f>
        <v>0</v>
      </c>
      <c r="AI301" s="24">
        <f>IF(AI300&gt;0,ROUND(AI300+AH301-AG301,2),0)</f>
        <v>0</v>
      </c>
      <c r="AJ301" s="24">
        <f>IF(AL300&gt;0,MIN(ROUND(AJ$6+IF(AJ$5=$C301,$E$5+$E301,0),2),ROUND(AL300+AK301,2)),0)</f>
        <v>0</v>
      </c>
      <c r="AK301" s="24">
        <f>IF(AL300&gt;0,ROUND(ROUND(AL300*100,0)*ROUND(AJ$7*10000,0)/12000000,0)/100,0)</f>
        <v>0</v>
      </c>
      <c r="AL301" s="24">
        <f>IF(AL300&gt;0,ROUND(AL300+AK301-AJ301,2),0)</f>
        <v>0</v>
      </c>
    </row>
    <row r="302" spans="1:38" x14ac:dyDescent="0.25">
      <c r="A302" s="17" t="str">
        <f>IF(F302&gt;0,292,"")</f>
        <v/>
      </c>
      <c r="B302" s="18" t="str">
        <f>IF(F302&gt;0,EDATE($E$6,292),"")</f>
        <v/>
      </c>
      <c r="C302" s="21">
        <f>IF(H301&gt;0,MIN(IF(K301&gt;0,I$5,99),IF(N301&gt;0,L$5,99),IF(Q301&gt;0,O$5,99),IF(T301&gt;0,R$5,99),IF(W301&gt;0,U$5,99),IF(Z301&gt;0,X$5,99),IF(AC301&gt;0,AA$5,99),IF(AF301&gt;0,AD$5,99),IF(AI301&gt;0,AG$5,99),IF(AL301&gt;0,AJ$5,99)),0)</f>
        <v>0</v>
      </c>
      <c r="D302" t="str">
        <f>IF(C302&gt;0,INDEX($I$4:$AL$4,1,MATCH(C302,$I$5:$AL$5,0)),"")</f>
        <v/>
      </c>
      <c r="E302" s="24">
        <f>ROUND(IF(AND(I$8&gt;0,K301=0),I$6,0)+IF(AND(L$8&gt;0,N301=0),L$6,0)+IF(AND(O$8&gt;0,Q301=0),O$6,0)+IF(AND(R$8&gt;0,T301=0),R$6,0)+IF(AND(U$8&gt;0,W301=0),U$6,0)+IF(AND(X$8&gt;0,Z301=0),X$6,0)+IF(AND(AA$8&gt;0,AC301=0),AA$6,0)+IF(AND(AD$8&gt;0,AF301=0),AD$6,0)+IF(AND(AG$8&gt;0,AI301=0),AG$6,0)+IF(AND(AJ$8&gt;0,AL301=0),AJ$6,0),2)</f>
        <v>330</v>
      </c>
      <c r="F302" s="24">
        <f>ROUND(I302+L302+O302+R302+U302+X302+AA302+AD302+AG302+AJ302,2)</f>
        <v>0</v>
      </c>
      <c r="G302" s="24">
        <f>ROUND(J302+M302+P302+S302+V302+Y302+AB302+AE302+AH302+AK302,2)</f>
        <v>0</v>
      </c>
      <c r="H302" s="24">
        <f>ROUND(K302+N302+Q302+T302+W302+Z302+AC302+AF302+AI302+AL302,2)</f>
        <v>0</v>
      </c>
      <c r="I302" s="24">
        <f>IF(K301&gt;0,MIN(ROUND(I$6+IF(I$5=$C302,$E$5+$E302,0),2),ROUND(K301+J302,2)),0)</f>
        <v>0</v>
      </c>
      <c r="J302" s="24">
        <f>IF(K301&gt;0,ROUND(ROUND(K301*100,0)*ROUND(I$7*10000,0)/12000000,0)/100,0)</f>
        <v>0</v>
      </c>
      <c r="K302" s="24">
        <f>IF(K301&gt;0,ROUND(K301+J302-I302,2),0)</f>
        <v>0</v>
      </c>
      <c r="L302" s="24">
        <f>IF(N301&gt;0,MIN(ROUND(L$6+IF(L$5=$C302,$E$5+$E302,0),2),ROUND(N301+M302,2)),0)</f>
        <v>0</v>
      </c>
      <c r="M302" s="24">
        <f>IF(N301&gt;0,ROUND(ROUND(N301*100,0)*ROUND(L$7*10000,0)/12000000,0)/100,0)</f>
        <v>0</v>
      </c>
      <c r="N302" s="24">
        <f>IF(N301&gt;0,ROUND(N301+M302-L302,2),0)</f>
        <v>0</v>
      </c>
      <c r="O302" s="24">
        <f>IF(Q301&gt;0,MIN(ROUND(O$6+IF(O$5=$C302,$E$5+$E302,0),2),ROUND(Q301+P302,2)),0)</f>
        <v>0</v>
      </c>
      <c r="P302" s="24">
        <f>IF(Q301&gt;0,ROUND(ROUND(Q301*100,0)*ROUND(O$7*10000,0)/12000000,0)/100,0)</f>
        <v>0</v>
      </c>
      <c r="Q302" s="24">
        <f>IF(Q301&gt;0,ROUND(Q301+P302-O302,2),0)</f>
        <v>0</v>
      </c>
      <c r="R302" s="24">
        <f>IF(T301&gt;0,MIN(ROUND(R$6+IF(R$5=$C302,$E$5+$E302,0),2),ROUND(T301+S302,2)),0)</f>
        <v>0</v>
      </c>
      <c r="S302" s="24">
        <f>IF(T301&gt;0,ROUND(ROUND(T301*100,0)*ROUND(R$7*10000,0)/12000000,0)/100,0)</f>
        <v>0</v>
      </c>
      <c r="T302" s="24">
        <f>IF(T301&gt;0,ROUND(T301+S302-R302,2),0)</f>
        <v>0</v>
      </c>
      <c r="U302" s="24">
        <f>IF(W301&gt;0,MIN(ROUND(U$6+IF(U$5=$C302,$E$5+$E302,0),2),ROUND(W301+V302,2)),0)</f>
        <v>0</v>
      </c>
      <c r="V302" s="24">
        <f>IF(W301&gt;0,ROUND(ROUND(W301*100,0)*ROUND(U$7*10000,0)/12000000,0)/100,0)</f>
        <v>0</v>
      </c>
      <c r="W302" s="24">
        <f>IF(W301&gt;0,ROUND(W301+V302-U302,2),0)</f>
        <v>0</v>
      </c>
      <c r="X302" s="24">
        <f>IF(Z301&gt;0,MIN(ROUND(X$6+IF(X$5=$C302,$E$5+$E302,0),2),ROUND(Z301+Y302,2)),0)</f>
        <v>0</v>
      </c>
      <c r="Y302" s="24">
        <f>IF(Z301&gt;0,ROUND(ROUND(Z301*100,0)*ROUND(X$7*10000,0)/12000000,0)/100,0)</f>
        <v>0</v>
      </c>
      <c r="Z302" s="24">
        <f>IF(Z301&gt;0,ROUND(Z301+Y302-X302,2),0)</f>
        <v>0</v>
      </c>
      <c r="AA302" s="24">
        <f>IF(AC301&gt;0,MIN(ROUND(AA$6+IF(AA$5=$C302,$E$5+$E302,0),2),ROUND(AC301+AB302,2)),0)</f>
        <v>0</v>
      </c>
      <c r="AB302" s="24">
        <f>IF(AC301&gt;0,ROUND(ROUND(AC301*100,0)*ROUND(AA$7*10000,0)/12000000,0)/100,0)</f>
        <v>0</v>
      </c>
      <c r="AC302" s="24">
        <f>IF(AC301&gt;0,ROUND(AC301+AB302-AA302,2),0)</f>
        <v>0</v>
      </c>
      <c r="AD302" s="24">
        <f>IF(AF301&gt;0,MIN(ROUND(AD$6+IF(AD$5=$C302,$E$5+$E302,0),2),ROUND(AF301+AE302,2)),0)</f>
        <v>0</v>
      </c>
      <c r="AE302" s="24">
        <f>IF(AF301&gt;0,ROUND(ROUND(AF301*100,0)*ROUND(AD$7*10000,0)/12000000,0)/100,0)</f>
        <v>0</v>
      </c>
      <c r="AF302" s="24">
        <f>IF(AF301&gt;0,ROUND(AF301+AE302-AD302,2),0)</f>
        <v>0</v>
      </c>
      <c r="AG302" s="24">
        <f>IF(AI301&gt;0,MIN(ROUND(AG$6+IF(AG$5=$C302,$E$5+$E302,0),2),ROUND(AI301+AH302,2)),0)</f>
        <v>0</v>
      </c>
      <c r="AH302" s="24">
        <f>IF(AI301&gt;0,ROUND(ROUND(AI301*100,0)*ROUND(AG$7*10000,0)/12000000,0)/100,0)</f>
        <v>0</v>
      </c>
      <c r="AI302" s="24">
        <f>IF(AI301&gt;0,ROUND(AI301+AH302-AG302,2),0)</f>
        <v>0</v>
      </c>
      <c r="AJ302" s="24">
        <f>IF(AL301&gt;0,MIN(ROUND(AJ$6+IF(AJ$5=$C302,$E$5+$E302,0),2),ROUND(AL301+AK302,2)),0)</f>
        <v>0</v>
      </c>
      <c r="AK302" s="24">
        <f>IF(AL301&gt;0,ROUND(ROUND(AL301*100,0)*ROUND(AJ$7*10000,0)/12000000,0)/100,0)</f>
        <v>0</v>
      </c>
      <c r="AL302" s="24">
        <f>IF(AL301&gt;0,ROUND(AL301+AK302-AJ302,2),0)</f>
        <v>0</v>
      </c>
    </row>
    <row r="303" spans="1:38" x14ac:dyDescent="0.25">
      <c r="A303" s="17" t="str">
        <f>IF(F303&gt;0,293,"")</f>
        <v/>
      </c>
      <c r="B303" s="18" t="str">
        <f>IF(F303&gt;0,EDATE($E$6,293),"")</f>
        <v/>
      </c>
      <c r="C303" s="21">
        <f>IF(H302&gt;0,MIN(IF(K302&gt;0,I$5,99),IF(N302&gt;0,L$5,99),IF(Q302&gt;0,O$5,99),IF(T302&gt;0,R$5,99),IF(W302&gt;0,U$5,99),IF(Z302&gt;0,X$5,99),IF(AC302&gt;0,AA$5,99),IF(AF302&gt;0,AD$5,99),IF(AI302&gt;0,AG$5,99),IF(AL302&gt;0,AJ$5,99)),0)</f>
        <v>0</v>
      </c>
      <c r="D303" t="str">
        <f>IF(C303&gt;0,INDEX($I$4:$AL$4,1,MATCH(C303,$I$5:$AL$5,0)),"")</f>
        <v/>
      </c>
      <c r="E303" s="24">
        <f>ROUND(IF(AND(I$8&gt;0,K302=0),I$6,0)+IF(AND(L$8&gt;0,N302=0),L$6,0)+IF(AND(O$8&gt;0,Q302=0),O$6,0)+IF(AND(R$8&gt;0,T302=0),R$6,0)+IF(AND(U$8&gt;0,W302=0),U$6,0)+IF(AND(X$8&gt;0,Z302=0),X$6,0)+IF(AND(AA$8&gt;0,AC302=0),AA$6,0)+IF(AND(AD$8&gt;0,AF302=0),AD$6,0)+IF(AND(AG$8&gt;0,AI302=0),AG$6,0)+IF(AND(AJ$8&gt;0,AL302=0),AJ$6,0),2)</f>
        <v>330</v>
      </c>
      <c r="F303" s="24">
        <f>ROUND(I303+L303+O303+R303+U303+X303+AA303+AD303+AG303+AJ303,2)</f>
        <v>0</v>
      </c>
      <c r="G303" s="24">
        <f>ROUND(J303+M303+P303+S303+V303+Y303+AB303+AE303+AH303+AK303,2)</f>
        <v>0</v>
      </c>
      <c r="H303" s="24">
        <f>ROUND(K303+N303+Q303+T303+W303+Z303+AC303+AF303+AI303+AL303,2)</f>
        <v>0</v>
      </c>
      <c r="I303" s="24">
        <f>IF(K302&gt;0,MIN(ROUND(I$6+IF(I$5=$C303,$E$5+$E303,0),2),ROUND(K302+J303,2)),0)</f>
        <v>0</v>
      </c>
      <c r="J303" s="24">
        <f>IF(K302&gt;0,ROUND(ROUND(K302*100,0)*ROUND(I$7*10000,0)/12000000,0)/100,0)</f>
        <v>0</v>
      </c>
      <c r="K303" s="24">
        <f>IF(K302&gt;0,ROUND(K302+J303-I303,2),0)</f>
        <v>0</v>
      </c>
      <c r="L303" s="24">
        <f>IF(N302&gt;0,MIN(ROUND(L$6+IF(L$5=$C303,$E$5+$E303,0),2),ROUND(N302+M303,2)),0)</f>
        <v>0</v>
      </c>
      <c r="M303" s="24">
        <f>IF(N302&gt;0,ROUND(ROUND(N302*100,0)*ROUND(L$7*10000,0)/12000000,0)/100,0)</f>
        <v>0</v>
      </c>
      <c r="N303" s="24">
        <f>IF(N302&gt;0,ROUND(N302+M303-L303,2),0)</f>
        <v>0</v>
      </c>
      <c r="O303" s="24">
        <f>IF(Q302&gt;0,MIN(ROUND(O$6+IF(O$5=$C303,$E$5+$E303,0),2),ROUND(Q302+P303,2)),0)</f>
        <v>0</v>
      </c>
      <c r="P303" s="24">
        <f>IF(Q302&gt;0,ROUND(ROUND(Q302*100,0)*ROUND(O$7*10000,0)/12000000,0)/100,0)</f>
        <v>0</v>
      </c>
      <c r="Q303" s="24">
        <f>IF(Q302&gt;0,ROUND(Q302+P303-O303,2),0)</f>
        <v>0</v>
      </c>
      <c r="R303" s="24">
        <f>IF(T302&gt;0,MIN(ROUND(R$6+IF(R$5=$C303,$E$5+$E303,0),2),ROUND(T302+S303,2)),0)</f>
        <v>0</v>
      </c>
      <c r="S303" s="24">
        <f>IF(T302&gt;0,ROUND(ROUND(T302*100,0)*ROUND(R$7*10000,0)/12000000,0)/100,0)</f>
        <v>0</v>
      </c>
      <c r="T303" s="24">
        <f>IF(T302&gt;0,ROUND(T302+S303-R303,2),0)</f>
        <v>0</v>
      </c>
      <c r="U303" s="24">
        <f>IF(W302&gt;0,MIN(ROUND(U$6+IF(U$5=$C303,$E$5+$E303,0),2),ROUND(W302+V303,2)),0)</f>
        <v>0</v>
      </c>
      <c r="V303" s="24">
        <f>IF(W302&gt;0,ROUND(ROUND(W302*100,0)*ROUND(U$7*10000,0)/12000000,0)/100,0)</f>
        <v>0</v>
      </c>
      <c r="W303" s="24">
        <f>IF(W302&gt;0,ROUND(W302+V303-U303,2),0)</f>
        <v>0</v>
      </c>
      <c r="X303" s="24">
        <f>IF(Z302&gt;0,MIN(ROUND(X$6+IF(X$5=$C303,$E$5+$E303,0),2),ROUND(Z302+Y303,2)),0)</f>
        <v>0</v>
      </c>
      <c r="Y303" s="24">
        <f>IF(Z302&gt;0,ROUND(ROUND(Z302*100,0)*ROUND(X$7*10000,0)/12000000,0)/100,0)</f>
        <v>0</v>
      </c>
      <c r="Z303" s="24">
        <f>IF(Z302&gt;0,ROUND(Z302+Y303-X303,2),0)</f>
        <v>0</v>
      </c>
      <c r="AA303" s="24">
        <f>IF(AC302&gt;0,MIN(ROUND(AA$6+IF(AA$5=$C303,$E$5+$E303,0),2),ROUND(AC302+AB303,2)),0)</f>
        <v>0</v>
      </c>
      <c r="AB303" s="24">
        <f>IF(AC302&gt;0,ROUND(ROUND(AC302*100,0)*ROUND(AA$7*10000,0)/12000000,0)/100,0)</f>
        <v>0</v>
      </c>
      <c r="AC303" s="24">
        <f>IF(AC302&gt;0,ROUND(AC302+AB303-AA303,2),0)</f>
        <v>0</v>
      </c>
      <c r="AD303" s="24">
        <f>IF(AF302&gt;0,MIN(ROUND(AD$6+IF(AD$5=$C303,$E$5+$E303,0),2),ROUND(AF302+AE303,2)),0)</f>
        <v>0</v>
      </c>
      <c r="AE303" s="24">
        <f>IF(AF302&gt;0,ROUND(ROUND(AF302*100,0)*ROUND(AD$7*10000,0)/12000000,0)/100,0)</f>
        <v>0</v>
      </c>
      <c r="AF303" s="24">
        <f>IF(AF302&gt;0,ROUND(AF302+AE303-AD303,2),0)</f>
        <v>0</v>
      </c>
      <c r="AG303" s="24">
        <f>IF(AI302&gt;0,MIN(ROUND(AG$6+IF(AG$5=$C303,$E$5+$E303,0),2),ROUND(AI302+AH303,2)),0)</f>
        <v>0</v>
      </c>
      <c r="AH303" s="24">
        <f>IF(AI302&gt;0,ROUND(ROUND(AI302*100,0)*ROUND(AG$7*10000,0)/12000000,0)/100,0)</f>
        <v>0</v>
      </c>
      <c r="AI303" s="24">
        <f>IF(AI302&gt;0,ROUND(AI302+AH303-AG303,2),0)</f>
        <v>0</v>
      </c>
      <c r="AJ303" s="24">
        <f>IF(AL302&gt;0,MIN(ROUND(AJ$6+IF(AJ$5=$C303,$E$5+$E303,0),2),ROUND(AL302+AK303,2)),0)</f>
        <v>0</v>
      </c>
      <c r="AK303" s="24">
        <f>IF(AL302&gt;0,ROUND(ROUND(AL302*100,0)*ROUND(AJ$7*10000,0)/12000000,0)/100,0)</f>
        <v>0</v>
      </c>
      <c r="AL303" s="24">
        <f>IF(AL302&gt;0,ROUND(AL302+AK303-AJ303,2),0)</f>
        <v>0</v>
      </c>
    </row>
    <row r="304" spans="1:38" x14ac:dyDescent="0.25">
      <c r="A304" s="17" t="str">
        <f>IF(F304&gt;0,294,"")</f>
        <v/>
      </c>
      <c r="B304" s="18" t="str">
        <f>IF(F304&gt;0,EDATE($E$6,294),"")</f>
        <v/>
      </c>
      <c r="C304" s="21">
        <f>IF(H303&gt;0,MIN(IF(K303&gt;0,I$5,99),IF(N303&gt;0,L$5,99),IF(Q303&gt;0,O$5,99),IF(T303&gt;0,R$5,99),IF(W303&gt;0,U$5,99),IF(Z303&gt;0,X$5,99),IF(AC303&gt;0,AA$5,99),IF(AF303&gt;0,AD$5,99),IF(AI303&gt;0,AG$5,99),IF(AL303&gt;0,AJ$5,99)),0)</f>
        <v>0</v>
      </c>
      <c r="D304" t="str">
        <f>IF(C304&gt;0,INDEX($I$4:$AL$4,1,MATCH(C304,$I$5:$AL$5,0)),"")</f>
        <v/>
      </c>
      <c r="E304" s="24">
        <f>ROUND(IF(AND(I$8&gt;0,K303=0),I$6,0)+IF(AND(L$8&gt;0,N303=0),L$6,0)+IF(AND(O$8&gt;0,Q303=0),O$6,0)+IF(AND(R$8&gt;0,T303=0),R$6,0)+IF(AND(U$8&gt;0,W303=0),U$6,0)+IF(AND(X$8&gt;0,Z303=0),X$6,0)+IF(AND(AA$8&gt;0,AC303=0),AA$6,0)+IF(AND(AD$8&gt;0,AF303=0),AD$6,0)+IF(AND(AG$8&gt;0,AI303=0),AG$6,0)+IF(AND(AJ$8&gt;0,AL303=0),AJ$6,0),2)</f>
        <v>330</v>
      </c>
      <c r="F304" s="24">
        <f>ROUND(I304+L304+O304+R304+U304+X304+AA304+AD304+AG304+AJ304,2)</f>
        <v>0</v>
      </c>
      <c r="G304" s="24">
        <f>ROUND(J304+M304+P304+S304+V304+Y304+AB304+AE304+AH304+AK304,2)</f>
        <v>0</v>
      </c>
      <c r="H304" s="24">
        <f>ROUND(K304+N304+Q304+T304+W304+Z304+AC304+AF304+AI304+AL304,2)</f>
        <v>0</v>
      </c>
      <c r="I304" s="24">
        <f>IF(K303&gt;0,MIN(ROUND(I$6+IF(I$5=$C304,$E$5+$E304,0),2),ROUND(K303+J304,2)),0)</f>
        <v>0</v>
      </c>
      <c r="J304" s="24">
        <f>IF(K303&gt;0,ROUND(ROUND(K303*100,0)*ROUND(I$7*10000,0)/12000000,0)/100,0)</f>
        <v>0</v>
      </c>
      <c r="K304" s="24">
        <f>IF(K303&gt;0,ROUND(K303+J304-I304,2),0)</f>
        <v>0</v>
      </c>
      <c r="L304" s="24">
        <f>IF(N303&gt;0,MIN(ROUND(L$6+IF(L$5=$C304,$E$5+$E304,0),2),ROUND(N303+M304,2)),0)</f>
        <v>0</v>
      </c>
      <c r="M304" s="24">
        <f>IF(N303&gt;0,ROUND(ROUND(N303*100,0)*ROUND(L$7*10000,0)/12000000,0)/100,0)</f>
        <v>0</v>
      </c>
      <c r="N304" s="24">
        <f>IF(N303&gt;0,ROUND(N303+M304-L304,2),0)</f>
        <v>0</v>
      </c>
      <c r="O304" s="24">
        <f>IF(Q303&gt;0,MIN(ROUND(O$6+IF(O$5=$C304,$E$5+$E304,0),2),ROUND(Q303+P304,2)),0)</f>
        <v>0</v>
      </c>
      <c r="P304" s="24">
        <f>IF(Q303&gt;0,ROUND(ROUND(Q303*100,0)*ROUND(O$7*10000,0)/12000000,0)/100,0)</f>
        <v>0</v>
      </c>
      <c r="Q304" s="24">
        <f>IF(Q303&gt;0,ROUND(Q303+P304-O304,2),0)</f>
        <v>0</v>
      </c>
      <c r="R304" s="24">
        <f>IF(T303&gt;0,MIN(ROUND(R$6+IF(R$5=$C304,$E$5+$E304,0),2),ROUND(T303+S304,2)),0)</f>
        <v>0</v>
      </c>
      <c r="S304" s="24">
        <f>IF(T303&gt;0,ROUND(ROUND(T303*100,0)*ROUND(R$7*10000,0)/12000000,0)/100,0)</f>
        <v>0</v>
      </c>
      <c r="T304" s="24">
        <f>IF(T303&gt;0,ROUND(T303+S304-R304,2),0)</f>
        <v>0</v>
      </c>
      <c r="U304" s="24">
        <f>IF(W303&gt;0,MIN(ROUND(U$6+IF(U$5=$C304,$E$5+$E304,0),2),ROUND(W303+V304,2)),0)</f>
        <v>0</v>
      </c>
      <c r="V304" s="24">
        <f>IF(W303&gt;0,ROUND(ROUND(W303*100,0)*ROUND(U$7*10000,0)/12000000,0)/100,0)</f>
        <v>0</v>
      </c>
      <c r="W304" s="24">
        <f>IF(W303&gt;0,ROUND(W303+V304-U304,2),0)</f>
        <v>0</v>
      </c>
      <c r="X304" s="24">
        <f>IF(Z303&gt;0,MIN(ROUND(X$6+IF(X$5=$C304,$E$5+$E304,0),2),ROUND(Z303+Y304,2)),0)</f>
        <v>0</v>
      </c>
      <c r="Y304" s="24">
        <f>IF(Z303&gt;0,ROUND(ROUND(Z303*100,0)*ROUND(X$7*10000,0)/12000000,0)/100,0)</f>
        <v>0</v>
      </c>
      <c r="Z304" s="24">
        <f>IF(Z303&gt;0,ROUND(Z303+Y304-X304,2),0)</f>
        <v>0</v>
      </c>
      <c r="AA304" s="24">
        <f>IF(AC303&gt;0,MIN(ROUND(AA$6+IF(AA$5=$C304,$E$5+$E304,0),2),ROUND(AC303+AB304,2)),0)</f>
        <v>0</v>
      </c>
      <c r="AB304" s="24">
        <f>IF(AC303&gt;0,ROUND(ROUND(AC303*100,0)*ROUND(AA$7*10000,0)/12000000,0)/100,0)</f>
        <v>0</v>
      </c>
      <c r="AC304" s="24">
        <f>IF(AC303&gt;0,ROUND(AC303+AB304-AA304,2),0)</f>
        <v>0</v>
      </c>
      <c r="AD304" s="24">
        <f>IF(AF303&gt;0,MIN(ROUND(AD$6+IF(AD$5=$C304,$E$5+$E304,0),2),ROUND(AF303+AE304,2)),0)</f>
        <v>0</v>
      </c>
      <c r="AE304" s="24">
        <f>IF(AF303&gt;0,ROUND(ROUND(AF303*100,0)*ROUND(AD$7*10000,0)/12000000,0)/100,0)</f>
        <v>0</v>
      </c>
      <c r="AF304" s="24">
        <f>IF(AF303&gt;0,ROUND(AF303+AE304-AD304,2),0)</f>
        <v>0</v>
      </c>
      <c r="AG304" s="24">
        <f>IF(AI303&gt;0,MIN(ROUND(AG$6+IF(AG$5=$C304,$E$5+$E304,0),2),ROUND(AI303+AH304,2)),0)</f>
        <v>0</v>
      </c>
      <c r="AH304" s="24">
        <f>IF(AI303&gt;0,ROUND(ROUND(AI303*100,0)*ROUND(AG$7*10000,0)/12000000,0)/100,0)</f>
        <v>0</v>
      </c>
      <c r="AI304" s="24">
        <f>IF(AI303&gt;0,ROUND(AI303+AH304-AG304,2),0)</f>
        <v>0</v>
      </c>
      <c r="AJ304" s="24">
        <f>IF(AL303&gt;0,MIN(ROUND(AJ$6+IF(AJ$5=$C304,$E$5+$E304,0),2),ROUND(AL303+AK304,2)),0)</f>
        <v>0</v>
      </c>
      <c r="AK304" s="24">
        <f>IF(AL303&gt;0,ROUND(ROUND(AL303*100,0)*ROUND(AJ$7*10000,0)/12000000,0)/100,0)</f>
        <v>0</v>
      </c>
      <c r="AL304" s="24">
        <f>IF(AL303&gt;0,ROUND(AL303+AK304-AJ304,2),0)</f>
        <v>0</v>
      </c>
    </row>
    <row r="305" spans="1:38" x14ac:dyDescent="0.25">
      <c r="A305" s="17" t="str">
        <f>IF(F305&gt;0,295,"")</f>
        <v/>
      </c>
      <c r="B305" s="18" t="str">
        <f>IF(F305&gt;0,EDATE($E$6,295),"")</f>
        <v/>
      </c>
      <c r="C305" s="21">
        <f>IF(H304&gt;0,MIN(IF(K304&gt;0,I$5,99),IF(N304&gt;0,L$5,99),IF(Q304&gt;0,O$5,99),IF(T304&gt;0,R$5,99),IF(W304&gt;0,U$5,99),IF(Z304&gt;0,X$5,99),IF(AC304&gt;0,AA$5,99),IF(AF304&gt;0,AD$5,99),IF(AI304&gt;0,AG$5,99),IF(AL304&gt;0,AJ$5,99)),0)</f>
        <v>0</v>
      </c>
      <c r="D305" t="str">
        <f>IF(C305&gt;0,INDEX($I$4:$AL$4,1,MATCH(C305,$I$5:$AL$5,0)),"")</f>
        <v/>
      </c>
      <c r="E305" s="24">
        <f>ROUND(IF(AND(I$8&gt;0,K304=0),I$6,0)+IF(AND(L$8&gt;0,N304=0),L$6,0)+IF(AND(O$8&gt;0,Q304=0),O$6,0)+IF(AND(R$8&gt;0,T304=0),R$6,0)+IF(AND(U$8&gt;0,W304=0),U$6,0)+IF(AND(X$8&gt;0,Z304=0),X$6,0)+IF(AND(AA$8&gt;0,AC304=0),AA$6,0)+IF(AND(AD$8&gt;0,AF304=0),AD$6,0)+IF(AND(AG$8&gt;0,AI304=0),AG$6,0)+IF(AND(AJ$8&gt;0,AL304=0),AJ$6,0),2)</f>
        <v>330</v>
      </c>
      <c r="F305" s="24">
        <f>ROUND(I305+L305+O305+R305+U305+X305+AA305+AD305+AG305+AJ305,2)</f>
        <v>0</v>
      </c>
      <c r="G305" s="24">
        <f>ROUND(J305+M305+P305+S305+V305+Y305+AB305+AE305+AH305+AK305,2)</f>
        <v>0</v>
      </c>
      <c r="H305" s="24">
        <f>ROUND(K305+N305+Q305+T305+W305+Z305+AC305+AF305+AI305+AL305,2)</f>
        <v>0</v>
      </c>
      <c r="I305" s="24">
        <f>IF(K304&gt;0,MIN(ROUND(I$6+IF(I$5=$C305,$E$5+$E305,0),2),ROUND(K304+J305,2)),0)</f>
        <v>0</v>
      </c>
      <c r="J305" s="24">
        <f>IF(K304&gt;0,ROUND(ROUND(K304*100,0)*ROUND(I$7*10000,0)/12000000,0)/100,0)</f>
        <v>0</v>
      </c>
      <c r="K305" s="24">
        <f>IF(K304&gt;0,ROUND(K304+J305-I305,2),0)</f>
        <v>0</v>
      </c>
      <c r="L305" s="24">
        <f>IF(N304&gt;0,MIN(ROUND(L$6+IF(L$5=$C305,$E$5+$E305,0),2),ROUND(N304+M305,2)),0)</f>
        <v>0</v>
      </c>
      <c r="M305" s="24">
        <f>IF(N304&gt;0,ROUND(ROUND(N304*100,0)*ROUND(L$7*10000,0)/12000000,0)/100,0)</f>
        <v>0</v>
      </c>
      <c r="N305" s="24">
        <f>IF(N304&gt;0,ROUND(N304+M305-L305,2),0)</f>
        <v>0</v>
      </c>
      <c r="O305" s="24">
        <f>IF(Q304&gt;0,MIN(ROUND(O$6+IF(O$5=$C305,$E$5+$E305,0),2),ROUND(Q304+P305,2)),0)</f>
        <v>0</v>
      </c>
      <c r="P305" s="24">
        <f>IF(Q304&gt;0,ROUND(ROUND(Q304*100,0)*ROUND(O$7*10000,0)/12000000,0)/100,0)</f>
        <v>0</v>
      </c>
      <c r="Q305" s="24">
        <f>IF(Q304&gt;0,ROUND(Q304+P305-O305,2),0)</f>
        <v>0</v>
      </c>
      <c r="R305" s="24">
        <f>IF(T304&gt;0,MIN(ROUND(R$6+IF(R$5=$C305,$E$5+$E305,0),2),ROUND(T304+S305,2)),0)</f>
        <v>0</v>
      </c>
      <c r="S305" s="24">
        <f>IF(T304&gt;0,ROUND(ROUND(T304*100,0)*ROUND(R$7*10000,0)/12000000,0)/100,0)</f>
        <v>0</v>
      </c>
      <c r="T305" s="24">
        <f>IF(T304&gt;0,ROUND(T304+S305-R305,2),0)</f>
        <v>0</v>
      </c>
      <c r="U305" s="24">
        <f>IF(W304&gt;0,MIN(ROUND(U$6+IF(U$5=$C305,$E$5+$E305,0),2),ROUND(W304+V305,2)),0)</f>
        <v>0</v>
      </c>
      <c r="V305" s="24">
        <f>IF(W304&gt;0,ROUND(ROUND(W304*100,0)*ROUND(U$7*10000,0)/12000000,0)/100,0)</f>
        <v>0</v>
      </c>
      <c r="W305" s="24">
        <f>IF(W304&gt;0,ROUND(W304+V305-U305,2),0)</f>
        <v>0</v>
      </c>
      <c r="X305" s="24">
        <f>IF(Z304&gt;0,MIN(ROUND(X$6+IF(X$5=$C305,$E$5+$E305,0),2),ROUND(Z304+Y305,2)),0)</f>
        <v>0</v>
      </c>
      <c r="Y305" s="24">
        <f>IF(Z304&gt;0,ROUND(ROUND(Z304*100,0)*ROUND(X$7*10000,0)/12000000,0)/100,0)</f>
        <v>0</v>
      </c>
      <c r="Z305" s="24">
        <f>IF(Z304&gt;0,ROUND(Z304+Y305-X305,2),0)</f>
        <v>0</v>
      </c>
      <c r="AA305" s="24">
        <f>IF(AC304&gt;0,MIN(ROUND(AA$6+IF(AA$5=$C305,$E$5+$E305,0),2),ROUND(AC304+AB305,2)),0)</f>
        <v>0</v>
      </c>
      <c r="AB305" s="24">
        <f>IF(AC304&gt;0,ROUND(ROUND(AC304*100,0)*ROUND(AA$7*10000,0)/12000000,0)/100,0)</f>
        <v>0</v>
      </c>
      <c r="AC305" s="24">
        <f>IF(AC304&gt;0,ROUND(AC304+AB305-AA305,2),0)</f>
        <v>0</v>
      </c>
      <c r="AD305" s="24">
        <f>IF(AF304&gt;0,MIN(ROUND(AD$6+IF(AD$5=$C305,$E$5+$E305,0),2),ROUND(AF304+AE305,2)),0)</f>
        <v>0</v>
      </c>
      <c r="AE305" s="24">
        <f>IF(AF304&gt;0,ROUND(ROUND(AF304*100,0)*ROUND(AD$7*10000,0)/12000000,0)/100,0)</f>
        <v>0</v>
      </c>
      <c r="AF305" s="24">
        <f>IF(AF304&gt;0,ROUND(AF304+AE305-AD305,2),0)</f>
        <v>0</v>
      </c>
      <c r="AG305" s="24">
        <f>IF(AI304&gt;0,MIN(ROUND(AG$6+IF(AG$5=$C305,$E$5+$E305,0),2),ROUND(AI304+AH305,2)),0)</f>
        <v>0</v>
      </c>
      <c r="AH305" s="24">
        <f>IF(AI304&gt;0,ROUND(ROUND(AI304*100,0)*ROUND(AG$7*10000,0)/12000000,0)/100,0)</f>
        <v>0</v>
      </c>
      <c r="AI305" s="24">
        <f>IF(AI304&gt;0,ROUND(AI304+AH305-AG305,2),0)</f>
        <v>0</v>
      </c>
      <c r="AJ305" s="24">
        <f>IF(AL304&gt;0,MIN(ROUND(AJ$6+IF(AJ$5=$C305,$E$5+$E305,0),2),ROUND(AL304+AK305,2)),0)</f>
        <v>0</v>
      </c>
      <c r="AK305" s="24">
        <f>IF(AL304&gt;0,ROUND(ROUND(AL304*100,0)*ROUND(AJ$7*10000,0)/12000000,0)/100,0)</f>
        <v>0</v>
      </c>
      <c r="AL305" s="24">
        <f>IF(AL304&gt;0,ROUND(AL304+AK305-AJ305,2),0)</f>
        <v>0</v>
      </c>
    </row>
    <row r="306" spans="1:38" x14ac:dyDescent="0.25">
      <c r="A306" s="17" t="str">
        <f>IF(F306&gt;0,296,"")</f>
        <v/>
      </c>
      <c r="B306" s="18" t="str">
        <f>IF(F306&gt;0,EDATE($E$6,296),"")</f>
        <v/>
      </c>
      <c r="C306" s="21">
        <f>IF(H305&gt;0,MIN(IF(K305&gt;0,I$5,99),IF(N305&gt;0,L$5,99),IF(Q305&gt;0,O$5,99),IF(T305&gt;0,R$5,99),IF(W305&gt;0,U$5,99),IF(Z305&gt;0,X$5,99),IF(AC305&gt;0,AA$5,99),IF(AF305&gt;0,AD$5,99),IF(AI305&gt;0,AG$5,99),IF(AL305&gt;0,AJ$5,99)),0)</f>
        <v>0</v>
      </c>
      <c r="D306" t="str">
        <f>IF(C306&gt;0,INDEX($I$4:$AL$4,1,MATCH(C306,$I$5:$AL$5,0)),"")</f>
        <v/>
      </c>
      <c r="E306" s="24">
        <f>ROUND(IF(AND(I$8&gt;0,K305=0),I$6,0)+IF(AND(L$8&gt;0,N305=0),L$6,0)+IF(AND(O$8&gt;0,Q305=0),O$6,0)+IF(AND(R$8&gt;0,T305=0),R$6,0)+IF(AND(U$8&gt;0,W305=0),U$6,0)+IF(AND(X$8&gt;0,Z305=0),X$6,0)+IF(AND(AA$8&gt;0,AC305=0),AA$6,0)+IF(AND(AD$8&gt;0,AF305=0),AD$6,0)+IF(AND(AG$8&gt;0,AI305=0),AG$6,0)+IF(AND(AJ$8&gt;0,AL305=0),AJ$6,0),2)</f>
        <v>330</v>
      </c>
      <c r="F306" s="24">
        <f>ROUND(I306+L306+O306+R306+U306+X306+AA306+AD306+AG306+AJ306,2)</f>
        <v>0</v>
      </c>
      <c r="G306" s="24">
        <f>ROUND(J306+M306+P306+S306+V306+Y306+AB306+AE306+AH306+AK306,2)</f>
        <v>0</v>
      </c>
      <c r="H306" s="24">
        <f>ROUND(K306+N306+Q306+T306+W306+Z306+AC306+AF306+AI306+AL306,2)</f>
        <v>0</v>
      </c>
      <c r="I306" s="24">
        <f>IF(K305&gt;0,MIN(ROUND(I$6+IF(I$5=$C306,$E$5+$E306,0),2),ROUND(K305+J306,2)),0)</f>
        <v>0</v>
      </c>
      <c r="J306" s="24">
        <f>IF(K305&gt;0,ROUND(ROUND(K305*100,0)*ROUND(I$7*10000,0)/12000000,0)/100,0)</f>
        <v>0</v>
      </c>
      <c r="K306" s="24">
        <f>IF(K305&gt;0,ROUND(K305+J306-I306,2),0)</f>
        <v>0</v>
      </c>
      <c r="L306" s="24">
        <f>IF(N305&gt;0,MIN(ROUND(L$6+IF(L$5=$C306,$E$5+$E306,0),2),ROUND(N305+M306,2)),0)</f>
        <v>0</v>
      </c>
      <c r="M306" s="24">
        <f>IF(N305&gt;0,ROUND(ROUND(N305*100,0)*ROUND(L$7*10000,0)/12000000,0)/100,0)</f>
        <v>0</v>
      </c>
      <c r="N306" s="24">
        <f>IF(N305&gt;0,ROUND(N305+M306-L306,2),0)</f>
        <v>0</v>
      </c>
      <c r="O306" s="24">
        <f>IF(Q305&gt;0,MIN(ROUND(O$6+IF(O$5=$C306,$E$5+$E306,0),2),ROUND(Q305+P306,2)),0)</f>
        <v>0</v>
      </c>
      <c r="P306" s="24">
        <f>IF(Q305&gt;0,ROUND(ROUND(Q305*100,0)*ROUND(O$7*10000,0)/12000000,0)/100,0)</f>
        <v>0</v>
      </c>
      <c r="Q306" s="24">
        <f>IF(Q305&gt;0,ROUND(Q305+P306-O306,2),0)</f>
        <v>0</v>
      </c>
      <c r="R306" s="24">
        <f>IF(T305&gt;0,MIN(ROUND(R$6+IF(R$5=$C306,$E$5+$E306,0),2),ROUND(T305+S306,2)),0)</f>
        <v>0</v>
      </c>
      <c r="S306" s="24">
        <f>IF(T305&gt;0,ROUND(ROUND(T305*100,0)*ROUND(R$7*10000,0)/12000000,0)/100,0)</f>
        <v>0</v>
      </c>
      <c r="T306" s="24">
        <f>IF(T305&gt;0,ROUND(T305+S306-R306,2),0)</f>
        <v>0</v>
      </c>
      <c r="U306" s="24">
        <f>IF(W305&gt;0,MIN(ROUND(U$6+IF(U$5=$C306,$E$5+$E306,0),2),ROUND(W305+V306,2)),0)</f>
        <v>0</v>
      </c>
      <c r="V306" s="24">
        <f>IF(W305&gt;0,ROUND(ROUND(W305*100,0)*ROUND(U$7*10000,0)/12000000,0)/100,0)</f>
        <v>0</v>
      </c>
      <c r="W306" s="24">
        <f>IF(W305&gt;0,ROUND(W305+V306-U306,2),0)</f>
        <v>0</v>
      </c>
      <c r="X306" s="24">
        <f>IF(Z305&gt;0,MIN(ROUND(X$6+IF(X$5=$C306,$E$5+$E306,0),2),ROUND(Z305+Y306,2)),0)</f>
        <v>0</v>
      </c>
      <c r="Y306" s="24">
        <f>IF(Z305&gt;0,ROUND(ROUND(Z305*100,0)*ROUND(X$7*10000,0)/12000000,0)/100,0)</f>
        <v>0</v>
      </c>
      <c r="Z306" s="24">
        <f>IF(Z305&gt;0,ROUND(Z305+Y306-X306,2),0)</f>
        <v>0</v>
      </c>
      <c r="AA306" s="24">
        <f>IF(AC305&gt;0,MIN(ROUND(AA$6+IF(AA$5=$C306,$E$5+$E306,0),2),ROUND(AC305+AB306,2)),0)</f>
        <v>0</v>
      </c>
      <c r="AB306" s="24">
        <f>IF(AC305&gt;0,ROUND(ROUND(AC305*100,0)*ROUND(AA$7*10000,0)/12000000,0)/100,0)</f>
        <v>0</v>
      </c>
      <c r="AC306" s="24">
        <f>IF(AC305&gt;0,ROUND(AC305+AB306-AA306,2),0)</f>
        <v>0</v>
      </c>
      <c r="AD306" s="24">
        <f>IF(AF305&gt;0,MIN(ROUND(AD$6+IF(AD$5=$C306,$E$5+$E306,0),2),ROUND(AF305+AE306,2)),0)</f>
        <v>0</v>
      </c>
      <c r="AE306" s="24">
        <f>IF(AF305&gt;0,ROUND(ROUND(AF305*100,0)*ROUND(AD$7*10000,0)/12000000,0)/100,0)</f>
        <v>0</v>
      </c>
      <c r="AF306" s="24">
        <f>IF(AF305&gt;0,ROUND(AF305+AE306-AD306,2),0)</f>
        <v>0</v>
      </c>
      <c r="AG306" s="24">
        <f>IF(AI305&gt;0,MIN(ROUND(AG$6+IF(AG$5=$C306,$E$5+$E306,0),2),ROUND(AI305+AH306,2)),0)</f>
        <v>0</v>
      </c>
      <c r="AH306" s="24">
        <f>IF(AI305&gt;0,ROUND(ROUND(AI305*100,0)*ROUND(AG$7*10000,0)/12000000,0)/100,0)</f>
        <v>0</v>
      </c>
      <c r="AI306" s="24">
        <f>IF(AI305&gt;0,ROUND(AI305+AH306-AG306,2),0)</f>
        <v>0</v>
      </c>
      <c r="AJ306" s="24">
        <f>IF(AL305&gt;0,MIN(ROUND(AJ$6+IF(AJ$5=$C306,$E$5+$E306,0),2),ROUND(AL305+AK306,2)),0)</f>
        <v>0</v>
      </c>
      <c r="AK306" s="24">
        <f>IF(AL305&gt;0,ROUND(ROUND(AL305*100,0)*ROUND(AJ$7*10000,0)/12000000,0)/100,0)</f>
        <v>0</v>
      </c>
      <c r="AL306" s="24">
        <f>IF(AL305&gt;0,ROUND(AL305+AK306-AJ306,2),0)</f>
        <v>0</v>
      </c>
    </row>
    <row r="307" spans="1:38" x14ac:dyDescent="0.25">
      <c r="A307" s="17" t="str">
        <f>IF(F307&gt;0,297,"")</f>
        <v/>
      </c>
      <c r="B307" s="18" t="str">
        <f>IF(F307&gt;0,EDATE($E$6,297),"")</f>
        <v/>
      </c>
      <c r="C307" s="21">
        <f>IF(H306&gt;0,MIN(IF(K306&gt;0,I$5,99),IF(N306&gt;0,L$5,99),IF(Q306&gt;0,O$5,99),IF(T306&gt;0,R$5,99),IF(W306&gt;0,U$5,99),IF(Z306&gt;0,X$5,99),IF(AC306&gt;0,AA$5,99),IF(AF306&gt;0,AD$5,99),IF(AI306&gt;0,AG$5,99),IF(AL306&gt;0,AJ$5,99)),0)</f>
        <v>0</v>
      </c>
      <c r="D307" t="str">
        <f>IF(C307&gt;0,INDEX($I$4:$AL$4,1,MATCH(C307,$I$5:$AL$5,0)),"")</f>
        <v/>
      </c>
      <c r="E307" s="24">
        <f>ROUND(IF(AND(I$8&gt;0,K306=0),I$6,0)+IF(AND(L$8&gt;0,N306=0),L$6,0)+IF(AND(O$8&gt;0,Q306=0),O$6,0)+IF(AND(R$8&gt;0,T306=0),R$6,0)+IF(AND(U$8&gt;0,W306=0),U$6,0)+IF(AND(X$8&gt;0,Z306=0),X$6,0)+IF(AND(AA$8&gt;0,AC306=0),AA$6,0)+IF(AND(AD$8&gt;0,AF306=0),AD$6,0)+IF(AND(AG$8&gt;0,AI306=0),AG$6,0)+IF(AND(AJ$8&gt;0,AL306=0),AJ$6,0),2)</f>
        <v>330</v>
      </c>
      <c r="F307" s="24">
        <f>ROUND(I307+L307+O307+R307+U307+X307+AA307+AD307+AG307+AJ307,2)</f>
        <v>0</v>
      </c>
      <c r="G307" s="24">
        <f>ROUND(J307+M307+P307+S307+V307+Y307+AB307+AE307+AH307+AK307,2)</f>
        <v>0</v>
      </c>
      <c r="H307" s="24">
        <f>ROUND(K307+N307+Q307+T307+W307+Z307+AC307+AF307+AI307+AL307,2)</f>
        <v>0</v>
      </c>
      <c r="I307" s="24">
        <f>IF(K306&gt;0,MIN(ROUND(I$6+IF(I$5=$C307,$E$5+$E307,0),2),ROUND(K306+J307,2)),0)</f>
        <v>0</v>
      </c>
      <c r="J307" s="24">
        <f>IF(K306&gt;0,ROUND(ROUND(K306*100,0)*ROUND(I$7*10000,0)/12000000,0)/100,0)</f>
        <v>0</v>
      </c>
      <c r="K307" s="24">
        <f>IF(K306&gt;0,ROUND(K306+J307-I307,2),0)</f>
        <v>0</v>
      </c>
      <c r="L307" s="24">
        <f>IF(N306&gt;0,MIN(ROUND(L$6+IF(L$5=$C307,$E$5+$E307,0),2),ROUND(N306+M307,2)),0)</f>
        <v>0</v>
      </c>
      <c r="M307" s="24">
        <f>IF(N306&gt;0,ROUND(ROUND(N306*100,0)*ROUND(L$7*10000,0)/12000000,0)/100,0)</f>
        <v>0</v>
      </c>
      <c r="N307" s="24">
        <f>IF(N306&gt;0,ROUND(N306+M307-L307,2),0)</f>
        <v>0</v>
      </c>
      <c r="O307" s="24">
        <f>IF(Q306&gt;0,MIN(ROUND(O$6+IF(O$5=$C307,$E$5+$E307,0),2),ROUND(Q306+P307,2)),0)</f>
        <v>0</v>
      </c>
      <c r="P307" s="24">
        <f>IF(Q306&gt;0,ROUND(ROUND(Q306*100,0)*ROUND(O$7*10000,0)/12000000,0)/100,0)</f>
        <v>0</v>
      </c>
      <c r="Q307" s="24">
        <f>IF(Q306&gt;0,ROUND(Q306+P307-O307,2),0)</f>
        <v>0</v>
      </c>
      <c r="R307" s="24">
        <f>IF(T306&gt;0,MIN(ROUND(R$6+IF(R$5=$C307,$E$5+$E307,0),2),ROUND(T306+S307,2)),0)</f>
        <v>0</v>
      </c>
      <c r="S307" s="24">
        <f>IF(T306&gt;0,ROUND(ROUND(T306*100,0)*ROUND(R$7*10000,0)/12000000,0)/100,0)</f>
        <v>0</v>
      </c>
      <c r="T307" s="24">
        <f>IF(T306&gt;0,ROUND(T306+S307-R307,2),0)</f>
        <v>0</v>
      </c>
      <c r="U307" s="24">
        <f>IF(W306&gt;0,MIN(ROUND(U$6+IF(U$5=$C307,$E$5+$E307,0),2),ROUND(W306+V307,2)),0)</f>
        <v>0</v>
      </c>
      <c r="V307" s="24">
        <f>IF(W306&gt;0,ROUND(ROUND(W306*100,0)*ROUND(U$7*10000,0)/12000000,0)/100,0)</f>
        <v>0</v>
      </c>
      <c r="W307" s="24">
        <f>IF(W306&gt;0,ROUND(W306+V307-U307,2),0)</f>
        <v>0</v>
      </c>
      <c r="X307" s="24">
        <f>IF(Z306&gt;0,MIN(ROUND(X$6+IF(X$5=$C307,$E$5+$E307,0),2),ROUND(Z306+Y307,2)),0)</f>
        <v>0</v>
      </c>
      <c r="Y307" s="24">
        <f>IF(Z306&gt;0,ROUND(ROUND(Z306*100,0)*ROUND(X$7*10000,0)/12000000,0)/100,0)</f>
        <v>0</v>
      </c>
      <c r="Z307" s="24">
        <f>IF(Z306&gt;0,ROUND(Z306+Y307-X307,2),0)</f>
        <v>0</v>
      </c>
      <c r="AA307" s="24">
        <f>IF(AC306&gt;0,MIN(ROUND(AA$6+IF(AA$5=$C307,$E$5+$E307,0),2),ROUND(AC306+AB307,2)),0)</f>
        <v>0</v>
      </c>
      <c r="AB307" s="24">
        <f>IF(AC306&gt;0,ROUND(ROUND(AC306*100,0)*ROUND(AA$7*10000,0)/12000000,0)/100,0)</f>
        <v>0</v>
      </c>
      <c r="AC307" s="24">
        <f>IF(AC306&gt;0,ROUND(AC306+AB307-AA307,2),0)</f>
        <v>0</v>
      </c>
      <c r="AD307" s="24">
        <f>IF(AF306&gt;0,MIN(ROUND(AD$6+IF(AD$5=$C307,$E$5+$E307,0),2),ROUND(AF306+AE307,2)),0)</f>
        <v>0</v>
      </c>
      <c r="AE307" s="24">
        <f>IF(AF306&gt;0,ROUND(ROUND(AF306*100,0)*ROUND(AD$7*10000,0)/12000000,0)/100,0)</f>
        <v>0</v>
      </c>
      <c r="AF307" s="24">
        <f>IF(AF306&gt;0,ROUND(AF306+AE307-AD307,2),0)</f>
        <v>0</v>
      </c>
      <c r="AG307" s="24">
        <f>IF(AI306&gt;0,MIN(ROUND(AG$6+IF(AG$5=$C307,$E$5+$E307,0),2),ROUND(AI306+AH307,2)),0)</f>
        <v>0</v>
      </c>
      <c r="AH307" s="24">
        <f>IF(AI306&gt;0,ROUND(ROUND(AI306*100,0)*ROUND(AG$7*10000,0)/12000000,0)/100,0)</f>
        <v>0</v>
      </c>
      <c r="AI307" s="24">
        <f>IF(AI306&gt;0,ROUND(AI306+AH307-AG307,2),0)</f>
        <v>0</v>
      </c>
      <c r="AJ307" s="24">
        <f>IF(AL306&gt;0,MIN(ROUND(AJ$6+IF(AJ$5=$C307,$E$5+$E307,0),2),ROUND(AL306+AK307,2)),0)</f>
        <v>0</v>
      </c>
      <c r="AK307" s="24">
        <f>IF(AL306&gt;0,ROUND(ROUND(AL306*100,0)*ROUND(AJ$7*10000,0)/12000000,0)/100,0)</f>
        <v>0</v>
      </c>
      <c r="AL307" s="24">
        <f>IF(AL306&gt;0,ROUND(AL306+AK307-AJ307,2),0)</f>
        <v>0</v>
      </c>
    </row>
    <row r="308" spans="1:38" x14ac:dyDescent="0.25">
      <c r="A308" s="17" t="str">
        <f>IF(F308&gt;0,298,"")</f>
        <v/>
      </c>
      <c r="B308" s="18" t="str">
        <f>IF(F308&gt;0,EDATE($E$6,298),"")</f>
        <v/>
      </c>
      <c r="C308" s="21">
        <f>IF(H307&gt;0,MIN(IF(K307&gt;0,I$5,99),IF(N307&gt;0,L$5,99),IF(Q307&gt;0,O$5,99),IF(T307&gt;0,R$5,99),IF(W307&gt;0,U$5,99),IF(Z307&gt;0,X$5,99),IF(AC307&gt;0,AA$5,99),IF(AF307&gt;0,AD$5,99),IF(AI307&gt;0,AG$5,99),IF(AL307&gt;0,AJ$5,99)),0)</f>
        <v>0</v>
      </c>
      <c r="D308" t="str">
        <f>IF(C308&gt;0,INDEX($I$4:$AL$4,1,MATCH(C308,$I$5:$AL$5,0)),"")</f>
        <v/>
      </c>
      <c r="E308" s="24">
        <f>ROUND(IF(AND(I$8&gt;0,K307=0),I$6,0)+IF(AND(L$8&gt;0,N307=0),L$6,0)+IF(AND(O$8&gt;0,Q307=0),O$6,0)+IF(AND(R$8&gt;0,T307=0),R$6,0)+IF(AND(U$8&gt;0,W307=0),U$6,0)+IF(AND(X$8&gt;0,Z307=0),X$6,0)+IF(AND(AA$8&gt;0,AC307=0),AA$6,0)+IF(AND(AD$8&gt;0,AF307=0),AD$6,0)+IF(AND(AG$8&gt;0,AI307=0),AG$6,0)+IF(AND(AJ$8&gt;0,AL307=0),AJ$6,0),2)</f>
        <v>330</v>
      </c>
      <c r="F308" s="24">
        <f>ROUND(I308+L308+O308+R308+U308+X308+AA308+AD308+AG308+AJ308,2)</f>
        <v>0</v>
      </c>
      <c r="G308" s="24">
        <f>ROUND(J308+M308+P308+S308+V308+Y308+AB308+AE308+AH308+AK308,2)</f>
        <v>0</v>
      </c>
      <c r="H308" s="24">
        <f>ROUND(K308+N308+Q308+T308+W308+Z308+AC308+AF308+AI308+AL308,2)</f>
        <v>0</v>
      </c>
      <c r="I308" s="24">
        <f>IF(K307&gt;0,MIN(ROUND(I$6+IF(I$5=$C308,$E$5+$E308,0),2),ROUND(K307+J308,2)),0)</f>
        <v>0</v>
      </c>
      <c r="J308" s="24">
        <f>IF(K307&gt;0,ROUND(ROUND(K307*100,0)*ROUND(I$7*10000,0)/12000000,0)/100,0)</f>
        <v>0</v>
      </c>
      <c r="K308" s="24">
        <f>IF(K307&gt;0,ROUND(K307+J308-I308,2),0)</f>
        <v>0</v>
      </c>
      <c r="L308" s="24">
        <f>IF(N307&gt;0,MIN(ROUND(L$6+IF(L$5=$C308,$E$5+$E308,0),2),ROUND(N307+M308,2)),0)</f>
        <v>0</v>
      </c>
      <c r="M308" s="24">
        <f>IF(N307&gt;0,ROUND(ROUND(N307*100,0)*ROUND(L$7*10000,0)/12000000,0)/100,0)</f>
        <v>0</v>
      </c>
      <c r="N308" s="24">
        <f>IF(N307&gt;0,ROUND(N307+M308-L308,2),0)</f>
        <v>0</v>
      </c>
      <c r="O308" s="24">
        <f>IF(Q307&gt;0,MIN(ROUND(O$6+IF(O$5=$C308,$E$5+$E308,0),2),ROUND(Q307+P308,2)),0)</f>
        <v>0</v>
      </c>
      <c r="P308" s="24">
        <f>IF(Q307&gt;0,ROUND(ROUND(Q307*100,0)*ROUND(O$7*10000,0)/12000000,0)/100,0)</f>
        <v>0</v>
      </c>
      <c r="Q308" s="24">
        <f>IF(Q307&gt;0,ROUND(Q307+P308-O308,2),0)</f>
        <v>0</v>
      </c>
      <c r="R308" s="24">
        <f>IF(T307&gt;0,MIN(ROUND(R$6+IF(R$5=$C308,$E$5+$E308,0),2),ROUND(T307+S308,2)),0)</f>
        <v>0</v>
      </c>
      <c r="S308" s="24">
        <f>IF(T307&gt;0,ROUND(ROUND(T307*100,0)*ROUND(R$7*10000,0)/12000000,0)/100,0)</f>
        <v>0</v>
      </c>
      <c r="T308" s="24">
        <f>IF(T307&gt;0,ROUND(T307+S308-R308,2),0)</f>
        <v>0</v>
      </c>
      <c r="U308" s="24">
        <f>IF(W307&gt;0,MIN(ROUND(U$6+IF(U$5=$C308,$E$5+$E308,0),2),ROUND(W307+V308,2)),0)</f>
        <v>0</v>
      </c>
      <c r="V308" s="24">
        <f>IF(W307&gt;0,ROUND(ROUND(W307*100,0)*ROUND(U$7*10000,0)/12000000,0)/100,0)</f>
        <v>0</v>
      </c>
      <c r="W308" s="24">
        <f>IF(W307&gt;0,ROUND(W307+V308-U308,2),0)</f>
        <v>0</v>
      </c>
      <c r="X308" s="24">
        <f>IF(Z307&gt;0,MIN(ROUND(X$6+IF(X$5=$C308,$E$5+$E308,0),2),ROUND(Z307+Y308,2)),0)</f>
        <v>0</v>
      </c>
      <c r="Y308" s="24">
        <f>IF(Z307&gt;0,ROUND(ROUND(Z307*100,0)*ROUND(X$7*10000,0)/12000000,0)/100,0)</f>
        <v>0</v>
      </c>
      <c r="Z308" s="24">
        <f>IF(Z307&gt;0,ROUND(Z307+Y308-X308,2),0)</f>
        <v>0</v>
      </c>
      <c r="AA308" s="24">
        <f>IF(AC307&gt;0,MIN(ROUND(AA$6+IF(AA$5=$C308,$E$5+$E308,0),2),ROUND(AC307+AB308,2)),0)</f>
        <v>0</v>
      </c>
      <c r="AB308" s="24">
        <f>IF(AC307&gt;0,ROUND(ROUND(AC307*100,0)*ROUND(AA$7*10000,0)/12000000,0)/100,0)</f>
        <v>0</v>
      </c>
      <c r="AC308" s="24">
        <f>IF(AC307&gt;0,ROUND(AC307+AB308-AA308,2),0)</f>
        <v>0</v>
      </c>
      <c r="AD308" s="24">
        <f>IF(AF307&gt;0,MIN(ROUND(AD$6+IF(AD$5=$C308,$E$5+$E308,0),2),ROUND(AF307+AE308,2)),0)</f>
        <v>0</v>
      </c>
      <c r="AE308" s="24">
        <f>IF(AF307&gt;0,ROUND(ROUND(AF307*100,0)*ROUND(AD$7*10000,0)/12000000,0)/100,0)</f>
        <v>0</v>
      </c>
      <c r="AF308" s="24">
        <f>IF(AF307&gt;0,ROUND(AF307+AE308-AD308,2),0)</f>
        <v>0</v>
      </c>
      <c r="AG308" s="24">
        <f>IF(AI307&gt;0,MIN(ROUND(AG$6+IF(AG$5=$C308,$E$5+$E308,0),2),ROUND(AI307+AH308,2)),0)</f>
        <v>0</v>
      </c>
      <c r="AH308" s="24">
        <f>IF(AI307&gt;0,ROUND(ROUND(AI307*100,0)*ROUND(AG$7*10000,0)/12000000,0)/100,0)</f>
        <v>0</v>
      </c>
      <c r="AI308" s="24">
        <f>IF(AI307&gt;0,ROUND(AI307+AH308-AG308,2),0)</f>
        <v>0</v>
      </c>
      <c r="AJ308" s="24">
        <f>IF(AL307&gt;0,MIN(ROUND(AJ$6+IF(AJ$5=$C308,$E$5+$E308,0),2),ROUND(AL307+AK308,2)),0)</f>
        <v>0</v>
      </c>
      <c r="AK308" s="24">
        <f>IF(AL307&gt;0,ROUND(ROUND(AL307*100,0)*ROUND(AJ$7*10000,0)/12000000,0)/100,0)</f>
        <v>0</v>
      </c>
      <c r="AL308" s="24">
        <f>IF(AL307&gt;0,ROUND(AL307+AK308-AJ308,2),0)</f>
        <v>0</v>
      </c>
    </row>
    <row r="309" spans="1:38" x14ac:dyDescent="0.25">
      <c r="A309" s="17" t="str">
        <f>IF(F309&gt;0,299,"")</f>
        <v/>
      </c>
      <c r="B309" s="18" t="str">
        <f>IF(F309&gt;0,EDATE($E$6,299),"")</f>
        <v/>
      </c>
      <c r="C309" s="21">
        <f>IF(H308&gt;0,MIN(IF(K308&gt;0,I$5,99),IF(N308&gt;0,L$5,99),IF(Q308&gt;0,O$5,99),IF(T308&gt;0,R$5,99),IF(W308&gt;0,U$5,99),IF(Z308&gt;0,X$5,99),IF(AC308&gt;0,AA$5,99),IF(AF308&gt;0,AD$5,99),IF(AI308&gt;0,AG$5,99),IF(AL308&gt;0,AJ$5,99)),0)</f>
        <v>0</v>
      </c>
      <c r="D309" t="str">
        <f>IF(C309&gt;0,INDEX($I$4:$AL$4,1,MATCH(C309,$I$5:$AL$5,0)),"")</f>
        <v/>
      </c>
      <c r="E309" s="24">
        <f>ROUND(IF(AND(I$8&gt;0,K308=0),I$6,0)+IF(AND(L$8&gt;0,N308=0),L$6,0)+IF(AND(O$8&gt;0,Q308=0),O$6,0)+IF(AND(R$8&gt;0,T308=0),R$6,0)+IF(AND(U$8&gt;0,W308=0),U$6,0)+IF(AND(X$8&gt;0,Z308=0),X$6,0)+IF(AND(AA$8&gt;0,AC308=0),AA$6,0)+IF(AND(AD$8&gt;0,AF308=0),AD$6,0)+IF(AND(AG$8&gt;0,AI308=0),AG$6,0)+IF(AND(AJ$8&gt;0,AL308=0),AJ$6,0),2)</f>
        <v>330</v>
      </c>
      <c r="F309" s="24">
        <f>ROUND(I309+L309+O309+R309+U309+X309+AA309+AD309+AG309+AJ309,2)</f>
        <v>0</v>
      </c>
      <c r="G309" s="24">
        <f>ROUND(J309+M309+P309+S309+V309+Y309+AB309+AE309+AH309+AK309,2)</f>
        <v>0</v>
      </c>
      <c r="H309" s="24">
        <f>ROUND(K309+N309+Q309+T309+W309+Z309+AC309+AF309+AI309+AL309,2)</f>
        <v>0</v>
      </c>
      <c r="I309" s="24">
        <f>IF(K308&gt;0,MIN(ROUND(I$6+IF(I$5=$C309,$E$5+$E309,0),2),ROUND(K308+J309,2)),0)</f>
        <v>0</v>
      </c>
      <c r="J309" s="24">
        <f>IF(K308&gt;0,ROUND(ROUND(K308*100,0)*ROUND(I$7*10000,0)/12000000,0)/100,0)</f>
        <v>0</v>
      </c>
      <c r="K309" s="24">
        <f>IF(K308&gt;0,ROUND(K308+J309-I309,2),0)</f>
        <v>0</v>
      </c>
      <c r="L309" s="24">
        <f>IF(N308&gt;0,MIN(ROUND(L$6+IF(L$5=$C309,$E$5+$E309,0),2),ROUND(N308+M309,2)),0)</f>
        <v>0</v>
      </c>
      <c r="M309" s="24">
        <f>IF(N308&gt;0,ROUND(ROUND(N308*100,0)*ROUND(L$7*10000,0)/12000000,0)/100,0)</f>
        <v>0</v>
      </c>
      <c r="N309" s="24">
        <f>IF(N308&gt;0,ROUND(N308+M309-L309,2),0)</f>
        <v>0</v>
      </c>
      <c r="O309" s="24">
        <f>IF(Q308&gt;0,MIN(ROUND(O$6+IF(O$5=$C309,$E$5+$E309,0),2),ROUND(Q308+P309,2)),0)</f>
        <v>0</v>
      </c>
      <c r="P309" s="24">
        <f>IF(Q308&gt;0,ROUND(ROUND(Q308*100,0)*ROUND(O$7*10000,0)/12000000,0)/100,0)</f>
        <v>0</v>
      </c>
      <c r="Q309" s="24">
        <f>IF(Q308&gt;0,ROUND(Q308+P309-O309,2),0)</f>
        <v>0</v>
      </c>
      <c r="R309" s="24">
        <f>IF(T308&gt;0,MIN(ROUND(R$6+IF(R$5=$C309,$E$5+$E309,0),2),ROUND(T308+S309,2)),0)</f>
        <v>0</v>
      </c>
      <c r="S309" s="24">
        <f>IF(T308&gt;0,ROUND(ROUND(T308*100,0)*ROUND(R$7*10000,0)/12000000,0)/100,0)</f>
        <v>0</v>
      </c>
      <c r="T309" s="24">
        <f>IF(T308&gt;0,ROUND(T308+S309-R309,2),0)</f>
        <v>0</v>
      </c>
      <c r="U309" s="24">
        <f>IF(W308&gt;0,MIN(ROUND(U$6+IF(U$5=$C309,$E$5+$E309,0),2),ROUND(W308+V309,2)),0)</f>
        <v>0</v>
      </c>
      <c r="V309" s="24">
        <f>IF(W308&gt;0,ROUND(ROUND(W308*100,0)*ROUND(U$7*10000,0)/12000000,0)/100,0)</f>
        <v>0</v>
      </c>
      <c r="W309" s="24">
        <f>IF(W308&gt;0,ROUND(W308+V309-U309,2),0)</f>
        <v>0</v>
      </c>
      <c r="X309" s="24">
        <f>IF(Z308&gt;0,MIN(ROUND(X$6+IF(X$5=$C309,$E$5+$E309,0),2),ROUND(Z308+Y309,2)),0)</f>
        <v>0</v>
      </c>
      <c r="Y309" s="24">
        <f>IF(Z308&gt;0,ROUND(ROUND(Z308*100,0)*ROUND(X$7*10000,0)/12000000,0)/100,0)</f>
        <v>0</v>
      </c>
      <c r="Z309" s="24">
        <f>IF(Z308&gt;0,ROUND(Z308+Y309-X309,2),0)</f>
        <v>0</v>
      </c>
      <c r="AA309" s="24">
        <f>IF(AC308&gt;0,MIN(ROUND(AA$6+IF(AA$5=$C309,$E$5+$E309,0),2),ROUND(AC308+AB309,2)),0)</f>
        <v>0</v>
      </c>
      <c r="AB309" s="24">
        <f>IF(AC308&gt;0,ROUND(ROUND(AC308*100,0)*ROUND(AA$7*10000,0)/12000000,0)/100,0)</f>
        <v>0</v>
      </c>
      <c r="AC309" s="24">
        <f>IF(AC308&gt;0,ROUND(AC308+AB309-AA309,2),0)</f>
        <v>0</v>
      </c>
      <c r="AD309" s="24">
        <f>IF(AF308&gt;0,MIN(ROUND(AD$6+IF(AD$5=$C309,$E$5+$E309,0),2),ROUND(AF308+AE309,2)),0)</f>
        <v>0</v>
      </c>
      <c r="AE309" s="24">
        <f>IF(AF308&gt;0,ROUND(ROUND(AF308*100,0)*ROUND(AD$7*10000,0)/12000000,0)/100,0)</f>
        <v>0</v>
      </c>
      <c r="AF309" s="24">
        <f>IF(AF308&gt;0,ROUND(AF308+AE309-AD309,2),0)</f>
        <v>0</v>
      </c>
      <c r="AG309" s="24">
        <f>IF(AI308&gt;0,MIN(ROUND(AG$6+IF(AG$5=$C309,$E$5+$E309,0),2),ROUND(AI308+AH309,2)),0)</f>
        <v>0</v>
      </c>
      <c r="AH309" s="24">
        <f>IF(AI308&gt;0,ROUND(ROUND(AI308*100,0)*ROUND(AG$7*10000,0)/12000000,0)/100,0)</f>
        <v>0</v>
      </c>
      <c r="AI309" s="24">
        <f>IF(AI308&gt;0,ROUND(AI308+AH309-AG309,2),0)</f>
        <v>0</v>
      </c>
      <c r="AJ309" s="24">
        <f>IF(AL308&gt;0,MIN(ROUND(AJ$6+IF(AJ$5=$C309,$E$5+$E309,0),2),ROUND(AL308+AK309,2)),0)</f>
        <v>0</v>
      </c>
      <c r="AK309" s="24">
        <f>IF(AL308&gt;0,ROUND(ROUND(AL308*100,0)*ROUND(AJ$7*10000,0)/12000000,0)/100,0)</f>
        <v>0</v>
      </c>
      <c r="AL309" s="24">
        <f>IF(AL308&gt;0,ROUND(AL308+AK309-AJ309,2),0)</f>
        <v>0</v>
      </c>
    </row>
    <row r="310" spans="1:38" x14ac:dyDescent="0.25">
      <c r="A310" s="17" t="str">
        <f>IF(F310&gt;0,300,"")</f>
        <v/>
      </c>
      <c r="B310" s="18" t="str">
        <f>IF(F310&gt;0,EDATE($E$6,300),"")</f>
        <v/>
      </c>
      <c r="C310" s="21">
        <f>IF(H309&gt;0,MIN(IF(K309&gt;0,I$5,99),IF(N309&gt;0,L$5,99),IF(Q309&gt;0,O$5,99),IF(T309&gt;0,R$5,99),IF(W309&gt;0,U$5,99),IF(Z309&gt;0,X$5,99),IF(AC309&gt;0,AA$5,99),IF(AF309&gt;0,AD$5,99),IF(AI309&gt;0,AG$5,99),IF(AL309&gt;0,AJ$5,99)),0)</f>
        <v>0</v>
      </c>
      <c r="D310" t="str">
        <f>IF(C310&gt;0,INDEX($I$4:$AL$4,1,MATCH(C310,$I$5:$AL$5,0)),"")</f>
        <v/>
      </c>
      <c r="E310" s="24">
        <f>ROUND(IF(AND(I$8&gt;0,K309=0),I$6,0)+IF(AND(L$8&gt;0,N309=0),L$6,0)+IF(AND(O$8&gt;0,Q309=0),O$6,0)+IF(AND(R$8&gt;0,T309=0),R$6,0)+IF(AND(U$8&gt;0,W309=0),U$6,0)+IF(AND(X$8&gt;0,Z309=0),X$6,0)+IF(AND(AA$8&gt;0,AC309=0),AA$6,0)+IF(AND(AD$8&gt;0,AF309=0),AD$6,0)+IF(AND(AG$8&gt;0,AI309=0),AG$6,0)+IF(AND(AJ$8&gt;0,AL309=0),AJ$6,0),2)</f>
        <v>330</v>
      </c>
      <c r="F310" s="24">
        <f>ROUND(I310+L310+O310+R310+U310+X310+AA310+AD310+AG310+AJ310,2)</f>
        <v>0</v>
      </c>
      <c r="G310" s="24">
        <f>ROUND(J310+M310+P310+S310+V310+Y310+AB310+AE310+AH310+AK310,2)</f>
        <v>0</v>
      </c>
      <c r="H310" s="24">
        <f>ROUND(K310+N310+Q310+T310+W310+Z310+AC310+AF310+AI310+AL310,2)</f>
        <v>0</v>
      </c>
      <c r="I310" s="24">
        <f>IF(K309&gt;0,MIN(ROUND(I$6+IF(I$5=$C310,$E$5+$E310,0),2),ROUND(K309+J310,2)),0)</f>
        <v>0</v>
      </c>
      <c r="J310" s="24">
        <f>IF(K309&gt;0,ROUND(ROUND(K309*100,0)*ROUND(I$7*10000,0)/12000000,0)/100,0)</f>
        <v>0</v>
      </c>
      <c r="K310" s="24">
        <f>IF(K309&gt;0,ROUND(K309+J310-I310,2),0)</f>
        <v>0</v>
      </c>
      <c r="L310" s="24">
        <f>IF(N309&gt;0,MIN(ROUND(L$6+IF(L$5=$C310,$E$5+$E310,0),2),ROUND(N309+M310,2)),0)</f>
        <v>0</v>
      </c>
      <c r="M310" s="24">
        <f>IF(N309&gt;0,ROUND(ROUND(N309*100,0)*ROUND(L$7*10000,0)/12000000,0)/100,0)</f>
        <v>0</v>
      </c>
      <c r="N310" s="24">
        <f>IF(N309&gt;0,ROUND(N309+M310-L310,2),0)</f>
        <v>0</v>
      </c>
      <c r="O310" s="24">
        <f>IF(Q309&gt;0,MIN(ROUND(O$6+IF(O$5=$C310,$E$5+$E310,0),2),ROUND(Q309+P310,2)),0)</f>
        <v>0</v>
      </c>
      <c r="P310" s="24">
        <f>IF(Q309&gt;0,ROUND(ROUND(Q309*100,0)*ROUND(O$7*10000,0)/12000000,0)/100,0)</f>
        <v>0</v>
      </c>
      <c r="Q310" s="24">
        <f>IF(Q309&gt;0,ROUND(Q309+P310-O310,2),0)</f>
        <v>0</v>
      </c>
      <c r="R310" s="24">
        <f>IF(T309&gt;0,MIN(ROUND(R$6+IF(R$5=$C310,$E$5+$E310,0),2),ROUND(T309+S310,2)),0)</f>
        <v>0</v>
      </c>
      <c r="S310" s="24">
        <f>IF(T309&gt;0,ROUND(ROUND(T309*100,0)*ROUND(R$7*10000,0)/12000000,0)/100,0)</f>
        <v>0</v>
      </c>
      <c r="T310" s="24">
        <f>IF(T309&gt;0,ROUND(T309+S310-R310,2),0)</f>
        <v>0</v>
      </c>
      <c r="U310" s="24">
        <f>IF(W309&gt;0,MIN(ROUND(U$6+IF(U$5=$C310,$E$5+$E310,0),2),ROUND(W309+V310,2)),0)</f>
        <v>0</v>
      </c>
      <c r="V310" s="24">
        <f>IF(W309&gt;0,ROUND(ROUND(W309*100,0)*ROUND(U$7*10000,0)/12000000,0)/100,0)</f>
        <v>0</v>
      </c>
      <c r="W310" s="24">
        <f>IF(W309&gt;0,ROUND(W309+V310-U310,2),0)</f>
        <v>0</v>
      </c>
      <c r="X310" s="24">
        <f>IF(Z309&gt;0,MIN(ROUND(X$6+IF(X$5=$C310,$E$5+$E310,0),2),ROUND(Z309+Y310,2)),0)</f>
        <v>0</v>
      </c>
      <c r="Y310" s="24">
        <f>IF(Z309&gt;0,ROUND(ROUND(Z309*100,0)*ROUND(X$7*10000,0)/12000000,0)/100,0)</f>
        <v>0</v>
      </c>
      <c r="Z310" s="24">
        <f>IF(Z309&gt;0,ROUND(Z309+Y310-X310,2),0)</f>
        <v>0</v>
      </c>
      <c r="AA310" s="24">
        <f>IF(AC309&gt;0,MIN(ROUND(AA$6+IF(AA$5=$C310,$E$5+$E310,0),2),ROUND(AC309+AB310,2)),0)</f>
        <v>0</v>
      </c>
      <c r="AB310" s="24">
        <f>IF(AC309&gt;0,ROUND(ROUND(AC309*100,0)*ROUND(AA$7*10000,0)/12000000,0)/100,0)</f>
        <v>0</v>
      </c>
      <c r="AC310" s="24">
        <f>IF(AC309&gt;0,ROUND(AC309+AB310-AA310,2),0)</f>
        <v>0</v>
      </c>
      <c r="AD310" s="24">
        <f>IF(AF309&gt;0,MIN(ROUND(AD$6+IF(AD$5=$C310,$E$5+$E310,0),2),ROUND(AF309+AE310,2)),0)</f>
        <v>0</v>
      </c>
      <c r="AE310" s="24">
        <f>IF(AF309&gt;0,ROUND(ROUND(AF309*100,0)*ROUND(AD$7*10000,0)/12000000,0)/100,0)</f>
        <v>0</v>
      </c>
      <c r="AF310" s="24">
        <f>IF(AF309&gt;0,ROUND(AF309+AE310-AD310,2),0)</f>
        <v>0</v>
      </c>
      <c r="AG310" s="24">
        <f>IF(AI309&gt;0,MIN(ROUND(AG$6+IF(AG$5=$C310,$E$5+$E310,0),2),ROUND(AI309+AH310,2)),0)</f>
        <v>0</v>
      </c>
      <c r="AH310" s="24">
        <f>IF(AI309&gt;0,ROUND(ROUND(AI309*100,0)*ROUND(AG$7*10000,0)/12000000,0)/100,0)</f>
        <v>0</v>
      </c>
      <c r="AI310" s="24">
        <f>IF(AI309&gt;0,ROUND(AI309+AH310-AG310,2),0)</f>
        <v>0</v>
      </c>
      <c r="AJ310" s="24">
        <f>IF(AL309&gt;0,MIN(ROUND(AJ$6+IF(AJ$5=$C310,$E$5+$E310,0),2),ROUND(AL309+AK310,2)),0)</f>
        <v>0</v>
      </c>
      <c r="AK310" s="24">
        <f>IF(AL309&gt;0,ROUND(ROUND(AL309*100,0)*ROUND(AJ$7*10000,0)/12000000,0)/100,0)</f>
        <v>0</v>
      </c>
      <c r="AL310" s="24">
        <f>IF(AL309&gt;0,ROUND(AL309+AK310-AJ310,2),0)</f>
        <v>0</v>
      </c>
    </row>
    <row r="311" spans="1:38" x14ac:dyDescent="0.25">
      <c r="A311" s="17" t="str">
        <f>IF(F311&gt;0,301,"")</f>
        <v/>
      </c>
      <c r="B311" s="18" t="str">
        <f>IF(F311&gt;0,EDATE($E$6,301),"")</f>
        <v/>
      </c>
      <c r="C311" s="21">
        <f>IF(H310&gt;0,MIN(IF(K310&gt;0,I$5,99),IF(N310&gt;0,L$5,99),IF(Q310&gt;0,O$5,99),IF(T310&gt;0,R$5,99),IF(W310&gt;0,U$5,99),IF(Z310&gt;0,X$5,99),IF(AC310&gt;0,AA$5,99),IF(AF310&gt;0,AD$5,99),IF(AI310&gt;0,AG$5,99),IF(AL310&gt;0,AJ$5,99)),0)</f>
        <v>0</v>
      </c>
      <c r="D311" t="str">
        <f>IF(C311&gt;0,INDEX($I$4:$AL$4,1,MATCH(C311,$I$5:$AL$5,0)),"")</f>
        <v/>
      </c>
      <c r="E311" s="24">
        <f>ROUND(IF(AND(I$8&gt;0,K310=0),I$6,0)+IF(AND(L$8&gt;0,N310=0),L$6,0)+IF(AND(O$8&gt;0,Q310=0),O$6,0)+IF(AND(R$8&gt;0,T310=0),R$6,0)+IF(AND(U$8&gt;0,W310=0),U$6,0)+IF(AND(X$8&gt;0,Z310=0),X$6,0)+IF(AND(AA$8&gt;0,AC310=0),AA$6,0)+IF(AND(AD$8&gt;0,AF310=0),AD$6,0)+IF(AND(AG$8&gt;0,AI310=0),AG$6,0)+IF(AND(AJ$8&gt;0,AL310=0),AJ$6,0),2)</f>
        <v>330</v>
      </c>
      <c r="F311" s="24">
        <f>ROUND(I311+L311+O311+R311+U311+X311+AA311+AD311+AG311+AJ311,2)</f>
        <v>0</v>
      </c>
      <c r="G311" s="24">
        <f>ROUND(J311+M311+P311+S311+V311+Y311+AB311+AE311+AH311+AK311,2)</f>
        <v>0</v>
      </c>
      <c r="H311" s="24">
        <f>ROUND(K311+N311+Q311+T311+W311+Z311+AC311+AF311+AI311+AL311,2)</f>
        <v>0</v>
      </c>
      <c r="I311" s="24">
        <f>IF(K310&gt;0,MIN(ROUND(I$6+IF(I$5=$C311,$E$5+$E311,0),2),ROUND(K310+J311,2)),0)</f>
        <v>0</v>
      </c>
      <c r="J311" s="24">
        <f>IF(K310&gt;0,ROUND(ROUND(K310*100,0)*ROUND(I$7*10000,0)/12000000,0)/100,0)</f>
        <v>0</v>
      </c>
      <c r="K311" s="24">
        <f>IF(K310&gt;0,ROUND(K310+J311-I311,2),0)</f>
        <v>0</v>
      </c>
      <c r="L311" s="24">
        <f>IF(N310&gt;0,MIN(ROUND(L$6+IF(L$5=$C311,$E$5+$E311,0),2),ROUND(N310+M311,2)),0)</f>
        <v>0</v>
      </c>
      <c r="M311" s="24">
        <f>IF(N310&gt;0,ROUND(ROUND(N310*100,0)*ROUND(L$7*10000,0)/12000000,0)/100,0)</f>
        <v>0</v>
      </c>
      <c r="N311" s="24">
        <f>IF(N310&gt;0,ROUND(N310+M311-L311,2),0)</f>
        <v>0</v>
      </c>
      <c r="O311" s="24">
        <f>IF(Q310&gt;0,MIN(ROUND(O$6+IF(O$5=$C311,$E$5+$E311,0),2),ROUND(Q310+P311,2)),0)</f>
        <v>0</v>
      </c>
      <c r="P311" s="24">
        <f>IF(Q310&gt;0,ROUND(ROUND(Q310*100,0)*ROUND(O$7*10000,0)/12000000,0)/100,0)</f>
        <v>0</v>
      </c>
      <c r="Q311" s="24">
        <f>IF(Q310&gt;0,ROUND(Q310+P311-O311,2),0)</f>
        <v>0</v>
      </c>
      <c r="R311" s="24">
        <f>IF(T310&gt;0,MIN(ROUND(R$6+IF(R$5=$C311,$E$5+$E311,0),2),ROUND(T310+S311,2)),0)</f>
        <v>0</v>
      </c>
      <c r="S311" s="24">
        <f>IF(T310&gt;0,ROUND(ROUND(T310*100,0)*ROUND(R$7*10000,0)/12000000,0)/100,0)</f>
        <v>0</v>
      </c>
      <c r="T311" s="24">
        <f>IF(T310&gt;0,ROUND(T310+S311-R311,2),0)</f>
        <v>0</v>
      </c>
      <c r="U311" s="24">
        <f>IF(W310&gt;0,MIN(ROUND(U$6+IF(U$5=$C311,$E$5+$E311,0),2),ROUND(W310+V311,2)),0)</f>
        <v>0</v>
      </c>
      <c r="V311" s="24">
        <f>IF(W310&gt;0,ROUND(ROUND(W310*100,0)*ROUND(U$7*10000,0)/12000000,0)/100,0)</f>
        <v>0</v>
      </c>
      <c r="W311" s="24">
        <f>IF(W310&gt;0,ROUND(W310+V311-U311,2),0)</f>
        <v>0</v>
      </c>
      <c r="X311" s="24">
        <f>IF(Z310&gt;0,MIN(ROUND(X$6+IF(X$5=$C311,$E$5+$E311,0),2),ROUND(Z310+Y311,2)),0)</f>
        <v>0</v>
      </c>
      <c r="Y311" s="24">
        <f>IF(Z310&gt;0,ROUND(ROUND(Z310*100,0)*ROUND(X$7*10000,0)/12000000,0)/100,0)</f>
        <v>0</v>
      </c>
      <c r="Z311" s="24">
        <f>IF(Z310&gt;0,ROUND(Z310+Y311-X311,2),0)</f>
        <v>0</v>
      </c>
      <c r="AA311" s="24">
        <f>IF(AC310&gt;0,MIN(ROUND(AA$6+IF(AA$5=$C311,$E$5+$E311,0),2),ROUND(AC310+AB311,2)),0)</f>
        <v>0</v>
      </c>
      <c r="AB311" s="24">
        <f>IF(AC310&gt;0,ROUND(ROUND(AC310*100,0)*ROUND(AA$7*10000,0)/12000000,0)/100,0)</f>
        <v>0</v>
      </c>
      <c r="AC311" s="24">
        <f>IF(AC310&gt;0,ROUND(AC310+AB311-AA311,2),0)</f>
        <v>0</v>
      </c>
      <c r="AD311" s="24">
        <f>IF(AF310&gt;0,MIN(ROUND(AD$6+IF(AD$5=$C311,$E$5+$E311,0),2),ROUND(AF310+AE311,2)),0)</f>
        <v>0</v>
      </c>
      <c r="AE311" s="24">
        <f>IF(AF310&gt;0,ROUND(ROUND(AF310*100,0)*ROUND(AD$7*10000,0)/12000000,0)/100,0)</f>
        <v>0</v>
      </c>
      <c r="AF311" s="24">
        <f>IF(AF310&gt;0,ROUND(AF310+AE311-AD311,2),0)</f>
        <v>0</v>
      </c>
      <c r="AG311" s="24">
        <f>IF(AI310&gt;0,MIN(ROUND(AG$6+IF(AG$5=$C311,$E$5+$E311,0),2),ROUND(AI310+AH311,2)),0)</f>
        <v>0</v>
      </c>
      <c r="AH311" s="24">
        <f>IF(AI310&gt;0,ROUND(ROUND(AI310*100,0)*ROUND(AG$7*10000,0)/12000000,0)/100,0)</f>
        <v>0</v>
      </c>
      <c r="AI311" s="24">
        <f>IF(AI310&gt;0,ROUND(AI310+AH311-AG311,2),0)</f>
        <v>0</v>
      </c>
      <c r="AJ311" s="24">
        <f>IF(AL310&gt;0,MIN(ROUND(AJ$6+IF(AJ$5=$C311,$E$5+$E311,0),2),ROUND(AL310+AK311,2)),0)</f>
        <v>0</v>
      </c>
      <c r="AK311" s="24">
        <f>IF(AL310&gt;0,ROUND(ROUND(AL310*100,0)*ROUND(AJ$7*10000,0)/12000000,0)/100,0)</f>
        <v>0</v>
      </c>
      <c r="AL311" s="24">
        <f>IF(AL310&gt;0,ROUND(AL310+AK311-AJ311,2),0)</f>
        <v>0</v>
      </c>
    </row>
    <row r="312" spans="1:38" x14ac:dyDescent="0.25">
      <c r="A312" s="17" t="str">
        <f>IF(F312&gt;0,302,"")</f>
        <v/>
      </c>
      <c r="B312" s="18" t="str">
        <f>IF(F312&gt;0,EDATE($E$6,302),"")</f>
        <v/>
      </c>
      <c r="C312" s="21">
        <f>IF(H311&gt;0,MIN(IF(K311&gt;0,I$5,99),IF(N311&gt;0,L$5,99),IF(Q311&gt;0,O$5,99),IF(T311&gt;0,R$5,99),IF(W311&gt;0,U$5,99),IF(Z311&gt;0,X$5,99),IF(AC311&gt;0,AA$5,99),IF(AF311&gt;0,AD$5,99),IF(AI311&gt;0,AG$5,99),IF(AL311&gt;0,AJ$5,99)),0)</f>
        <v>0</v>
      </c>
      <c r="D312" t="str">
        <f>IF(C312&gt;0,INDEX($I$4:$AL$4,1,MATCH(C312,$I$5:$AL$5,0)),"")</f>
        <v/>
      </c>
      <c r="E312" s="24">
        <f>ROUND(IF(AND(I$8&gt;0,K311=0),I$6,0)+IF(AND(L$8&gt;0,N311=0),L$6,0)+IF(AND(O$8&gt;0,Q311=0),O$6,0)+IF(AND(R$8&gt;0,T311=0),R$6,0)+IF(AND(U$8&gt;0,W311=0),U$6,0)+IF(AND(X$8&gt;0,Z311=0),X$6,0)+IF(AND(AA$8&gt;0,AC311=0),AA$6,0)+IF(AND(AD$8&gt;0,AF311=0),AD$6,0)+IF(AND(AG$8&gt;0,AI311=0),AG$6,0)+IF(AND(AJ$8&gt;0,AL311=0),AJ$6,0),2)</f>
        <v>330</v>
      </c>
      <c r="F312" s="24">
        <f>ROUND(I312+L312+O312+R312+U312+X312+AA312+AD312+AG312+AJ312,2)</f>
        <v>0</v>
      </c>
      <c r="G312" s="24">
        <f>ROUND(J312+M312+P312+S312+V312+Y312+AB312+AE312+AH312+AK312,2)</f>
        <v>0</v>
      </c>
      <c r="H312" s="24">
        <f>ROUND(K312+N312+Q312+T312+W312+Z312+AC312+AF312+AI312+AL312,2)</f>
        <v>0</v>
      </c>
      <c r="I312" s="24">
        <f>IF(K311&gt;0,MIN(ROUND(I$6+IF(I$5=$C312,$E$5+$E312,0),2),ROUND(K311+J312,2)),0)</f>
        <v>0</v>
      </c>
      <c r="J312" s="24">
        <f>IF(K311&gt;0,ROUND(ROUND(K311*100,0)*ROUND(I$7*10000,0)/12000000,0)/100,0)</f>
        <v>0</v>
      </c>
      <c r="K312" s="24">
        <f>IF(K311&gt;0,ROUND(K311+J312-I312,2),0)</f>
        <v>0</v>
      </c>
      <c r="L312" s="24">
        <f>IF(N311&gt;0,MIN(ROUND(L$6+IF(L$5=$C312,$E$5+$E312,0),2),ROUND(N311+M312,2)),0)</f>
        <v>0</v>
      </c>
      <c r="M312" s="24">
        <f>IF(N311&gt;0,ROUND(ROUND(N311*100,0)*ROUND(L$7*10000,0)/12000000,0)/100,0)</f>
        <v>0</v>
      </c>
      <c r="N312" s="24">
        <f>IF(N311&gt;0,ROUND(N311+M312-L312,2),0)</f>
        <v>0</v>
      </c>
      <c r="O312" s="24">
        <f>IF(Q311&gt;0,MIN(ROUND(O$6+IF(O$5=$C312,$E$5+$E312,0),2),ROUND(Q311+P312,2)),0)</f>
        <v>0</v>
      </c>
      <c r="P312" s="24">
        <f>IF(Q311&gt;0,ROUND(ROUND(Q311*100,0)*ROUND(O$7*10000,0)/12000000,0)/100,0)</f>
        <v>0</v>
      </c>
      <c r="Q312" s="24">
        <f>IF(Q311&gt;0,ROUND(Q311+P312-O312,2),0)</f>
        <v>0</v>
      </c>
      <c r="R312" s="24">
        <f>IF(T311&gt;0,MIN(ROUND(R$6+IF(R$5=$C312,$E$5+$E312,0),2),ROUND(T311+S312,2)),0)</f>
        <v>0</v>
      </c>
      <c r="S312" s="24">
        <f>IF(T311&gt;0,ROUND(ROUND(T311*100,0)*ROUND(R$7*10000,0)/12000000,0)/100,0)</f>
        <v>0</v>
      </c>
      <c r="T312" s="24">
        <f>IF(T311&gt;0,ROUND(T311+S312-R312,2),0)</f>
        <v>0</v>
      </c>
      <c r="U312" s="24">
        <f>IF(W311&gt;0,MIN(ROUND(U$6+IF(U$5=$C312,$E$5+$E312,0),2),ROUND(W311+V312,2)),0)</f>
        <v>0</v>
      </c>
      <c r="V312" s="24">
        <f>IF(W311&gt;0,ROUND(ROUND(W311*100,0)*ROUND(U$7*10000,0)/12000000,0)/100,0)</f>
        <v>0</v>
      </c>
      <c r="W312" s="24">
        <f>IF(W311&gt;0,ROUND(W311+V312-U312,2),0)</f>
        <v>0</v>
      </c>
      <c r="X312" s="24">
        <f>IF(Z311&gt;0,MIN(ROUND(X$6+IF(X$5=$C312,$E$5+$E312,0),2),ROUND(Z311+Y312,2)),0)</f>
        <v>0</v>
      </c>
      <c r="Y312" s="24">
        <f>IF(Z311&gt;0,ROUND(ROUND(Z311*100,0)*ROUND(X$7*10000,0)/12000000,0)/100,0)</f>
        <v>0</v>
      </c>
      <c r="Z312" s="24">
        <f>IF(Z311&gt;0,ROUND(Z311+Y312-X312,2),0)</f>
        <v>0</v>
      </c>
      <c r="AA312" s="24">
        <f>IF(AC311&gt;0,MIN(ROUND(AA$6+IF(AA$5=$C312,$E$5+$E312,0),2),ROUND(AC311+AB312,2)),0)</f>
        <v>0</v>
      </c>
      <c r="AB312" s="24">
        <f>IF(AC311&gt;0,ROUND(ROUND(AC311*100,0)*ROUND(AA$7*10000,0)/12000000,0)/100,0)</f>
        <v>0</v>
      </c>
      <c r="AC312" s="24">
        <f>IF(AC311&gt;0,ROUND(AC311+AB312-AA312,2),0)</f>
        <v>0</v>
      </c>
      <c r="AD312" s="24">
        <f>IF(AF311&gt;0,MIN(ROUND(AD$6+IF(AD$5=$C312,$E$5+$E312,0),2),ROUND(AF311+AE312,2)),0)</f>
        <v>0</v>
      </c>
      <c r="AE312" s="24">
        <f>IF(AF311&gt;0,ROUND(ROUND(AF311*100,0)*ROUND(AD$7*10000,0)/12000000,0)/100,0)</f>
        <v>0</v>
      </c>
      <c r="AF312" s="24">
        <f>IF(AF311&gt;0,ROUND(AF311+AE312-AD312,2),0)</f>
        <v>0</v>
      </c>
      <c r="AG312" s="24">
        <f>IF(AI311&gt;0,MIN(ROUND(AG$6+IF(AG$5=$C312,$E$5+$E312,0),2),ROUND(AI311+AH312,2)),0)</f>
        <v>0</v>
      </c>
      <c r="AH312" s="24">
        <f>IF(AI311&gt;0,ROUND(ROUND(AI311*100,0)*ROUND(AG$7*10000,0)/12000000,0)/100,0)</f>
        <v>0</v>
      </c>
      <c r="AI312" s="24">
        <f>IF(AI311&gt;0,ROUND(AI311+AH312-AG312,2),0)</f>
        <v>0</v>
      </c>
      <c r="AJ312" s="24">
        <f>IF(AL311&gt;0,MIN(ROUND(AJ$6+IF(AJ$5=$C312,$E$5+$E312,0),2),ROUND(AL311+AK312,2)),0)</f>
        <v>0</v>
      </c>
      <c r="AK312" s="24">
        <f>IF(AL311&gt;0,ROUND(ROUND(AL311*100,0)*ROUND(AJ$7*10000,0)/12000000,0)/100,0)</f>
        <v>0</v>
      </c>
      <c r="AL312" s="24">
        <f>IF(AL311&gt;0,ROUND(AL311+AK312-AJ312,2),0)</f>
        <v>0</v>
      </c>
    </row>
    <row r="313" spans="1:38" x14ac:dyDescent="0.25">
      <c r="A313" s="17" t="str">
        <f>IF(F313&gt;0,303,"")</f>
        <v/>
      </c>
      <c r="B313" s="18" t="str">
        <f>IF(F313&gt;0,EDATE($E$6,303),"")</f>
        <v/>
      </c>
      <c r="C313" s="21">
        <f>IF(H312&gt;0,MIN(IF(K312&gt;0,I$5,99),IF(N312&gt;0,L$5,99),IF(Q312&gt;0,O$5,99),IF(T312&gt;0,R$5,99),IF(W312&gt;0,U$5,99),IF(Z312&gt;0,X$5,99),IF(AC312&gt;0,AA$5,99),IF(AF312&gt;0,AD$5,99),IF(AI312&gt;0,AG$5,99),IF(AL312&gt;0,AJ$5,99)),0)</f>
        <v>0</v>
      </c>
      <c r="D313" t="str">
        <f>IF(C313&gt;0,INDEX($I$4:$AL$4,1,MATCH(C313,$I$5:$AL$5,0)),"")</f>
        <v/>
      </c>
      <c r="E313" s="24">
        <f>ROUND(IF(AND(I$8&gt;0,K312=0),I$6,0)+IF(AND(L$8&gt;0,N312=0),L$6,0)+IF(AND(O$8&gt;0,Q312=0),O$6,0)+IF(AND(R$8&gt;0,T312=0),R$6,0)+IF(AND(U$8&gt;0,W312=0),U$6,0)+IF(AND(X$8&gt;0,Z312=0),X$6,0)+IF(AND(AA$8&gt;0,AC312=0),AA$6,0)+IF(AND(AD$8&gt;0,AF312=0),AD$6,0)+IF(AND(AG$8&gt;0,AI312=0),AG$6,0)+IF(AND(AJ$8&gt;0,AL312=0),AJ$6,0),2)</f>
        <v>330</v>
      </c>
      <c r="F313" s="24">
        <f>ROUND(I313+L313+O313+R313+U313+X313+AA313+AD313+AG313+AJ313,2)</f>
        <v>0</v>
      </c>
      <c r="G313" s="24">
        <f>ROUND(J313+M313+P313+S313+V313+Y313+AB313+AE313+AH313+AK313,2)</f>
        <v>0</v>
      </c>
      <c r="H313" s="24">
        <f>ROUND(K313+N313+Q313+T313+W313+Z313+AC313+AF313+AI313+AL313,2)</f>
        <v>0</v>
      </c>
      <c r="I313" s="24">
        <f>IF(K312&gt;0,MIN(ROUND(I$6+IF(I$5=$C313,$E$5+$E313,0),2),ROUND(K312+J313,2)),0)</f>
        <v>0</v>
      </c>
      <c r="J313" s="24">
        <f>IF(K312&gt;0,ROUND(ROUND(K312*100,0)*ROUND(I$7*10000,0)/12000000,0)/100,0)</f>
        <v>0</v>
      </c>
      <c r="K313" s="24">
        <f>IF(K312&gt;0,ROUND(K312+J313-I313,2),0)</f>
        <v>0</v>
      </c>
      <c r="L313" s="24">
        <f>IF(N312&gt;0,MIN(ROUND(L$6+IF(L$5=$C313,$E$5+$E313,0),2),ROUND(N312+M313,2)),0)</f>
        <v>0</v>
      </c>
      <c r="M313" s="24">
        <f>IF(N312&gt;0,ROUND(ROUND(N312*100,0)*ROUND(L$7*10000,0)/12000000,0)/100,0)</f>
        <v>0</v>
      </c>
      <c r="N313" s="24">
        <f>IF(N312&gt;0,ROUND(N312+M313-L313,2),0)</f>
        <v>0</v>
      </c>
      <c r="O313" s="24">
        <f>IF(Q312&gt;0,MIN(ROUND(O$6+IF(O$5=$C313,$E$5+$E313,0),2),ROUND(Q312+P313,2)),0)</f>
        <v>0</v>
      </c>
      <c r="P313" s="24">
        <f>IF(Q312&gt;0,ROUND(ROUND(Q312*100,0)*ROUND(O$7*10000,0)/12000000,0)/100,0)</f>
        <v>0</v>
      </c>
      <c r="Q313" s="24">
        <f>IF(Q312&gt;0,ROUND(Q312+P313-O313,2),0)</f>
        <v>0</v>
      </c>
      <c r="R313" s="24">
        <f>IF(T312&gt;0,MIN(ROUND(R$6+IF(R$5=$C313,$E$5+$E313,0),2),ROUND(T312+S313,2)),0)</f>
        <v>0</v>
      </c>
      <c r="S313" s="24">
        <f>IF(T312&gt;0,ROUND(ROUND(T312*100,0)*ROUND(R$7*10000,0)/12000000,0)/100,0)</f>
        <v>0</v>
      </c>
      <c r="T313" s="24">
        <f>IF(T312&gt;0,ROUND(T312+S313-R313,2),0)</f>
        <v>0</v>
      </c>
      <c r="U313" s="24">
        <f>IF(W312&gt;0,MIN(ROUND(U$6+IF(U$5=$C313,$E$5+$E313,0),2),ROUND(W312+V313,2)),0)</f>
        <v>0</v>
      </c>
      <c r="V313" s="24">
        <f>IF(W312&gt;0,ROUND(ROUND(W312*100,0)*ROUND(U$7*10000,0)/12000000,0)/100,0)</f>
        <v>0</v>
      </c>
      <c r="W313" s="24">
        <f>IF(W312&gt;0,ROUND(W312+V313-U313,2),0)</f>
        <v>0</v>
      </c>
      <c r="X313" s="24">
        <f>IF(Z312&gt;0,MIN(ROUND(X$6+IF(X$5=$C313,$E$5+$E313,0),2),ROUND(Z312+Y313,2)),0)</f>
        <v>0</v>
      </c>
      <c r="Y313" s="24">
        <f>IF(Z312&gt;0,ROUND(ROUND(Z312*100,0)*ROUND(X$7*10000,0)/12000000,0)/100,0)</f>
        <v>0</v>
      </c>
      <c r="Z313" s="24">
        <f>IF(Z312&gt;0,ROUND(Z312+Y313-X313,2),0)</f>
        <v>0</v>
      </c>
      <c r="AA313" s="24">
        <f>IF(AC312&gt;0,MIN(ROUND(AA$6+IF(AA$5=$C313,$E$5+$E313,0),2),ROUND(AC312+AB313,2)),0)</f>
        <v>0</v>
      </c>
      <c r="AB313" s="24">
        <f>IF(AC312&gt;0,ROUND(ROUND(AC312*100,0)*ROUND(AA$7*10000,0)/12000000,0)/100,0)</f>
        <v>0</v>
      </c>
      <c r="AC313" s="24">
        <f>IF(AC312&gt;0,ROUND(AC312+AB313-AA313,2),0)</f>
        <v>0</v>
      </c>
      <c r="AD313" s="24">
        <f>IF(AF312&gt;0,MIN(ROUND(AD$6+IF(AD$5=$C313,$E$5+$E313,0),2),ROUND(AF312+AE313,2)),0)</f>
        <v>0</v>
      </c>
      <c r="AE313" s="24">
        <f>IF(AF312&gt;0,ROUND(ROUND(AF312*100,0)*ROUND(AD$7*10000,0)/12000000,0)/100,0)</f>
        <v>0</v>
      </c>
      <c r="AF313" s="24">
        <f>IF(AF312&gt;0,ROUND(AF312+AE313-AD313,2),0)</f>
        <v>0</v>
      </c>
      <c r="AG313" s="24">
        <f>IF(AI312&gt;0,MIN(ROUND(AG$6+IF(AG$5=$C313,$E$5+$E313,0),2),ROUND(AI312+AH313,2)),0)</f>
        <v>0</v>
      </c>
      <c r="AH313" s="24">
        <f>IF(AI312&gt;0,ROUND(ROUND(AI312*100,0)*ROUND(AG$7*10000,0)/12000000,0)/100,0)</f>
        <v>0</v>
      </c>
      <c r="AI313" s="24">
        <f>IF(AI312&gt;0,ROUND(AI312+AH313-AG313,2),0)</f>
        <v>0</v>
      </c>
      <c r="AJ313" s="24">
        <f>IF(AL312&gt;0,MIN(ROUND(AJ$6+IF(AJ$5=$C313,$E$5+$E313,0),2),ROUND(AL312+AK313,2)),0)</f>
        <v>0</v>
      </c>
      <c r="AK313" s="24">
        <f>IF(AL312&gt;0,ROUND(ROUND(AL312*100,0)*ROUND(AJ$7*10000,0)/12000000,0)/100,0)</f>
        <v>0</v>
      </c>
      <c r="AL313" s="24">
        <f>IF(AL312&gt;0,ROUND(AL312+AK313-AJ313,2),0)</f>
        <v>0</v>
      </c>
    </row>
    <row r="314" spans="1:38" x14ac:dyDescent="0.25">
      <c r="A314" s="17" t="str">
        <f>IF(F314&gt;0,304,"")</f>
        <v/>
      </c>
      <c r="B314" s="18" t="str">
        <f>IF(F314&gt;0,EDATE($E$6,304),"")</f>
        <v/>
      </c>
      <c r="C314" s="21">
        <f>IF(H313&gt;0,MIN(IF(K313&gt;0,I$5,99),IF(N313&gt;0,L$5,99),IF(Q313&gt;0,O$5,99),IF(T313&gt;0,R$5,99),IF(W313&gt;0,U$5,99),IF(Z313&gt;0,X$5,99),IF(AC313&gt;0,AA$5,99),IF(AF313&gt;0,AD$5,99),IF(AI313&gt;0,AG$5,99),IF(AL313&gt;0,AJ$5,99)),0)</f>
        <v>0</v>
      </c>
      <c r="D314" t="str">
        <f>IF(C314&gt;0,INDEX($I$4:$AL$4,1,MATCH(C314,$I$5:$AL$5,0)),"")</f>
        <v/>
      </c>
      <c r="E314" s="24">
        <f>ROUND(IF(AND(I$8&gt;0,K313=0),I$6,0)+IF(AND(L$8&gt;0,N313=0),L$6,0)+IF(AND(O$8&gt;0,Q313=0),O$6,0)+IF(AND(R$8&gt;0,T313=0),R$6,0)+IF(AND(U$8&gt;0,W313=0),U$6,0)+IF(AND(X$8&gt;0,Z313=0),X$6,0)+IF(AND(AA$8&gt;0,AC313=0),AA$6,0)+IF(AND(AD$8&gt;0,AF313=0),AD$6,0)+IF(AND(AG$8&gt;0,AI313=0),AG$6,0)+IF(AND(AJ$8&gt;0,AL313=0),AJ$6,0),2)</f>
        <v>330</v>
      </c>
      <c r="F314" s="24">
        <f>ROUND(I314+L314+O314+R314+U314+X314+AA314+AD314+AG314+AJ314,2)</f>
        <v>0</v>
      </c>
      <c r="G314" s="24">
        <f>ROUND(J314+M314+P314+S314+V314+Y314+AB314+AE314+AH314+AK314,2)</f>
        <v>0</v>
      </c>
      <c r="H314" s="24">
        <f>ROUND(K314+N314+Q314+T314+W314+Z314+AC314+AF314+AI314+AL314,2)</f>
        <v>0</v>
      </c>
      <c r="I314" s="24">
        <f>IF(K313&gt;0,MIN(ROUND(I$6+IF(I$5=$C314,$E$5+$E314,0),2),ROUND(K313+J314,2)),0)</f>
        <v>0</v>
      </c>
      <c r="J314" s="24">
        <f>IF(K313&gt;0,ROUND(ROUND(K313*100,0)*ROUND(I$7*10000,0)/12000000,0)/100,0)</f>
        <v>0</v>
      </c>
      <c r="K314" s="24">
        <f>IF(K313&gt;0,ROUND(K313+J314-I314,2),0)</f>
        <v>0</v>
      </c>
      <c r="L314" s="24">
        <f>IF(N313&gt;0,MIN(ROUND(L$6+IF(L$5=$C314,$E$5+$E314,0),2),ROUND(N313+M314,2)),0)</f>
        <v>0</v>
      </c>
      <c r="M314" s="24">
        <f>IF(N313&gt;0,ROUND(ROUND(N313*100,0)*ROUND(L$7*10000,0)/12000000,0)/100,0)</f>
        <v>0</v>
      </c>
      <c r="N314" s="24">
        <f>IF(N313&gt;0,ROUND(N313+M314-L314,2),0)</f>
        <v>0</v>
      </c>
      <c r="O314" s="24">
        <f>IF(Q313&gt;0,MIN(ROUND(O$6+IF(O$5=$C314,$E$5+$E314,0),2),ROUND(Q313+P314,2)),0)</f>
        <v>0</v>
      </c>
      <c r="P314" s="24">
        <f>IF(Q313&gt;0,ROUND(ROUND(Q313*100,0)*ROUND(O$7*10000,0)/12000000,0)/100,0)</f>
        <v>0</v>
      </c>
      <c r="Q314" s="24">
        <f>IF(Q313&gt;0,ROUND(Q313+P314-O314,2),0)</f>
        <v>0</v>
      </c>
      <c r="R314" s="24">
        <f>IF(T313&gt;0,MIN(ROUND(R$6+IF(R$5=$C314,$E$5+$E314,0),2),ROUND(T313+S314,2)),0)</f>
        <v>0</v>
      </c>
      <c r="S314" s="24">
        <f>IF(T313&gt;0,ROUND(ROUND(T313*100,0)*ROUND(R$7*10000,0)/12000000,0)/100,0)</f>
        <v>0</v>
      </c>
      <c r="T314" s="24">
        <f>IF(T313&gt;0,ROUND(T313+S314-R314,2),0)</f>
        <v>0</v>
      </c>
      <c r="U314" s="24">
        <f>IF(W313&gt;0,MIN(ROUND(U$6+IF(U$5=$C314,$E$5+$E314,0),2),ROUND(W313+V314,2)),0)</f>
        <v>0</v>
      </c>
      <c r="V314" s="24">
        <f>IF(W313&gt;0,ROUND(ROUND(W313*100,0)*ROUND(U$7*10000,0)/12000000,0)/100,0)</f>
        <v>0</v>
      </c>
      <c r="W314" s="24">
        <f>IF(W313&gt;0,ROUND(W313+V314-U314,2),0)</f>
        <v>0</v>
      </c>
      <c r="X314" s="24">
        <f>IF(Z313&gt;0,MIN(ROUND(X$6+IF(X$5=$C314,$E$5+$E314,0),2),ROUND(Z313+Y314,2)),0)</f>
        <v>0</v>
      </c>
      <c r="Y314" s="24">
        <f>IF(Z313&gt;0,ROUND(ROUND(Z313*100,0)*ROUND(X$7*10000,0)/12000000,0)/100,0)</f>
        <v>0</v>
      </c>
      <c r="Z314" s="24">
        <f>IF(Z313&gt;0,ROUND(Z313+Y314-X314,2),0)</f>
        <v>0</v>
      </c>
      <c r="AA314" s="24">
        <f>IF(AC313&gt;0,MIN(ROUND(AA$6+IF(AA$5=$C314,$E$5+$E314,0),2),ROUND(AC313+AB314,2)),0)</f>
        <v>0</v>
      </c>
      <c r="AB314" s="24">
        <f>IF(AC313&gt;0,ROUND(ROUND(AC313*100,0)*ROUND(AA$7*10000,0)/12000000,0)/100,0)</f>
        <v>0</v>
      </c>
      <c r="AC314" s="24">
        <f>IF(AC313&gt;0,ROUND(AC313+AB314-AA314,2),0)</f>
        <v>0</v>
      </c>
      <c r="AD314" s="24">
        <f>IF(AF313&gt;0,MIN(ROUND(AD$6+IF(AD$5=$C314,$E$5+$E314,0),2),ROUND(AF313+AE314,2)),0)</f>
        <v>0</v>
      </c>
      <c r="AE314" s="24">
        <f>IF(AF313&gt;0,ROUND(ROUND(AF313*100,0)*ROUND(AD$7*10000,0)/12000000,0)/100,0)</f>
        <v>0</v>
      </c>
      <c r="AF314" s="24">
        <f>IF(AF313&gt;0,ROUND(AF313+AE314-AD314,2),0)</f>
        <v>0</v>
      </c>
      <c r="AG314" s="24">
        <f>IF(AI313&gt;0,MIN(ROUND(AG$6+IF(AG$5=$C314,$E$5+$E314,0),2),ROUND(AI313+AH314,2)),0)</f>
        <v>0</v>
      </c>
      <c r="AH314" s="24">
        <f>IF(AI313&gt;0,ROUND(ROUND(AI313*100,0)*ROUND(AG$7*10000,0)/12000000,0)/100,0)</f>
        <v>0</v>
      </c>
      <c r="AI314" s="24">
        <f>IF(AI313&gt;0,ROUND(AI313+AH314-AG314,2),0)</f>
        <v>0</v>
      </c>
      <c r="AJ314" s="24">
        <f>IF(AL313&gt;0,MIN(ROUND(AJ$6+IF(AJ$5=$C314,$E$5+$E314,0),2),ROUND(AL313+AK314,2)),0)</f>
        <v>0</v>
      </c>
      <c r="AK314" s="24">
        <f>IF(AL313&gt;0,ROUND(ROUND(AL313*100,0)*ROUND(AJ$7*10000,0)/12000000,0)/100,0)</f>
        <v>0</v>
      </c>
      <c r="AL314" s="24">
        <f>IF(AL313&gt;0,ROUND(AL313+AK314-AJ314,2),0)</f>
        <v>0</v>
      </c>
    </row>
    <row r="315" spans="1:38" x14ac:dyDescent="0.25">
      <c r="A315" s="17" t="str">
        <f>IF(F315&gt;0,305,"")</f>
        <v/>
      </c>
      <c r="B315" s="18" t="str">
        <f>IF(F315&gt;0,EDATE($E$6,305),"")</f>
        <v/>
      </c>
      <c r="C315" s="21">
        <f>IF(H314&gt;0,MIN(IF(K314&gt;0,I$5,99),IF(N314&gt;0,L$5,99),IF(Q314&gt;0,O$5,99),IF(T314&gt;0,R$5,99),IF(W314&gt;0,U$5,99),IF(Z314&gt;0,X$5,99),IF(AC314&gt;0,AA$5,99),IF(AF314&gt;0,AD$5,99),IF(AI314&gt;0,AG$5,99),IF(AL314&gt;0,AJ$5,99)),0)</f>
        <v>0</v>
      </c>
      <c r="D315" t="str">
        <f>IF(C315&gt;0,INDEX($I$4:$AL$4,1,MATCH(C315,$I$5:$AL$5,0)),"")</f>
        <v/>
      </c>
      <c r="E315" s="24">
        <f>ROUND(IF(AND(I$8&gt;0,K314=0),I$6,0)+IF(AND(L$8&gt;0,N314=0),L$6,0)+IF(AND(O$8&gt;0,Q314=0),O$6,0)+IF(AND(R$8&gt;0,T314=0),R$6,0)+IF(AND(U$8&gt;0,W314=0),U$6,0)+IF(AND(X$8&gt;0,Z314=0),X$6,0)+IF(AND(AA$8&gt;0,AC314=0),AA$6,0)+IF(AND(AD$8&gt;0,AF314=0),AD$6,0)+IF(AND(AG$8&gt;0,AI314=0),AG$6,0)+IF(AND(AJ$8&gt;0,AL314=0),AJ$6,0),2)</f>
        <v>330</v>
      </c>
      <c r="F315" s="24">
        <f>ROUND(I315+L315+O315+R315+U315+X315+AA315+AD315+AG315+AJ315,2)</f>
        <v>0</v>
      </c>
      <c r="G315" s="24">
        <f>ROUND(J315+M315+P315+S315+V315+Y315+AB315+AE315+AH315+AK315,2)</f>
        <v>0</v>
      </c>
      <c r="H315" s="24">
        <f>ROUND(K315+N315+Q315+T315+W315+Z315+AC315+AF315+AI315+AL315,2)</f>
        <v>0</v>
      </c>
      <c r="I315" s="24">
        <f>IF(K314&gt;0,MIN(ROUND(I$6+IF(I$5=$C315,$E$5+$E315,0),2),ROUND(K314+J315,2)),0)</f>
        <v>0</v>
      </c>
      <c r="J315" s="24">
        <f>IF(K314&gt;0,ROUND(ROUND(K314*100,0)*ROUND(I$7*10000,0)/12000000,0)/100,0)</f>
        <v>0</v>
      </c>
      <c r="K315" s="24">
        <f>IF(K314&gt;0,ROUND(K314+J315-I315,2),0)</f>
        <v>0</v>
      </c>
      <c r="L315" s="24">
        <f>IF(N314&gt;0,MIN(ROUND(L$6+IF(L$5=$C315,$E$5+$E315,0),2),ROUND(N314+M315,2)),0)</f>
        <v>0</v>
      </c>
      <c r="M315" s="24">
        <f>IF(N314&gt;0,ROUND(ROUND(N314*100,0)*ROUND(L$7*10000,0)/12000000,0)/100,0)</f>
        <v>0</v>
      </c>
      <c r="N315" s="24">
        <f>IF(N314&gt;0,ROUND(N314+M315-L315,2),0)</f>
        <v>0</v>
      </c>
      <c r="O315" s="24">
        <f>IF(Q314&gt;0,MIN(ROUND(O$6+IF(O$5=$C315,$E$5+$E315,0),2),ROUND(Q314+P315,2)),0)</f>
        <v>0</v>
      </c>
      <c r="P315" s="24">
        <f>IF(Q314&gt;0,ROUND(ROUND(Q314*100,0)*ROUND(O$7*10000,0)/12000000,0)/100,0)</f>
        <v>0</v>
      </c>
      <c r="Q315" s="24">
        <f>IF(Q314&gt;0,ROUND(Q314+P315-O315,2),0)</f>
        <v>0</v>
      </c>
      <c r="R315" s="24">
        <f>IF(T314&gt;0,MIN(ROUND(R$6+IF(R$5=$C315,$E$5+$E315,0),2),ROUND(T314+S315,2)),0)</f>
        <v>0</v>
      </c>
      <c r="S315" s="24">
        <f>IF(T314&gt;0,ROUND(ROUND(T314*100,0)*ROUND(R$7*10000,0)/12000000,0)/100,0)</f>
        <v>0</v>
      </c>
      <c r="T315" s="24">
        <f>IF(T314&gt;0,ROUND(T314+S315-R315,2),0)</f>
        <v>0</v>
      </c>
      <c r="U315" s="24">
        <f>IF(W314&gt;0,MIN(ROUND(U$6+IF(U$5=$C315,$E$5+$E315,0),2),ROUND(W314+V315,2)),0)</f>
        <v>0</v>
      </c>
      <c r="V315" s="24">
        <f>IF(W314&gt;0,ROUND(ROUND(W314*100,0)*ROUND(U$7*10000,0)/12000000,0)/100,0)</f>
        <v>0</v>
      </c>
      <c r="W315" s="24">
        <f>IF(W314&gt;0,ROUND(W314+V315-U315,2),0)</f>
        <v>0</v>
      </c>
      <c r="X315" s="24">
        <f>IF(Z314&gt;0,MIN(ROUND(X$6+IF(X$5=$C315,$E$5+$E315,0),2),ROUND(Z314+Y315,2)),0)</f>
        <v>0</v>
      </c>
      <c r="Y315" s="24">
        <f>IF(Z314&gt;0,ROUND(ROUND(Z314*100,0)*ROUND(X$7*10000,0)/12000000,0)/100,0)</f>
        <v>0</v>
      </c>
      <c r="Z315" s="24">
        <f>IF(Z314&gt;0,ROUND(Z314+Y315-X315,2),0)</f>
        <v>0</v>
      </c>
      <c r="AA315" s="24">
        <f>IF(AC314&gt;0,MIN(ROUND(AA$6+IF(AA$5=$C315,$E$5+$E315,0),2),ROUND(AC314+AB315,2)),0)</f>
        <v>0</v>
      </c>
      <c r="AB315" s="24">
        <f>IF(AC314&gt;0,ROUND(ROUND(AC314*100,0)*ROUND(AA$7*10000,0)/12000000,0)/100,0)</f>
        <v>0</v>
      </c>
      <c r="AC315" s="24">
        <f>IF(AC314&gt;0,ROUND(AC314+AB315-AA315,2),0)</f>
        <v>0</v>
      </c>
      <c r="AD315" s="24">
        <f>IF(AF314&gt;0,MIN(ROUND(AD$6+IF(AD$5=$C315,$E$5+$E315,0),2),ROUND(AF314+AE315,2)),0)</f>
        <v>0</v>
      </c>
      <c r="AE315" s="24">
        <f>IF(AF314&gt;0,ROUND(ROUND(AF314*100,0)*ROUND(AD$7*10000,0)/12000000,0)/100,0)</f>
        <v>0</v>
      </c>
      <c r="AF315" s="24">
        <f>IF(AF314&gt;0,ROUND(AF314+AE315-AD315,2),0)</f>
        <v>0</v>
      </c>
      <c r="AG315" s="24">
        <f>IF(AI314&gt;0,MIN(ROUND(AG$6+IF(AG$5=$C315,$E$5+$E315,0),2),ROUND(AI314+AH315,2)),0)</f>
        <v>0</v>
      </c>
      <c r="AH315" s="24">
        <f>IF(AI314&gt;0,ROUND(ROUND(AI314*100,0)*ROUND(AG$7*10000,0)/12000000,0)/100,0)</f>
        <v>0</v>
      </c>
      <c r="AI315" s="24">
        <f>IF(AI314&gt;0,ROUND(AI314+AH315-AG315,2),0)</f>
        <v>0</v>
      </c>
      <c r="AJ315" s="24">
        <f>IF(AL314&gt;0,MIN(ROUND(AJ$6+IF(AJ$5=$C315,$E$5+$E315,0),2),ROUND(AL314+AK315,2)),0)</f>
        <v>0</v>
      </c>
      <c r="AK315" s="24">
        <f>IF(AL314&gt;0,ROUND(ROUND(AL314*100,0)*ROUND(AJ$7*10000,0)/12000000,0)/100,0)</f>
        <v>0</v>
      </c>
      <c r="AL315" s="24">
        <f>IF(AL314&gt;0,ROUND(AL314+AK315-AJ315,2),0)</f>
        <v>0</v>
      </c>
    </row>
    <row r="316" spans="1:38" x14ac:dyDescent="0.25">
      <c r="A316" s="17" t="str">
        <f>IF(F316&gt;0,306,"")</f>
        <v/>
      </c>
      <c r="B316" s="18" t="str">
        <f>IF(F316&gt;0,EDATE($E$6,306),"")</f>
        <v/>
      </c>
      <c r="C316" s="21">
        <f>IF(H315&gt;0,MIN(IF(K315&gt;0,I$5,99),IF(N315&gt;0,L$5,99),IF(Q315&gt;0,O$5,99),IF(T315&gt;0,R$5,99),IF(W315&gt;0,U$5,99),IF(Z315&gt;0,X$5,99),IF(AC315&gt;0,AA$5,99),IF(AF315&gt;0,AD$5,99),IF(AI315&gt;0,AG$5,99),IF(AL315&gt;0,AJ$5,99)),0)</f>
        <v>0</v>
      </c>
      <c r="D316" t="str">
        <f>IF(C316&gt;0,INDEX($I$4:$AL$4,1,MATCH(C316,$I$5:$AL$5,0)),"")</f>
        <v/>
      </c>
      <c r="E316" s="24">
        <f>ROUND(IF(AND(I$8&gt;0,K315=0),I$6,0)+IF(AND(L$8&gt;0,N315=0),L$6,0)+IF(AND(O$8&gt;0,Q315=0),O$6,0)+IF(AND(R$8&gt;0,T315=0),R$6,0)+IF(AND(U$8&gt;0,W315=0),U$6,0)+IF(AND(X$8&gt;0,Z315=0),X$6,0)+IF(AND(AA$8&gt;0,AC315=0),AA$6,0)+IF(AND(AD$8&gt;0,AF315=0),AD$6,0)+IF(AND(AG$8&gt;0,AI315=0),AG$6,0)+IF(AND(AJ$8&gt;0,AL315=0),AJ$6,0),2)</f>
        <v>330</v>
      </c>
      <c r="F316" s="24">
        <f>ROUND(I316+L316+O316+R316+U316+X316+AA316+AD316+AG316+AJ316,2)</f>
        <v>0</v>
      </c>
      <c r="G316" s="24">
        <f>ROUND(J316+M316+P316+S316+V316+Y316+AB316+AE316+AH316+AK316,2)</f>
        <v>0</v>
      </c>
      <c r="H316" s="24">
        <f>ROUND(K316+N316+Q316+T316+W316+Z316+AC316+AF316+AI316+AL316,2)</f>
        <v>0</v>
      </c>
      <c r="I316" s="24">
        <f>IF(K315&gt;0,MIN(ROUND(I$6+IF(I$5=$C316,$E$5+$E316,0),2),ROUND(K315+J316,2)),0)</f>
        <v>0</v>
      </c>
      <c r="J316" s="24">
        <f>IF(K315&gt;0,ROUND(ROUND(K315*100,0)*ROUND(I$7*10000,0)/12000000,0)/100,0)</f>
        <v>0</v>
      </c>
      <c r="K316" s="24">
        <f>IF(K315&gt;0,ROUND(K315+J316-I316,2),0)</f>
        <v>0</v>
      </c>
      <c r="L316" s="24">
        <f>IF(N315&gt;0,MIN(ROUND(L$6+IF(L$5=$C316,$E$5+$E316,0),2),ROUND(N315+M316,2)),0)</f>
        <v>0</v>
      </c>
      <c r="M316" s="24">
        <f>IF(N315&gt;0,ROUND(ROUND(N315*100,0)*ROUND(L$7*10000,0)/12000000,0)/100,0)</f>
        <v>0</v>
      </c>
      <c r="N316" s="24">
        <f>IF(N315&gt;0,ROUND(N315+M316-L316,2),0)</f>
        <v>0</v>
      </c>
      <c r="O316" s="24">
        <f>IF(Q315&gt;0,MIN(ROUND(O$6+IF(O$5=$C316,$E$5+$E316,0),2),ROUND(Q315+P316,2)),0)</f>
        <v>0</v>
      </c>
      <c r="P316" s="24">
        <f>IF(Q315&gt;0,ROUND(ROUND(Q315*100,0)*ROUND(O$7*10000,0)/12000000,0)/100,0)</f>
        <v>0</v>
      </c>
      <c r="Q316" s="24">
        <f>IF(Q315&gt;0,ROUND(Q315+P316-O316,2),0)</f>
        <v>0</v>
      </c>
      <c r="R316" s="24">
        <f>IF(T315&gt;0,MIN(ROUND(R$6+IF(R$5=$C316,$E$5+$E316,0),2),ROUND(T315+S316,2)),0)</f>
        <v>0</v>
      </c>
      <c r="S316" s="24">
        <f>IF(T315&gt;0,ROUND(ROUND(T315*100,0)*ROUND(R$7*10000,0)/12000000,0)/100,0)</f>
        <v>0</v>
      </c>
      <c r="T316" s="24">
        <f>IF(T315&gt;0,ROUND(T315+S316-R316,2),0)</f>
        <v>0</v>
      </c>
      <c r="U316" s="24">
        <f>IF(W315&gt;0,MIN(ROUND(U$6+IF(U$5=$C316,$E$5+$E316,0),2),ROUND(W315+V316,2)),0)</f>
        <v>0</v>
      </c>
      <c r="V316" s="24">
        <f>IF(W315&gt;0,ROUND(ROUND(W315*100,0)*ROUND(U$7*10000,0)/12000000,0)/100,0)</f>
        <v>0</v>
      </c>
      <c r="W316" s="24">
        <f>IF(W315&gt;0,ROUND(W315+V316-U316,2),0)</f>
        <v>0</v>
      </c>
      <c r="X316" s="24">
        <f>IF(Z315&gt;0,MIN(ROUND(X$6+IF(X$5=$C316,$E$5+$E316,0),2),ROUND(Z315+Y316,2)),0)</f>
        <v>0</v>
      </c>
      <c r="Y316" s="24">
        <f>IF(Z315&gt;0,ROUND(ROUND(Z315*100,0)*ROUND(X$7*10000,0)/12000000,0)/100,0)</f>
        <v>0</v>
      </c>
      <c r="Z316" s="24">
        <f>IF(Z315&gt;0,ROUND(Z315+Y316-X316,2),0)</f>
        <v>0</v>
      </c>
      <c r="AA316" s="24">
        <f>IF(AC315&gt;0,MIN(ROUND(AA$6+IF(AA$5=$C316,$E$5+$E316,0),2),ROUND(AC315+AB316,2)),0)</f>
        <v>0</v>
      </c>
      <c r="AB316" s="24">
        <f>IF(AC315&gt;0,ROUND(ROUND(AC315*100,0)*ROUND(AA$7*10000,0)/12000000,0)/100,0)</f>
        <v>0</v>
      </c>
      <c r="AC316" s="24">
        <f>IF(AC315&gt;0,ROUND(AC315+AB316-AA316,2),0)</f>
        <v>0</v>
      </c>
      <c r="AD316" s="24">
        <f>IF(AF315&gt;0,MIN(ROUND(AD$6+IF(AD$5=$C316,$E$5+$E316,0),2),ROUND(AF315+AE316,2)),0)</f>
        <v>0</v>
      </c>
      <c r="AE316" s="24">
        <f>IF(AF315&gt;0,ROUND(ROUND(AF315*100,0)*ROUND(AD$7*10000,0)/12000000,0)/100,0)</f>
        <v>0</v>
      </c>
      <c r="AF316" s="24">
        <f>IF(AF315&gt;0,ROUND(AF315+AE316-AD316,2),0)</f>
        <v>0</v>
      </c>
      <c r="AG316" s="24">
        <f>IF(AI315&gt;0,MIN(ROUND(AG$6+IF(AG$5=$C316,$E$5+$E316,0),2),ROUND(AI315+AH316,2)),0)</f>
        <v>0</v>
      </c>
      <c r="AH316" s="24">
        <f>IF(AI315&gt;0,ROUND(ROUND(AI315*100,0)*ROUND(AG$7*10000,0)/12000000,0)/100,0)</f>
        <v>0</v>
      </c>
      <c r="AI316" s="24">
        <f>IF(AI315&gt;0,ROUND(AI315+AH316-AG316,2),0)</f>
        <v>0</v>
      </c>
      <c r="AJ316" s="24">
        <f>IF(AL315&gt;0,MIN(ROUND(AJ$6+IF(AJ$5=$C316,$E$5+$E316,0),2),ROUND(AL315+AK316,2)),0)</f>
        <v>0</v>
      </c>
      <c r="AK316" s="24">
        <f>IF(AL315&gt;0,ROUND(ROUND(AL315*100,0)*ROUND(AJ$7*10000,0)/12000000,0)/100,0)</f>
        <v>0</v>
      </c>
      <c r="AL316" s="24">
        <f>IF(AL315&gt;0,ROUND(AL315+AK316-AJ316,2),0)</f>
        <v>0</v>
      </c>
    </row>
    <row r="317" spans="1:38" x14ac:dyDescent="0.25">
      <c r="A317" s="17" t="str">
        <f>IF(F317&gt;0,307,"")</f>
        <v/>
      </c>
      <c r="B317" s="18" t="str">
        <f>IF(F317&gt;0,EDATE($E$6,307),"")</f>
        <v/>
      </c>
      <c r="C317" s="21">
        <f>IF(H316&gt;0,MIN(IF(K316&gt;0,I$5,99),IF(N316&gt;0,L$5,99),IF(Q316&gt;0,O$5,99),IF(T316&gt;0,R$5,99),IF(W316&gt;0,U$5,99),IF(Z316&gt;0,X$5,99),IF(AC316&gt;0,AA$5,99),IF(AF316&gt;0,AD$5,99),IF(AI316&gt;0,AG$5,99),IF(AL316&gt;0,AJ$5,99)),0)</f>
        <v>0</v>
      </c>
      <c r="D317" t="str">
        <f>IF(C317&gt;0,INDEX($I$4:$AL$4,1,MATCH(C317,$I$5:$AL$5,0)),"")</f>
        <v/>
      </c>
      <c r="E317" s="24">
        <f>ROUND(IF(AND(I$8&gt;0,K316=0),I$6,0)+IF(AND(L$8&gt;0,N316=0),L$6,0)+IF(AND(O$8&gt;0,Q316=0),O$6,0)+IF(AND(R$8&gt;0,T316=0),R$6,0)+IF(AND(U$8&gt;0,W316=0),U$6,0)+IF(AND(X$8&gt;0,Z316=0),X$6,0)+IF(AND(AA$8&gt;0,AC316=0),AA$6,0)+IF(AND(AD$8&gt;0,AF316=0),AD$6,0)+IF(AND(AG$8&gt;0,AI316=0),AG$6,0)+IF(AND(AJ$8&gt;0,AL316=0),AJ$6,0),2)</f>
        <v>330</v>
      </c>
      <c r="F317" s="24">
        <f>ROUND(I317+L317+O317+R317+U317+X317+AA317+AD317+AG317+AJ317,2)</f>
        <v>0</v>
      </c>
      <c r="G317" s="24">
        <f>ROUND(J317+M317+P317+S317+V317+Y317+AB317+AE317+AH317+AK317,2)</f>
        <v>0</v>
      </c>
      <c r="H317" s="24">
        <f>ROUND(K317+N317+Q317+T317+W317+Z317+AC317+AF317+AI317+AL317,2)</f>
        <v>0</v>
      </c>
      <c r="I317" s="24">
        <f>IF(K316&gt;0,MIN(ROUND(I$6+IF(I$5=$C317,$E$5+$E317,0),2),ROUND(K316+J317,2)),0)</f>
        <v>0</v>
      </c>
      <c r="J317" s="24">
        <f>IF(K316&gt;0,ROUND(ROUND(K316*100,0)*ROUND(I$7*10000,0)/12000000,0)/100,0)</f>
        <v>0</v>
      </c>
      <c r="K317" s="24">
        <f>IF(K316&gt;0,ROUND(K316+J317-I317,2),0)</f>
        <v>0</v>
      </c>
      <c r="L317" s="24">
        <f>IF(N316&gt;0,MIN(ROUND(L$6+IF(L$5=$C317,$E$5+$E317,0),2),ROUND(N316+M317,2)),0)</f>
        <v>0</v>
      </c>
      <c r="M317" s="24">
        <f>IF(N316&gt;0,ROUND(ROUND(N316*100,0)*ROUND(L$7*10000,0)/12000000,0)/100,0)</f>
        <v>0</v>
      </c>
      <c r="N317" s="24">
        <f>IF(N316&gt;0,ROUND(N316+M317-L317,2),0)</f>
        <v>0</v>
      </c>
      <c r="O317" s="24">
        <f>IF(Q316&gt;0,MIN(ROUND(O$6+IF(O$5=$C317,$E$5+$E317,0),2),ROUND(Q316+P317,2)),0)</f>
        <v>0</v>
      </c>
      <c r="P317" s="24">
        <f>IF(Q316&gt;0,ROUND(ROUND(Q316*100,0)*ROUND(O$7*10000,0)/12000000,0)/100,0)</f>
        <v>0</v>
      </c>
      <c r="Q317" s="24">
        <f>IF(Q316&gt;0,ROUND(Q316+P317-O317,2),0)</f>
        <v>0</v>
      </c>
      <c r="R317" s="24">
        <f>IF(T316&gt;0,MIN(ROUND(R$6+IF(R$5=$C317,$E$5+$E317,0),2),ROUND(T316+S317,2)),0)</f>
        <v>0</v>
      </c>
      <c r="S317" s="24">
        <f>IF(T316&gt;0,ROUND(ROUND(T316*100,0)*ROUND(R$7*10000,0)/12000000,0)/100,0)</f>
        <v>0</v>
      </c>
      <c r="T317" s="24">
        <f>IF(T316&gt;0,ROUND(T316+S317-R317,2),0)</f>
        <v>0</v>
      </c>
      <c r="U317" s="24">
        <f>IF(W316&gt;0,MIN(ROUND(U$6+IF(U$5=$C317,$E$5+$E317,0),2),ROUND(W316+V317,2)),0)</f>
        <v>0</v>
      </c>
      <c r="V317" s="24">
        <f>IF(W316&gt;0,ROUND(ROUND(W316*100,0)*ROUND(U$7*10000,0)/12000000,0)/100,0)</f>
        <v>0</v>
      </c>
      <c r="W317" s="24">
        <f>IF(W316&gt;0,ROUND(W316+V317-U317,2),0)</f>
        <v>0</v>
      </c>
      <c r="X317" s="24">
        <f>IF(Z316&gt;0,MIN(ROUND(X$6+IF(X$5=$C317,$E$5+$E317,0),2),ROUND(Z316+Y317,2)),0)</f>
        <v>0</v>
      </c>
      <c r="Y317" s="24">
        <f>IF(Z316&gt;0,ROUND(ROUND(Z316*100,0)*ROUND(X$7*10000,0)/12000000,0)/100,0)</f>
        <v>0</v>
      </c>
      <c r="Z317" s="24">
        <f>IF(Z316&gt;0,ROUND(Z316+Y317-X317,2),0)</f>
        <v>0</v>
      </c>
      <c r="AA317" s="24">
        <f>IF(AC316&gt;0,MIN(ROUND(AA$6+IF(AA$5=$C317,$E$5+$E317,0),2),ROUND(AC316+AB317,2)),0)</f>
        <v>0</v>
      </c>
      <c r="AB317" s="24">
        <f>IF(AC316&gt;0,ROUND(ROUND(AC316*100,0)*ROUND(AA$7*10000,0)/12000000,0)/100,0)</f>
        <v>0</v>
      </c>
      <c r="AC317" s="24">
        <f>IF(AC316&gt;0,ROUND(AC316+AB317-AA317,2),0)</f>
        <v>0</v>
      </c>
      <c r="AD317" s="24">
        <f>IF(AF316&gt;0,MIN(ROUND(AD$6+IF(AD$5=$C317,$E$5+$E317,0),2),ROUND(AF316+AE317,2)),0)</f>
        <v>0</v>
      </c>
      <c r="AE317" s="24">
        <f>IF(AF316&gt;0,ROUND(ROUND(AF316*100,0)*ROUND(AD$7*10000,0)/12000000,0)/100,0)</f>
        <v>0</v>
      </c>
      <c r="AF317" s="24">
        <f>IF(AF316&gt;0,ROUND(AF316+AE317-AD317,2),0)</f>
        <v>0</v>
      </c>
      <c r="AG317" s="24">
        <f>IF(AI316&gt;0,MIN(ROUND(AG$6+IF(AG$5=$C317,$E$5+$E317,0),2),ROUND(AI316+AH317,2)),0)</f>
        <v>0</v>
      </c>
      <c r="AH317" s="24">
        <f>IF(AI316&gt;0,ROUND(ROUND(AI316*100,0)*ROUND(AG$7*10000,0)/12000000,0)/100,0)</f>
        <v>0</v>
      </c>
      <c r="AI317" s="24">
        <f>IF(AI316&gt;0,ROUND(AI316+AH317-AG317,2),0)</f>
        <v>0</v>
      </c>
      <c r="AJ317" s="24">
        <f>IF(AL316&gt;0,MIN(ROUND(AJ$6+IF(AJ$5=$C317,$E$5+$E317,0),2),ROUND(AL316+AK317,2)),0)</f>
        <v>0</v>
      </c>
      <c r="AK317" s="24">
        <f>IF(AL316&gt;0,ROUND(ROUND(AL316*100,0)*ROUND(AJ$7*10000,0)/12000000,0)/100,0)</f>
        <v>0</v>
      </c>
      <c r="AL317" s="24">
        <f>IF(AL316&gt;0,ROUND(AL316+AK317-AJ317,2),0)</f>
        <v>0</v>
      </c>
    </row>
    <row r="318" spans="1:38" x14ac:dyDescent="0.25">
      <c r="A318" s="17" t="str">
        <f>IF(F318&gt;0,308,"")</f>
        <v/>
      </c>
      <c r="B318" s="18" t="str">
        <f>IF(F318&gt;0,EDATE($E$6,308),"")</f>
        <v/>
      </c>
      <c r="C318" s="21">
        <f>IF(H317&gt;0,MIN(IF(K317&gt;0,I$5,99),IF(N317&gt;0,L$5,99),IF(Q317&gt;0,O$5,99),IF(T317&gt;0,R$5,99),IF(W317&gt;0,U$5,99),IF(Z317&gt;0,X$5,99),IF(AC317&gt;0,AA$5,99),IF(AF317&gt;0,AD$5,99),IF(AI317&gt;0,AG$5,99),IF(AL317&gt;0,AJ$5,99)),0)</f>
        <v>0</v>
      </c>
      <c r="D318" t="str">
        <f>IF(C318&gt;0,INDEX($I$4:$AL$4,1,MATCH(C318,$I$5:$AL$5,0)),"")</f>
        <v/>
      </c>
      <c r="E318" s="24">
        <f>ROUND(IF(AND(I$8&gt;0,K317=0),I$6,0)+IF(AND(L$8&gt;0,N317=0),L$6,0)+IF(AND(O$8&gt;0,Q317=0),O$6,0)+IF(AND(R$8&gt;0,T317=0),R$6,0)+IF(AND(U$8&gt;0,W317=0),U$6,0)+IF(AND(X$8&gt;0,Z317=0),X$6,0)+IF(AND(AA$8&gt;0,AC317=0),AA$6,0)+IF(AND(AD$8&gt;0,AF317=0),AD$6,0)+IF(AND(AG$8&gt;0,AI317=0),AG$6,0)+IF(AND(AJ$8&gt;0,AL317=0),AJ$6,0),2)</f>
        <v>330</v>
      </c>
      <c r="F318" s="24">
        <f>ROUND(I318+L318+O318+R318+U318+X318+AA318+AD318+AG318+AJ318,2)</f>
        <v>0</v>
      </c>
      <c r="G318" s="24">
        <f>ROUND(J318+M318+P318+S318+V318+Y318+AB318+AE318+AH318+AK318,2)</f>
        <v>0</v>
      </c>
      <c r="H318" s="24">
        <f>ROUND(K318+N318+Q318+T318+W318+Z318+AC318+AF318+AI318+AL318,2)</f>
        <v>0</v>
      </c>
      <c r="I318" s="24">
        <f>IF(K317&gt;0,MIN(ROUND(I$6+IF(I$5=$C318,$E$5+$E318,0),2),ROUND(K317+J318,2)),0)</f>
        <v>0</v>
      </c>
      <c r="J318" s="24">
        <f>IF(K317&gt;0,ROUND(ROUND(K317*100,0)*ROUND(I$7*10000,0)/12000000,0)/100,0)</f>
        <v>0</v>
      </c>
      <c r="K318" s="24">
        <f>IF(K317&gt;0,ROUND(K317+J318-I318,2),0)</f>
        <v>0</v>
      </c>
      <c r="L318" s="24">
        <f>IF(N317&gt;0,MIN(ROUND(L$6+IF(L$5=$C318,$E$5+$E318,0),2),ROUND(N317+M318,2)),0)</f>
        <v>0</v>
      </c>
      <c r="M318" s="24">
        <f>IF(N317&gt;0,ROUND(ROUND(N317*100,0)*ROUND(L$7*10000,0)/12000000,0)/100,0)</f>
        <v>0</v>
      </c>
      <c r="N318" s="24">
        <f>IF(N317&gt;0,ROUND(N317+M318-L318,2),0)</f>
        <v>0</v>
      </c>
      <c r="O318" s="24">
        <f>IF(Q317&gt;0,MIN(ROUND(O$6+IF(O$5=$C318,$E$5+$E318,0),2),ROUND(Q317+P318,2)),0)</f>
        <v>0</v>
      </c>
      <c r="P318" s="24">
        <f>IF(Q317&gt;0,ROUND(ROUND(Q317*100,0)*ROUND(O$7*10000,0)/12000000,0)/100,0)</f>
        <v>0</v>
      </c>
      <c r="Q318" s="24">
        <f>IF(Q317&gt;0,ROUND(Q317+P318-O318,2),0)</f>
        <v>0</v>
      </c>
      <c r="R318" s="24">
        <f>IF(T317&gt;0,MIN(ROUND(R$6+IF(R$5=$C318,$E$5+$E318,0),2),ROUND(T317+S318,2)),0)</f>
        <v>0</v>
      </c>
      <c r="S318" s="24">
        <f>IF(T317&gt;0,ROUND(ROUND(T317*100,0)*ROUND(R$7*10000,0)/12000000,0)/100,0)</f>
        <v>0</v>
      </c>
      <c r="T318" s="24">
        <f>IF(T317&gt;0,ROUND(T317+S318-R318,2),0)</f>
        <v>0</v>
      </c>
      <c r="U318" s="24">
        <f>IF(W317&gt;0,MIN(ROUND(U$6+IF(U$5=$C318,$E$5+$E318,0),2),ROUND(W317+V318,2)),0)</f>
        <v>0</v>
      </c>
      <c r="V318" s="24">
        <f>IF(W317&gt;0,ROUND(ROUND(W317*100,0)*ROUND(U$7*10000,0)/12000000,0)/100,0)</f>
        <v>0</v>
      </c>
      <c r="W318" s="24">
        <f>IF(W317&gt;0,ROUND(W317+V318-U318,2),0)</f>
        <v>0</v>
      </c>
      <c r="X318" s="24">
        <f>IF(Z317&gt;0,MIN(ROUND(X$6+IF(X$5=$C318,$E$5+$E318,0),2),ROUND(Z317+Y318,2)),0)</f>
        <v>0</v>
      </c>
      <c r="Y318" s="24">
        <f>IF(Z317&gt;0,ROUND(ROUND(Z317*100,0)*ROUND(X$7*10000,0)/12000000,0)/100,0)</f>
        <v>0</v>
      </c>
      <c r="Z318" s="24">
        <f>IF(Z317&gt;0,ROUND(Z317+Y318-X318,2),0)</f>
        <v>0</v>
      </c>
      <c r="AA318" s="24">
        <f>IF(AC317&gt;0,MIN(ROUND(AA$6+IF(AA$5=$C318,$E$5+$E318,0),2),ROUND(AC317+AB318,2)),0)</f>
        <v>0</v>
      </c>
      <c r="AB318" s="24">
        <f>IF(AC317&gt;0,ROUND(ROUND(AC317*100,0)*ROUND(AA$7*10000,0)/12000000,0)/100,0)</f>
        <v>0</v>
      </c>
      <c r="AC318" s="24">
        <f>IF(AC317&gt;0,ROUND(AC317+AB318-AA318,2),0)</f>
        <v>0</v>
      </c>
      <c r="AD318" s="24">
        <f>IF(AF317&gt;0,MIN(ROUND(AD$6+IF(AD$5=$C318,$E$5+$E318,0),2),ROUND(AF317+AE318,2)),0)</f>
        <v>0</v>
      </c>
      <c r="AE318" s="24">
        <f>IF(AF317&gt;0,ROUND(ROUND(AF317*100,0)*ROUND(AD$7*10000,0)/12000000,0)/100,0)</f>
        <v>0</v>
      </c>
      <c r="AF318" s="24">
        <f>IF(AF317&gt;0,ROUND(AF317+AE318-AD318,2),0)</f>
        <v>0</v>
      </c>
      <c r="AG318" s="24">
        <f>IF(AI317&gt;0,MIN(ROUND(AG$6+IF(AG$5=$C318,$E$5+$E318,0),2),ROUND(AI317+AH318,2)),0)</f>
        <v>0</v>
      </c>
      <c r="AH318" s="24">
        <f>IF(AI317&gt;0,ROUND(ROUND(AI317*100,0)*ROUND(AG$7*10000,0)/12000000,0)/100,0)</f>
        <v>0</v>
      </c>
      <c r="AI318" s="24">
        <f>IF(AI317&gt;0,ROUND(AI317+AH318-AG318,2),0)</f>
        <v>0</v>
      </c>
      <c r="AJ318" s="24">
        <f>IF(AL317&gt;0,MIN(ROUND(AJ$6+IF(AJ$5=$C318,$E$5+$E318,0),2),ROUND(AL317+AK318,2)),0)</f>
        <v>0</v>
      </c>
      <c r="AK318" s="24">
        <f>IF(AL317&gt;0,ROUND(ROUND(AL317*100,0)*ROUND(AJ$7*10000,0)/12000000,0)/100,0)</f>
        <v>0</v>
      </c>
      <c r="AL318" s="24">
        <f>IF(AL317&gt;0,ROUND(AL317+AK318-AJ318,2),0)</f>
        <v>0</v>
      </c>
    </row>
    <row r="319" spans="1:38" x14ac:dyDescent="0.25">
      <c r="A319" s="17" t="str">
        <f>IF(F319&gt;0,309,"")</f>
        <v/>
      </c>
      <c r="B319" s="18" t="str">
        <f>IF(F319&gt;0,EDATE($E$6,309),"")</f>
        <v/>
      </c>
      <c r="C319" s="21">
        <f>IF(H318&gt;0,MIN(IF(K318&gt;0,I$5,99),IF(N318&gt;0,L$5,99),IF(Q318&gt;0,O$5,99),IF(T318&gt;0,R$5,99),IF(W318&gt;0,U$5,99),IF(Z318&gt;0,X$5,99),IF(AC318&gt;0,AA$5,99),IF(AF318&gt;0,AD$5,99),IF(AI318&gt;0,AG$5,99),IF(AL318&gt;0,AJ$5,99)),0)</f>
        <v>0</v>
      </c>
      <c r="D319" t="str">
        <f>IF(C319&gt;0,INDEX($I$4:$AL$4,1,MATCH(C319,$I$5:$AL$5,0)),"")</f>
        <v/>
      </c>
      <c r="E319" s="24">
        <f>ROUND(IF(AND(I$8&gt;0,K318=0),I$6,0)+IF(AND(L$8&gt;0,N318=0),L$6,0)+IF(AND(O$8&gt;0,Q318=0),O$6,0)+IF(AND(R$8&gt;0,T318=0),R$6,0)+IF(AND(U$8&gt;0,W318=0),U$6,0)+IF(AND(X$8&gt;0,Z318=0),X$6,0)+IF(AND(AA$8&gt;0,AC318=0),AA$6,0)+IF(AND(AD$8&gt;0,AF318=0),AD$6,0)+IF(AND(AG$8&gt;0,AI318=0),AG$6,0)+IF(AND(AJ$8&gt;0,AL318=0),AJ$6,0),2)</f>
        <v>330</v>
      </c>
      <c r="F319" s="24">
        <f>ROUND(I319+L319+O319+R319+U319+X319+AA319+AD319+AG319+AJ319,2)</f>
        <v>0</v>
      </c>
      <c r="G319" s="24">
        <f>ROUND(J319+M319+P319+S319+V319+Y319+AB319+AE319+AH319+AK319,2)</f>
        <v>0</v>
      </c>
      <c r="H319" s="24">
        <f>ROUND(K319+N319+Q319+T319+W319+Z319+AC319+AF319+AI319+AL319,2)</f>
        <v>0</v>
      </c>
      <c r="I319" s="24">
        <f>IF(K318&gt;0,MIN(ROUND(I$6+IF(I$5=$C319,$E$5+$E319,0),2),ROUND(K318+J319,2)),0)</f>
        <v>0</v>
      </c>
      <c r="J319" s="24">
        <f>IF(K318&gt;0,ROUND(ROUND(K318*100,0)*ROUND(I$7*10000,0)/12000000,0)/100,0)</f>
        <v>0</v>
      </c>
      <c r="K319" s="24">
        <f>IF(K318&gt;0,ROUND(K318+J319-I319,2),0)</f>
        <v>0</v>
      </c>
      <c r="L319" s="24">
        <f>IF(N318&gt;0,MIN(ROUND(L$6+IF(L$5=$C319,$E$5+$E319,0),2),ROUND(N318+M319,2)),0)</f>
        <v>0</v>
      </c>
      <c r="M319" s="24">
        <f>IF(N318&gt;0,ROUND(ROUND(N318*100,0)*ROUND(L$7*10000,0)/12000000,0)/100,0)</f>
        <v>0</v>
      </c>
      <c r="N319" s="24">
        <f>IF(N318&gt;0,ROUND(N318+M319-L319,2),0)</f>
        <v>0</v>
      </c>
      <c r="O319" s="24">
        <f>IF(Q318&gt;0,MIN(ROUND(O$6+IF(O$5=$C319,$E$5+$E319,0),2),ROUND(Q318+P319,2)),0)</f>
        <v>0</v>
      </c>
      <c r="P319" s="24">
        <f>IF(Q318&gt;0,ROUND(ROUND(Q318*100,0)*ROUND(O$7*10000,0)/12000000,0)/100,0)</f>
        <v>0</v>
      </c>
      <c r="Q319" s="24">
        <f>IF(Q318&gt;0,ROUND(Q318+P319-O319,2),0)</f>
        <v>0</v>
      </c>
      <c r="R319" s="24">
        <f>IF(T318&gt;0,MIN(ROUND(R$6+IF(R$5=$C319,$E$5+$E319,0),2),ROUND(T318+S319,2)),0)</f>
        <v>0</v>
      </c>
      <c r="S319" s="24">
        <f>IF(T318&gt;0,ROUND(ROUND(T318*100,0)*ROUND(R$7*10000,0)/12000000,0)/100,0)</f>
        <v>0</v>
      </c>
      <c r="T319" s="24">
        <f>IF(T318&gt;0,ROUND(T318+S319-R319,2),0)</f>
        <v>0</v>
      </c>
      <c r="U319" s="24">
        <f>IF(W318&gt;0,MIN(ROUND(U$6+IF(U$5=$C319,$E$5+$E319,0),2),ROUND(W318+V319,2)),0)</f>
        <v>0</v>
      </c>
      <c r="V319" s="24">
        <f>IF(W318&gt;0,ROUND(ROUND(W318*100,0)*ROUND(U$7*10000,0)/12000000,0)/100,0)</f>
        <v>0</v>
      </c>
      <c r="W319" s="24">
        <f>IF(W318&gt;0,ROUND(W318+V319-U319,2),0)</f>
        <v>0</v>
      </c>
      <c r="X319" s="24">
        <f>IF(Z318&gt;0,MIN(ROUND(X$6+IF(X$5=$C319,$E$5+$E319,0),2),ROUND(Z318+Y319,2)),0)</f>
        <v>0</v>
      </c>
      <c r="Y319" s="24">
        <f>IF(Z318&gt;0,ROUND(ROUND(Z318*100,0)*ROUND(X$7*10000,0)/12000000,0)/100,0)</f>
        <v>0</v>
      </c>
      <c r="Z319" s="24">
        <f>IF(Z318&gt;0,ROUND(Z318+Y319-X319,2),0)</f>
        <v>0</v>
      </c>
      <c r="AA319" s="24">
        <f>IF(AC318&gt;0,MIN(ROUND(AA$6+IF(AA$5=$C319,$E$5+$E319,0),2),ROUND(AC318+AB319,2)),0)</f>
        <v>0</v>
      </c>
      <c r="AB319" s="24">
        <f>IF(AC318&gt;0,ROUND(ROUND(AC318*100,0)*ROUND(AA$7*10000,0)/12000000,0)/100,0)</f>
        <v>0</v>
      </c>
      <c r="AC319" s="24">
        <f>IF(AC318&gt;0,ROUND(AC318+AB319-AA319,2),0)</f>
        <v>0</v>
      </c>
      <c r="AD319" s="24">
        <f>IF(AF318&gt;0,MIN(ROUND(AD$6+IF(AD$5=$C319,$E$5+$E319,0),2),ROUND(AF318+AE319,2)),0)</f>
        <v>0</v>
      </c>
      <c r="AE319" s="24">
        <f>IF(AF318&gt;0,ROUND(ROUND(AF318*100,0)*ROUND(AD$7*10000,0)/12000000,0)/100,0)</f>
        <v>0</v>
      </c>
      <c r="AF319" s="24">
        <f>IF(AF318&gt;0,ROUND(AF318+AE319-AD319,2),0)</f>
        <v>0</v>
      </c>
      <c r="AG319" s="24">
        <f>IF(AI318&gt;0,MIN(ROUND(AG$6+IF(AG$5=$C319,$E$5+$E319,0),2),ROUND(AI318+AH319,2)),0)</f>
        <v>0</v>
      </c>
      <c r="AH319" s="24">
        <f>IF(AI318&gt;0,ROUND(ROUND(AI318*100,0)*ROUND(AG$7*10000,0)/12000000,0)/100,0)</f>
        <v>0</v>
      </c>
      <c r="AI319" s="24">
        <f>IF(AI318&gt;0,ROUND(AI318+AH319-AG319,2),0)</f>
        <v>0</v>
      </c>
      <c r="AJ319" s="24">
        <f>IF(AL318&gt;0,MIN(ROUND(AJ$6+IF(AJ$5=$C319,$E$5+$E319,0),2),ROUND(AL318+AK319,2)),0)</f>
        <v>0</v>
      </c>
      <c r="AK319" s="24">
        <f>IF(AL318&gt;0,ROUND(ROUND(AL318*100,0)*ROUND(AJ$7*10000,0)/12000000,0)/100,0)</f>
        <v>0</v>
      </c>
      <c r="AL319" s="24">
        <f>IF(AL318&gt;0,ROUND(AL318+AK319-AJ319,2),0)</f>
        <v>0</v>
      </c>
    </row>
    <row r="320" spans="1:38" x14ac:dyDescent="0.25">
      <c r="A320" s="17" t="str">
        <f>IF(F320&gt;0,310,"")</f>
        <v/>
      </c>
      <c r="B320" s="18" t="str">
        <f>IF(F320&gt;0,EDATE($E$6,310),"")</f>
        <v/>
      </c>
      <c r="C320" s="21">
        <f>IF(H319&gt;0,MIN(IF(K319&gt;0,I$5,99),IF(N319&gt;0,L$5,99),IF(Q319&gt;0,O$5,99),IF(T319&gt;0,R$5,99),IF(W319&gt;0,U$5,99),IF(Z319&gt;0,X$5,99),IF(AC319&gt;0,AA$5,99),IF(AF319&gt;0,AD$5,99),IF(AI319&gt;0,AG$5,99),IF(AL319&gt;0,AJ$5,99)),0)</f>
        <v>0</v>
      </c>
      <c r="D320" t="str">
        <f>IF(C320&gt;0,INDEX($I$4:$AL$4,1,MATCH(C320,$I$5:$AL$5,0)),"")</f>
        <v/>
      </c>
      <c r="E320" s="24">
        <f>ROUND(IF(AND(I$8&gt;0,K319=0),I$6,0)+IF(AND(L$8&gt;0,N319=0),L$6,0)+IF(AND(O$8&gt;0,Q319=0),O$6,0)+IF(AND(R$8&gt;0,T319=0),R$6,0)+IF(AND(U$8&gt;0,W319=0),U$6,0)+IF(AND(X$8&gt;0,Z319=0),X$6,0)+IF(AND(AA$8&gt;0,AC319=0),AA$6,0)+IF(AND(AD$8&gt;0,AF319=0),AD$6,0)+IF(AND(AG$8&gt;0,AI319=0),AG$6,0)+IF(AND(AJ$8&gt;0,AL319=0),AJ$6,0),2)</f>
        <v>330</v>
      </c>
      <c r="F320" s="24">
        <f>ROUND(I320+L320+O320+R320+U320+X320+AA320+AD320+AG320+AJ320,2)</f>
        <v>0</v>
      </c>
      <c r="G320" s="24">
        <f>ROUND(J320+M320+P320+S320+V320+Y320+AB320+AE320+AH320+AK320,2)</f>
        <v>0</v>
      </c>
      <c r="H320" s="24">
        <f>ROUND(K320+N320+Q320+T320+W320+Z320+AC320+AF320+AI320+AL320,2)</f>
        <v>0</v>
      </c>
      <c r="I320" s="24">
        <f>IF(K319&gt;0,MIN(ROUND(I$6+IF(I$5=$C320,$E$5+$E320,0),2),ROUND(K319+J320,2)),0)</f>
        <v>0</v>
      </c>
      <c r="J320" s="24">
        <f>IF(K319&gt;0,ROUND(ROUND(K319*100,0)*ROUND(I$7*10000,0)/12000000,0)/100,0)</f>
        <v>0</v>
      </c>
      <c r="K320" s="24">
        <f>IF(K319&gt;0,ROUND(K319+J320-I320,2),0)</f>
        <v>0</v>
      </c>
      <c r="L320" s="24">
        <f>IF(N319&gt;0,MIN(ROUND(L$6+IF(L$5=$C320,$E$5+$E320,0),2),ROUND(N319+M320,2)),0)</f>
        <v>0</v>
      </c>
      <c r="M320" s="24">
        <f>IF(N319&gt;0,ROUND(ROUND(N319*100,0)*ROUND(L$7*10000,0)/12000000,0)/100,0)</f>
        <v>0</v>
      </c>
      <c r="N320" s="24">
        <f>IF(N319&gt;0,ROUND(N319+M320-L320,2),0)</f>
        <v>0</v>
      </c>
      <c r="O320" s="24">
        <f>IF(Q319&gt;0,MIN(ROUND(O$6+IF(O$5=$C320,$E$5+$E320,0),2),ROUND(Q319+P320,2)),0)</f>
        <v>0</v>
      </c>
      <c r="P320" s="24">
        <f>IF(Q319&gt;0,ROUND(ROUND(Q319*100,0)*ROUND(O$7*10000,0)/12000000,0)/100,0)</f>
        <v>0</v>
      </c>
      <c r="Q320" s="24">
        <f>IF(Q319&gt;0,ROUND(Q319+P320-O320,2),0)</f>
        <v>0</v>
      </c>
      <c r="R320" s="24">
        <f>IF(T319&gt;0,MIN(ROUND(R$6+IF(R$5=$C320,$E$5+$E320,0),2),ROUND(T319+S320,2)),0)</f>
        <v>0</v>
      </c>
      <c r="S320" s="24">
        <f>IF(T319&gt;0,ROUND(ROUND(T319*100,0)*ROUND(R$7*10000,0)/12000000,0)/100,0)</f>
        <v>0</v>
      </c>
      <c r="T320" s="24">
        <f>IF(T319&gt;0,ROUND(T319+S320-R320,2),0)</f>
        <v>0</v>
      </c>
      <c r="U320" s="24">
        <f>IF(W319&gt;0,MIN(ROUND(U$6+IF(U$5=$C320,$E$5+$E320,0),2),ROUND(W319+V320,2)),0)</f>
        <v>0</v>
      </c>
      <c r="V320" s="24">
        <f>IF(W319&gt;0,ROUND(ROUND(W319*100,0)*ROUND(U$7*10000,0)/12000000,0)/100,0)</f>
        <v>0</v>
      </c>
      <c r="W320" s="24">
        <f>IF(W319&gt;0,ROUND(W319+V320-U320,2),0)</f>
        <v>0</v>
      </c>
      <c r="X320" s="24">
        <f>IF(Z319&gt;0,MIN(ROUND(X$6+IF(X$5=$C320,$E$5+$E320,0),2),ROUND(Z319+Y320,2)),0)</f>
        <v>0</v>
      </c>
      <c r="Y320" s="24">
        <f>IF(Z319&gt;0,ROUND(ROUND(Z319*100,0)*ROUND(X$7*10000,0)/12000000,0)/100,0)</f>
        <v>0</v>
      </c>
      <c r="Z320" s="24">
        <f>IF(Z319&gt;0,ROUND(Z319+Y320-X320,2),0)</f>
        <v>0</v>
      </c>
      <c r="AA320" s="24">
        <f>IF(AC319&gt;0,MIN(ROUND(AA$6+IF(AA$5=$C320,$E$5+$E320,0),2),ROUND(AC319+AB320,2)),0)</f>
        <v>0</v>
      </c>
      <c r="AB320" s="24">
        <f>IF(AC319&gt;0,ROUND(ROUND(AC319*100,0)*ROUND(AA$7*10000,0)/12000000,0)/100,0)</f>
        <v>0</v>
      </c>
      <c r="AC320" s="24">
        <f>IF(AC319&gt;0,ROUND(AC319+AB320-AA320,2),0)</f>
        <v>0</v>
      </c>
      <c r="AD320" s="24">
        <f>IF(AF319&gt;0,MIN(ROUND(AD$6+IF(AD$5=$C320,$E$5+$E320,0),2),ROUND(AF319+AE320,2)),0)</f>
        <v>0</v>
      </c>
      <c r="AE320" s="24">
        <f>IF(AF319&gt;0,ROUND(ROUND(AF319*100,0)*ROUND(AD$7*10000,0)/12000000,0)/100,0)</f>
        <v>0</v>
      </c>
      <c r="AF320" s="24">
        <f>IF(AF319&gt;0,ROUND(AF319+AE320-AD320,2),0)</f>
        <v>0</v>
      </c>
      <c r="AG320" s="24">
        <f>IF(AI319&gt;0,MIN(ROUND(AG$6+IF(AG$5=$C320,$E$5+$E320,0),2),ROUND(AI319+AH320,2)),0)</f>
        <v>0</v>
      </c>
      <c r="AH320" s="24">
        <f>IF(AI319&gt;0,ROUND(ROUND(AI319*100,0)*ROUND(AG$7*10000,0)/12000000,0)/100,0)</f>
        <v>0</v>
      </c>
      <c r="AI320" s="24">
        <f>IF(AI319&gt;0,ROUND(AI319+AH320-AG320,2),0)</f>
        <v>0</v>
      </c>
      <c r="AJ320" s="24">
        <f>IF(AL319&gt;0,MIN(ROUND(AJ$6+IF(AJ$5=$C320,$E$5+$E320,0),2),ROUND(AL319+AK320,2)),0)</f>
        <v>0</v>
      </c>
      <c r="AK320" s="24">
        <f>IF(AL319&gt;0,ROUND(ROUND(AL319*100,0)*ROUND(AJ$7*10000,0)/12000000,0)/100,0)</f>
        <v>0</v>
      </c>
      <c r="AL320" s="24">
        <f>IF(AL319&gt;0,ROUND(AL319+AK320-AJ320,2),0)</f>
        <v>0</v>
      </c>
    </row>
    <row r="321" spans="1:38" x14ac:dyDescent="0.25">
      <c r="A321" s="17" t="str">
        <f>IF(F321&gt;0,311,"")</f>
        <v/>
      </c>
      <c r="B321" s="18" t="str">
        <f>IF(F321&gt;0,EDATE($E$6,311),"")</f>
        <v/>
      </c>
      <c r="C321" s="21">
        <f>IF(H320&gt;0,MIN(IF(K320&gt;0,I$5,99),IF(N320&gt;0,L$5,99),IF(Q320&gt;0,O$5,99),IF(T320&gt;0,R$5,99),IF(W320&gt;0,U$5,99),IF(Z320&gt;0,X$5,99),IF(AC320&gt;0,AA$5,99),IF(AF320&gt;0,AD$5,99),IF(AI320&gt;0,AG$5,99),IF(AL320&gt;0,AJ$5,99)),0)</f>
        <v>0</v>
      </c>
      <c r="D321" t="str">
        <f>IF(C321&gt;0,INDEX($I$4:$AL$4,1,MATCH(C321,$I$5:$AL$5,0)),"")</f>
        <v/>
      </c>
      <c r="E321" s="24">
        <f>ROUND(IF(AND(I$8&gt;0,K320=0),I$6,0)+IF(AND(L$8&gt;0,N320=0),L$6,0)+IF(AND(O$8&gt;0,Q320=0),O$6,0)+IF(AND(R$8&gt;0,T320=0),R$6,0)+IF(AND(U$8&gt;0,W320=0),U$6,0)+IF(AND(X$8&gt;0,Z320=0),X$6,0)+IF(AND(AA$8&gt;0,AC320=0),AA$6,0)+IF(AND(AD$8&gt;0,AF320=0),AD$6,0)+IF(AND(AG$8&gt;0,AI320=0),AG$6,0)+IF(AND(AJ$8&gt;0,AL320=0),AJ$6,0),2)</f>
        <v>330</v>
      </c>
      <c r="F321" s="24">
        <f>ROUND(I321+L321+O321+R321+U321+X321+AA321+AD321+AG321+AJ321,2)</f>
        <v>0</v>
      </c>
      <c r="G321" s="24">
        <f>ROUND(J321+M321+P321+S321+V321+Y321+AB321+AE321+AH321+AK321,2)</f>
        <v>0</v>
      </c>
      <c r="H321" s="24">
        <f>ROUND(K321+N321+Q321+T321+W321+Z321+AC321+AF321+AI321+AL321,2)</f>
        <v>0</v>
      </c>
      <c r="I321" s="24">
        <f>IF(K320&gt;0,MIN(ROUND(I$6+IF(I$5=$C321,$E$5+$E321,0),2),ROUND(K320+J321,2)),0)</f>
        <v>0</v>
      </c>
      <c r="J321" s="24">
        <f>IF(K320&gt;0,ROUND(ROUND(K320*100,0)*ROUND(I$7*10000,0)/12000000,0)/100,0)</f>
        <v>0</v>
      </c>
      <c r="K321" s="24">
        <f>IF(K320&gt;0,ROUND(K320+J321-I321,2),0)</f>
        <v>0</v>
      </c>
      <c r="L321" s="24">
        <f>IF(N320&gt;0,MIN(ROUND(L$6+IF(L$5=$C321,$E$5+$E321,0),2),ROUND(N320+M321,2)),0)</f>
        <v>0</v>
      </c>
      <c r="M321" s="24">
        <f>IF(N320&gt;0,ROUND(ROUND(N320*100,0)*ROUND(L$7*10000,0)/12000000,0)/100,0)</f>
        <v>0</v>
      </c>
      <c r="N321" s="24">
        <f>IF(N320&gt;0,ROUND(N320+M321-L321,2),0)</f>
        <v>0</v>
      </c>
      <c r="O321" s="24">
        <f>IF(Q320&gt;0,MIN(ROUND(O$6+IF(O$5=$C321,$E$5+$E321,0),2),ROUND(Q320+P321,2)),0)</f>
        <v>0</v>
      </c>
      <c r="P321" s="24">
        <f>IF(Q320&gt;0,ROUND(ROUND(Q320*100,0)*ROUND(O$7*10000,0)/12000000,0)/100,0)</f>
        <v>0</v>
      </c>
      <c r="Q321" s="24">
        <f>IF(Q320&gt;0,ROUND(Q320+P321-O321,2),0)</f>
        <v>0</v>
      </c>
      <c r="R321" s="24">
        <f>IF(T320&gt;0,MIN(ROUND(R$6+IF(R$5=$C321,$E$5+$E321,0),2),ROUND(T320+S321,2)),0)</f>
        <v>0</v>
      </c>
      <c r="S321" s="24">
        <f>IF(T320&gt;0,ROUND(ROUND(T320*100,0)*ROUND(R$7*10000,0)/12000000,0)/100,0)</f>
        <v>0</v>
      </c>
      <c r="T321" s="24">
        <f>IF(T320&gt;0,ROUND(T320+S321-R321,2),0)</f>
        <v>0</v>
      </c>
      <c r="U321" s="24">
        <f>IF(W320&gt;0,MIN(ROUND(U$6+IF(U$5=$C321,$E$5+$E321,0),2),ROUND(W320+V321,2)),0)</f>
        <v>0</v>
      </c>
      <c r="V321" s="24">
        <f>IF(W320&gt;0,ROUND(ROUND(W320*100,0)*ROUND(U$7*10000,0)/12000000,0)/100,0)</f>
        <v>0</v>
      </c>
      <c r="W321" s="24">
        <f>IF(W320&gt;0,ROUND(W320+V321-U321,2),0)</f>
        <v>0</v>
      </c>
      <c r="X321" s="24">
        <f>IF(Z320&gt;0,MIN(ROUND(X$6+IF(X$5=$C321,$E$5+$E321,0),2),ROUND(Z320+Y321,2)),0)</f>
        <v>0</v>
      </c>
      <c r="Y321" s="24">
        <f>IF(Z320&gt;0,ROUND(ROUND(Z320*100,0)*ROUND(X$7*10000,0)/12000000,0)/100,0)</f>
        <v>0</v>
      </c>
      <c r="Z321" s="24">
        <f>IF(Z320&gt;0,ROUND(Z320+Y321-X321,2),0)</f>
        <v>0</v>
      </c>
      <c r="AA321" s="24">
        <f>IF(AC320&gt;0,MIN(ROUND(AA$6+IF(AA$5=$C321,$E$5+$E321,0),2),ROUND(AC320+AB321,2)),0)</f>
        <v>0</v>
      </c>
      <c r="AB321" s="24">
        <f>IF(AC320&gt;0,ROUND(ROUND(AC320*100,0)*ROUND(AA$7*10000,0)/12000000,0)/100,0)</f>
        <v>0</v>
      </c>
      <c r="AC321" s="24">
        <f>IF(AC320&gt;0,ROUND(AC320+AB321-AA321,2),0)</f>
        <v>0</v>
      </c>
      <c r="AD321" s="24">
        <f>IF(AF320&gt;0,MIN(ROUND(AD$6+IF(AD$5=$C321,$E$5+$E321,0),2),ROUND(AF320+AE321,2)),0)</f>
        <v>0</v>
      </c>
      <c r="AE321" s="24">
        <f>IF(AF320&gt;0,ROUND(ROUND(AF320*100,0)*ROUND(AD$7*10000,0)/12000000,0)/100,0)</f>
        <v>0</v>
      </c>
      <c r="AF321" s="24">
        <f>IF(AF320&gt;0,ROUND(AF320+AE321-AD321,2),0)</f>
        <v>0</v>
      </c>
      <c r="AG321" s="24">
        <f>IF(AI320&gt;0,MIN(ROUND(AG$6+IF(AG$5=$C321,$E$5+$E321,0),2),ROUND(AI320+AH321,2)),0)</f>
        <v>0</v>
      </c>
      <c r="AH321" s="24">
        <f>IF(AI320&gt;0,ROUND(ROUND(AI320*100,0)*ROUND(AG$7*10000,0)/12000000,0)/100,0)</f>
        <v>0</v>
      </c>
      <c r="AI321" s="24">
        <f>IF(AI320&gt;0,ROUND(AI320+AH321-AG321,2),0)</f>
        <v>0</v>
      </c>
      <c r="AJ321" s="24">
        <f>IF(AL320&gt;0,MIN(ROUND(AJ$6+IF(AJ$5=$C321,$E$5+$E321,0),2),ROUND(AL320+AK321,2)),0)</f>
        <v>0</v>
      </c>
      <c r="AK321" s="24">
        <f>IF(AL320&gt;0,ROUND(ROUND(AL320*100,0)*ROUND(AJ$7*10000,0)/12000000,0)/100,0)</f>
        <v>0</v>
      </c>
      <c r="AL321" s="24">
        <f>IF(AL320&gt;0,ROUND(AL320+AK321-AJ321,2),0)</f>
        <v>0</v>
      </c>
    </row>
    <row r="322" spans="1:38" x14ac:dyDescent="0.25">
      <c r="A322" s="17" t="str">
        <f>IF(F322&gt;0,312,"")</f>
        <v/>
      </c>
      <c r="B322" s="18" t="str">
        <f>IF(F322&gt;0,EDATE($E$6,312),"")</f>
        <v/>
      </c>
      <c r="C322" s="21">
        <f>IF(H321&gt;0,MIN(IF(K321&gt;0,I$5,99),IF(N321&gt;0,L$5,99),IF(Q321&gt;0,O$5,99),IF(T321&gt;0,R$5,99),IF(W321&gt;0,U$5,99),IF(Z321&gt;0,X$5,99),IF(AC321&gt;0,AA$5,99),IF(AF321&gt;0,AD$5,99),IF(AI321&gt;0,AG$5,99),IF(AL321&gt;0,AJ$5,99)),0)</f>
        <v>0</v>
      </c>
      <c r="D322" t="str">
        <f>IF(C322&gt;0,INDEX($I$4:$AL$4,1,MATCH(C322,$I$5:$AL$5,0)),"")</f>
        <v/>
      </c>
      <c r="E322" s="24">
        <f>ROUND(IF(AND(I$8&gt;0,K321=0),I$6,0)+IF(AND(L$8&gt;0,N321=0),L$6,0)+IF(AND(O$8&gt;0,Q321=0),O$6,0)+IF(AND(R$8&gt;0,T321=0),R$6,0)+IF(AND(U$8&gt;0,W321=0),U$6,0)+IF(AND(X$8&gt;0,Z321=0),X$6,0)+IF(AND(AA$8&gt;0,AC321=0),AA$6,0)+IF(AND(AD$8&gt;0,AF321=0),AD$6,0)+IF(AND(AG$8&gt;0,AI321=0),AG$6,0)+IF(AND(AJ$8&gt;0,AL321=0),AJ$6,0),2)</f>
        <v>330</v>
      </c>
      <c r="F322" s="24">
        <f>ROUND(I322+L322+O322+R322+U322+X322+AA322+AD322+AG322+AJ322,2)</f>
        <v>0</v>
      </c>
      <c r="G322" s="24">
        <f>ROUND(J322+M322+P322+S322+V322+Y322+AB322+AE322+AH322+AK322,2)</f>
        <v>0</v>
      </c>
      <c r="H322" s="24">
        <f>ROUND(K322+N322+Q322+T322+W322+Z322+AC322+AF322+AI322+AL322,2)</f>
        <v>0</v>
      </c>
      <c r="I322" s="24">
        <f>IF(K321&gt;0,MIN(ROUND(I$6+IF(I$5=$C322,$E$5+$E322,0),2),ROUND(K321+J322,2)),0)</f>
        <v>0</v>
      </c>
      <c r="J322" s="24">
        <f>IF(K321&gt;0,ROUND(ROUND(K321*100,0)*ROUND(I$7*10000,0)/12000000,0)/100,0)</f>
        <v>0</v>
      </c>
      <c r="K322" s="24">
        <f>IF(K321&gt;0,ROUND(K321+J322-I322,2),0)</f>
        <v>0</v>
      </c>
      <c r="L322" s="24">
        <f>IF(N321&gt;0,MIN(ROUND(L$6+IF(L$5=$C322,$E$5+$E322,0),2),ROUND(N321+M322,2)),0)</f>
        <v>0</v>
      </c>
      <c r="M322" s="24">
        <f>IF(N321&gt;0,ROUND(ROUND(N321*100,0)*ROUND(L$7*10000,0)/12000000,0)/100,0)</f>
        <v>0</v>
      </c>
      <c r="N322" s="24">
        <f>IF(N321&gt;0,ROUND(N321+M322-L322,2),0)</f>
        <v>0</v>
      </c>
      <c r="O322" s="24">
        <f>IF(Q321&gt;0,MIN(ROUND(O$6+IF(O$5=$C322,$E$5+$E322,0),2),ROUND(Q321+P322,2)),0)</f>
        <v>0</v>
      </c>
      <c r="P322" s="24">
        <f>IF(Q321&gt;0,ROUND(ROUND(Q321*100,0)*ROUND(O$7*10000,0)/12000000,0)/100,0)</f>
        <v>0</v>
      </c>
      <c r="Q322" s="24">
        <f>IF(Q321&gt;0,ROUND(Q321+P322-O322,2),0)</f>
        <v>0</v>
      </c>
      <c r="R322" s="24">
        <f>IF(T321&gt;0,MIN(ROUND(R$6+IF(R$5=$C322,$E$5+$E322,0),2),ROUND(T321+S322,2)),0)</f>
        <v>0</v>
      </c>
      <c r="S322" s="24">
        <f>IF(T321&gt;0,ROUND(ROUND(T321*100,0)*ROUND(R$7*10000,0)/12000000,0)/100,0)</f>
        <v>0</v>
      </c>
      <c r="T322" s="24">
        <f>IF(T321&gt;0,ROUND(T321+S322-R322,2),0)</f>
        <v>0</v>
      </c>
      <c r="U322" s="24">
        <f>IF(W321&gt;0,MIN(ROUND(U$6+IF(U$5=$C322,$E$5+$E322,0),2),ROUND(W321+V322,2)),0)</f>
        <v>0</v>
      </c>
      <c r="V322" s="24">
        <f>IF(W321&gt;0,ROUND(ROUND(W321*100,0)*ROUND(U$7*10000,0)/12000000,0)/100,0)</f>
        <v>0</v>
      </c>
      <c r="W322" s="24">
        <f>IF(W321&gt;0,ROUND(W321+V322-U322,2),0)</f>
        <v>0</v>
      </c>
      <c r="X322" s="24">
        <f>IF(Z321&gt;0,MIN(ROUND(X$6+IF(X$5=$C322,$E$5+$E322,0),2),ROUND(Z321+Y322,2)),0)</f>
        <v>0</v>
      </c>
      <c r="Y322" s="24">
        <f>IF(Z321&gt;0,ROUND(ROUND(Z321*100,0)*ROUND(X$7*10000,0)/12000000,0)/100,0)</f>
        <v>0</v>
      </c>
      <c r="Z322" s="24">
        <f>IF(Z321&gt;0,ROUND(Z321+Y322-X322,2),0)</f>
        <v>0</v>
      </c>
      <c r="AA322" s="24">
        <f>IF(AC321&gt;0,MIN(ROUND(AA$6+IF(AA$5=$C322,$E$5+$E322,0),2),ROUND(AC321+AB322,2)),0)</f>
        <v>0</v>
      </c>
      <c r="AB322" s="24">
        <f>IF(AC321&gt;0,ROUND(ROUND(AC321*100,0)*ROUND(AA$7*10000,0)/12000000,0)/100,0)</f>
        <v>0</v>
      </c>
      <c r="AC322" s="24">
        <f>IF(AC321&gt;0,ROUND(AC321+AB322-AA322,2),0)</f>
        <v>0</v>
      </c>
      <c r="AD322" s="24">
        <f>IF(AF321&gt;0,MIN(ROUND(AD$6+IF(AD$5=$C322,$E$5+$E322,0),2),ROUND(AF321+AE322,2)),0)</f>
        <v>0</v>
      </c>
      <c r="AE322" s="24">
        <f>IF(AF321&gt;0,ROUND(ROUND(AF321*100,0)*ROUND(AD$7*10000,0)/12000000,0)/100,0)</f>
        <v>0</v>
      </c>
      <c r="AF322" s="24">
        <f>IF(AF321&gt;0,ROUND(AF321+AE322-AD322,2),0)</f>
        <v>0</v>
      </c>
      <c r="AG322" s="24">
        <f>IF(AI321&gt;0,MIN(ROUND(AG$6+IF(AG$5=$C322,$E$5+$E322,0),2),ROUND(AI321+AH322,2)),0)</f>
        <v>0</v>
      </c>
      <c r="AH322" s="24">
        <f>IF(AI321&gt;0,ROUND(ROUND(AI321*100,0)*ROUND(AG$7*10000,0)/12000000,0)/100,0)</f>
        <v>0</v>
      </c>
      <c r="AI322" s="24">
        <f>IF(AI321&gt;0,ROUND(AI321+AH322-AG322,2),0)</f>
        <v>0</v>
      </c>
      <c r="AJ322" s="24">
        <f>IF(AL321&gt;0,MIN(ROUND(AJ$6+IF(AJ$5=$C322,$E$5+$E322,0),2),ROUND(AL321+AK322,2)),0)</f>
        <v>0</v>
      </c>
      <c r="AK322" s="24">
        <f>IF(AL321&gt;0,ROUND(ROUND(AL321*100,0)*ROUND(AJ$7*10000,0)/12000000,0)/100,0)</f>
        <v>0</v>
      </c>
      <c r="AL322" s="24">
        <f>IF(AL321&gt;0,ROUND(AL321+AK322-AJ322,2),0)</f>
        <v>0</v>
      </c>
    </row>
    <row r="323" spans="1:38" x14ac:dyDescent="0.25">
      <c r="A323" s="17" t="str">
        <f>IF(F323&gt;0,313,"")</f>
        <v/>
      </c>
      <c r="B323" s="18" t="str">
        <f>IF(F323&gt;0,EDATE($E$6,313),"")</f>
        <v/>
      </c>
      <c r="C323" s="21">
        <f>IF(H322&gt;0,MIN(IF(K322&gt;0,I$5,99),IF(N322&gt;0,L$5,99),IF(Q322&gt;0,O$5,99),IF(T322&gt;0,R$5,99),IF(W322&gt;0,U$5,99),IF(Z322&gt;0,X$5,99),IF(AC322&gt;0,AA$5,99),IF(AF322&gt;0,AD$5,99),IF(AI322&gt;0,AG$5,99),IF(AL322&gt;0,AJ$5,99)),0)</f>
        <v>0</v>
      </c>
      <c r="D323" t="str">
        <f>IF(C323&gt;0,INDEX($I$4:$AL$4,1,MATCH(C323,$I$5:$AL$5,0)),"")</f>
        <v/>
      </c>
      <c r="E323" s="24">
        <f>ROUND(IF(AND(I$8&gt;0,K322=0),I$6,0)+IF(AND(L$8&gt;0,N322=0),L$6,0)+IF(AND(O$8&gt;0,Q322=0),O$6,0)+IF(AND(R$8&gt;0,T322=0),R$6,0)+IF(AND(U$8&gt;0,W322=0),U$6,0)+IF(AND(X$8&gt;0,Z322=0),X$6,0)+IF(AND(AA$8&gt;0,AC322=0),AA$6,0)+IF(AND(AD$8&gt;0,AF322=0),AD$6,0)+IF(AND(AG$8&gt;0,AI322=0),AG$6,0)+IF(AND(AJ$8&gt;0,AL322=0),AJ$6,0),2)</f>
        <v>330</v>
      </c>
      <c r="F323" s="24">
        <f>ROUND(I323+L323+O323+R323+U323+X323+AA323+AD323+AG323+AJ323,2)</f>
        <v>0</v>
      </c>
      <c r="G323" s="24">
        <f>ROUND(J323+M323+P323+S323+V323+Y323+AB323+AE323+AH323+AK323,2)</f>
        <v>0</v>
      </c>
      <c r="H323" s="24">
        <f>ROUND(K323+N323+Q323+T323+W323+Z323+AC323+AF323+AI323+AL323,2)</f>
        <v>0</v>
      </c>
      <c r="I323" s="24">
        <f>IF(K322&gt;0,MIN(ROUND(I$6+IF(I$5=$C323,$E$5+$E323,0),2),ROUND(K322+J323,2)),0)</f>
        <v>0</v>
      </c>
      <c r="J323" s="24">
        <f>IF(K322&gt;0,ROUND(ROUND(K322*100,0)*ROUND(I$7*10000,0)/12000000,0)/100,0)</f>
        <v>0</v>
      </c>
      <c r="K323" s="24">
        <f>IF(K322&gt;0,ROUND(K322+J323-I323,2),0)</f>
        <v>0</v>
      </c>
      <c r="L323" s="24">
        <f>IF(N322&gt;0,MIN(ROUND(L$6+IF(L$5=$C323,$E$5+$E323,0),2),ROUND(N322+M323,2)),0)</f>
        <v>0</v>
      </c>
      <c r="M323" s="24">
        <f>IF(N322&gt;0,ROUND(ROUND(N322*100,0)*ROUND(L$7*10000,0)/12000000,0)/100,0)</f>
        <v>0</v>
      </c>
      <c r="N323" s="24">
        <f>IF(N322&gt;0,ROUND(N322+M323-L323,2),0)</f>
        <v>0</v>
      </c>
      <c r="O323" s="24">
        <f>IF(Q322&gt;0,MIN(ROUND(O$6+IF(O$5=$C323,$E$5+$E323,0),2),ROUND(Q322+P323,2)),0)</f>
        <v>0</v>
      </c>
      <c r="P323" s="24">
        <f>IF(Q322&gt;0,ROUND(ROUND(Q322*100,0)*ROUND(O$7*10000,0)/12000000,0)/100,0)</f>
        <v>0</v>
      </c>
      <c r="Q323" s="24">
        <f>IF(Q322&gt;0,ROUND(Q322+P323-O323,2),0)</f>
        <v>0</v>
      </c>
      <c r="R323" s="24">
        <f>IF(T322&gt;0,MIN(ROUND(R$6+IF(R$5=$C323,$E$5+$E323,0),2),ROUND(T322+S323,2)),0)</f>
        <v>0</v>
      </c>
      <c r="S323" s="24">
        <f>IF(T322&gt;0,ROUND(ROUND(T322*100,0)*ROUND(R$7*10000,0)/12000000,0)/100,0)</f>
        <v>0</v>
      </c>
      <c r="T323" s="24">
        <f>IF(T322&gt;0,ROUND(T322+S323-R323,2),0)</f>
        <v>0</v>
      </c>
      <c r="U323" s="24">
        <f>IF(W322&gt;0,MIN(ROUND(U$6+IF(U$5=$C323,$E$5+$E323,0),2),ROUND(W322+V323,2)),0)</f>
        <v>0</v>
      </c>
      <c r="V323" s="24">
        <f>IF(W322&gt;0,ROUND(ROUND(W322*100,0)*ROUND(U$7*10000,0)/12000000,0)/100,0)</f>
        <v>0</v>
      </c>
      <c r="W323" s="24">
        <f>IF(W322&gt;0,ROUND(W322+V323-U323,2),0)</f>
        <v>0</v>
      </c>
      <c r="X323" s="24">
        <f>IF(Z322&gt;0,MIN(ROUND(X$6+IF(X$5=$C323,$E$5+$E323,0),2),ROUND(Z322+Y323,2)),0)</f>
        <v>0</v>
      </c>
      <c r="Y323" s="24">
        <f>IF(Z322&gt;0,ROUND(ROUND(Z322*100,0)*ROUND(X$7*10000,0)/12000000,0)/100,0)</f>
        <v>0</v>
      </c>
      <c r="Z323" s="24">
        <f>IF(Z322&gt;0,ROUND(Z322+Y323-X323,2),0)</f>
        <v>0</v>
      </c>
      <c r="AA323" s="24">
        <f>IF(AC322&gt;0,MIN(ROUND(AA$6+IF(AA$5=$C323,$E$5+$E323,0),2),ROUND(AC322+AB323,2)),0)</f>
        <v>0</v>
      </c>
      <c r="AB323" s="24">
        <f>IF(AC322&gt;0,ROUND(ROUND(AC322*100,0)*ROUND(AA$7*10000,0)/12000000,0)/100,0)</f>
        <v>0</v>
      </c>
      <c r="AC323" s="24">
        <f>IF(AC322&gt;0,ROUND(AC322+AB323-AA323,2),0)</f>
        <v>0</v>
      </c>
      <c r="AD323" s="24">
        <f>IF(AF322&gt;0,MIN(ROUND(AD$6+IF(AD$5=$C323,$E$5+$E323,0),2),ROUND(AF322+AE323,2)),0)</f>
        <v>0</v>
      </c>
      <c r="AE323" s="24">
        <f>IF(AF322&gt;0,ROUND(ROUND(AF322*100,0)*ROUND(AD$7*10000,0)/12000000,0)/100,0)</f>
        <v>0</v>
      </c>
      <c r="AF323" s="24">
        <f>IF(AF322&gt;0,ROUND(AF322+AE323-AD323,2),0)</f>
        <v>0</v>
      </c>
      <c r="AG323" s="24">
        <f>IF(AI322&gt;0,MIN(ROUND(AG$6+IF(AG$5=$C323,$E$5+$E323,0),2),ROUND(AI322+AH323,2)),0)</f>
        <v>0</v>
      </c>
      <c r="AH323" s="24">
        <f>IF(AI322&gt;0,ROUND(ROUND(AI322*100,0)*ROUND(AG$7*10000,0)/12000000,0)/100,0)</f>
        <v>0</v>
      </c>
      <c r="AI323" s="24">
        <f>IF(AI322&gt;0,ROUND(AI322+AH323-AG323,2),0)</f>
        <v>0</v>
      </c>
      <c r="AJ323" s="24">
        <f>IF(AL322&gt;0,MIN(ROUND(AJ$6+IF(AJ$5=$C323,$E$5+$E323,0),2),ROUND(AL322+AK323,2)),0)</f>
        <v>0</v>
      </c>
      <c r="AK323" s="24">
        <f>IF(AL322&gt;0,ROUND(ROUND(AL322*100,0)*ROUND(AJ$7*10000,0)/12000000,0)/100,0)</f>
        <v>0</v>
      </c>
      <c r="AL323" s="24">
        <f>IF(AL322&gt;0,ROUND(AL322+AK323-AJ323,2),0)</f>
        <v>0</v>
      </c>
    </row>
    <row r="324" spans="1:38" x14ac:dyDescent="0.25">
      <c r="A324" s="17" t="str">
        <f>IF(F324&gt;0,314,"")</f>
        <v/>
      </c>
      <c r="B324" s="18" t="str">
        <f>IF(F324&gt;0,EDATE($E$6,314),"")</f>
        <v/>
      </c>
      <c r="C324" s="21">
        <f>IF(H323&gt;0,MIN(IF(K323&gt;0,I$5,99),IF(N323&gt;0,L$5,99),IF(Q323&gt;0,O$5,99),IF(T323&gt;0,R$5,99),IF(W323&gt;0,U$5,99),IF(Z323&gt;0,X$5,99),IF(AC323&gt;0,AA$5,99),IF(AF323&gt;0,AD$5,99),IF(AI323&gt;0,AG$5,99),IF(AL323&gt;0,AJ$5,99)),0)</f>
        <v>0</v>
      </c>
      <c r="D324" t="str">
        <f>IF(C324&gt;0,INDEX($I$4:$AL$4,1,MATCH(C324,$I$5:$AL$5,0)),"")</f>
        <v/>
      </c>
      <c r="E324" s="24">
        <f>ROUND(IF(AND(I$8&gt;0,K323=0),I$6,0)+IF(AND(L$8&gt;0,N323=0),L$6,0)+IF(AND(O$8&gt;0,Q323=0),O$6,0)+IF(AND(R$8&gt;0,T323=0),R$6,0)+IF(AND(U$8&gt;0,W323=0),U$6,0)+IF(AND(X$8&gt;0,Z323=0),X$6,0)+IF(AND(AA$8&gt;0,AC323=0),AA$6,0)+IF(AND(AD$8&gt;0,AF323=0),AD$6,0)+IF(AND(AG$8&gt;0,AI323=0),AG$6,0)+IF(AND(AJ$8&gt;0,AL323=0),AJ$6,0),2)</f>
        <v>330</v>
      </c>
      <c r="F324" s="24">
        <f>ROUND(I324+L324+O324+R324+U324+X324+AA324+AD324+AG324+AJ324,2)</f>
        <v>0</v>
      </c>
      <c r="G324" s="24">
        <f>ROUND(J324+M324+P324+S324+V324+Y324+AB324+AE324+AH324+AK324,2)</f>
        <v>0</v>
      </c>
      <c r="H324" s="24">
        <f>ROUND(K324+N324+Q324+T324+W324+Z324+AC324+AF324+AI324+AL324,2)</f>
        <v>0</v>
      </c>
      <c r="I324" s="24">
        <f>IF(K323&gt;0,MIN(ROUND(I$6+IF(I$5=$C324,$E$5+$E324,0),2),ROUND(K323+J324,2)),0)</f>
        <v>0</v>
      </c>
      <c r="J324" s="24">
        <f>IF(K323&gt;0,ROUND(ROUND(K323*100,0)*ROUND(I$7*10000,0)/12000000,0)/100,0)</f>
        <v>0</v>
      </c>
      <c r="K324" s="24">
        <f>IF(K323&gt;0,ROUND(K323+J324-I324,2),0)</f>
        <v>0</v>
      </c>
      <c r="L324" s="24">
        <f>IF(N323&gt;0,MIN(ROUND(L$6+IF(L$5=$C324,$E$5+$E324,0),2),ROUND(N323+M324,2)),0)</f>
        <v>0</v>
      </c>
      <c r="M324" s="24">
        <f>IF(N323&gt;0,ROUND(ROUND(N323*100,0)*ROUND(L$7*10000,0)/12000000,0)/100,0)</f>
        <v>0</v>
      </c>
      <c r="N324" s="24">
        <f>IF(N323&gt;0,ROUND(N323+M324-L324,2),0)</f>
        <v>0</v>
      </c>
      <c r="O324" s="24">
        <f>IF(Q323&gt;0,MIN(ROUND(O$6+IF(O$5=$C324,$E$5+$E324,0),2),ROUND(Q323+P324,2)),0)</f>
        <v>0</v>
      </c>
      <c r="P324" s="24">
        <f>IF(Q323&gt;0,ROUND(ROUND(Q323*100,0)*ROUND(O$7*10000,0)/12000000,0)/100,0)</f>
        <v>0</v>
      </c>
      <c r="Q324" s="24">
        <f>IF(Q323&gt;0,ROUND(Q323+P324-O324,2),0)</f>
        <v>0</v>
      </c>
      <c r="R324" s="24">
        <f>IF(T323&gt;0,MIN(ROUND(R$6+IF(R$5=$C324,$E$5+$E324,0),2),ROUND(T323+S324,2)),0)</f>
        <v>0</v>
      </c>
      <c r="S324" s="24">
        <f>IF(T323&gt;0,ROUND(ROUND(T323*100,0)*ROUND(R$7*10000,0)/12000000,0)/100,0)</f>
        <v>0</v>
      </c>
      <c r="T324" s="24">
        <f>IF(T323&gt;0,ROUND(T323+S324-R324,2),0)</f>
        <v>0</v>
      </c>
      <c r="U324" s="24">
        <f>IF(W323&gt;0,MIN(ROUND(U$6+IF(U$5=$C324,$E$5+$E324,0),2),ROUND(W323+V324,2)),0)</f>
        <v>0</v>
      </c>
      <c r="V324" s="24">
        <f>IF(W323&gt;0,ROUND(ROUND(W323*100,0)*ROUND(U$7*10000,0)/12000000,0)/100,0)</f>
        <v>0</v>
      </c>
      <c r="W324" s="24">
        <f>IF(W323&gt;0,ROUND(W323+V324-U324,2),0)</f>
        <v>0</v>
      </c>
      <c r="X324" s="24">
        <f>IF(Z323&gt;0,MIN(ROUND(X$6+IF(X$5=$C324,$E$5+$E324,0),2),ROUND(Z323+Y324,2)),0)</f>
        <v>0</v>
      </c>
      <c r="Y324" s="24">
        <f>IF(Z323&gt;0,ROUND(ROUND(Z323*100,0)*ROUND(X$7*10000,0)/12000000,0)/100,0)</f>
        <v>0</v>
      </c>
      <c r="Z324" s="24">
        <f>IF(Z323&gt;0,ROUND(Z323+Y324-X324,2),0)</f>
        <v>0</v>
      </c>
      <c r="AA324" s="24">
        <f>IF(AC323&gt;0,MIN(ROUND(AA$6+IF(AA$5=$C324,$E$5+$E324,0),2),ROUND(AC323+AB324,2)),0)</f>
        <v>0</v>
      </c>
      <c r="AB324" s="24">
        <f>IF(AC323&gt;0,ROUND(ROUND(AC323*100,0)*ROUND(AA$7*10000,0)/12000000,0)/100,0)</f>
        <v>0</v>
      </c>
      <c r="AC324" s="24">
        <f>IF(AC323&gt;0,ROUND(AC323+AB324-AA324,2),0)</f>
        <v>0</v>
      </c>
      <c r="AD324" s="24">
        <f>IF(AF323&gt;0,MIN(ROUND(AD$6+IF(AD$5=$C324,$E$5+$E324,0),2),ROUND(AF323+AE324,2)),0)</f>
        <v>0</v>
      </c>
      <c r="AE324" s="24">
        <f>IF(AF323&gt;0,ROUND(ROUND(AF323*100,0)*ROUND(AD$7*10000,0)/12000000,0)/100,0)</f>
        <v>0</v>
      </c>
      <c r="AF324" s="24">
        <f>IF(AF323&gt;0,ROUND(AF323+AE324-AD324,2),0)</f>
        <v>0</v>
      </c>
      <c r="AG324" s="24">
        <f>IF(AI323&gt;0,MIN(ROUND(AG$6+IF(AG$5=$C324,$E$5+$E324,0),2),ROUND(AI323+AH324,2)),0)</f>
        <v>0</v>
      </c>
      <c r="AH324" s="24">
        <f>IF(AI323&gt;0,ROUND(ROUND(AI323*100,0)*ROUND(AG$7*10000,0)/12000000,0)/100,0)</f>
        <v>0</v>
      </c>
      <c r="AI324" s="24">
        <f>IF(AI323&gt;0,ROUND(AI323+AH324-AG324,2),0)</f>
        <v>0</v>
      </c>
      <c r="AJ324" s="24">
        <f>IF(AL323&gt;0,MIN(ROUND(AJ$6+IF(AJ$5=$C324,$E$5+$E324,0),2),ROUND(AL323+AK324,2)),0)</f>
        <v>0</v>
      </c>
      <c r="AK324" s="24">
        <f>IF(AL323&gt;0,ROUND(ROUND(AL323*100,0)*ROUND(AJ$7*10000,0)/12000000,0)/100,0)</f>
        <v>0</v>
      </c>
      <c r="AL324" s="24">
        <f>IF(AL323&gt;0,ROUND(AL323+AK324-AJ324,2),0)</f>
        <v>0</v>
      </c>
    </row>
    <row r="325" spans="1:38" x14ac:dyDescent="0.25">
      <c r="A325" s="17" t="str">
        <f>IF(F325&gt;0,315,"")</f>
        <v/>
      </c>
      <c r="B325" s="18" t="str">
        <f>IF(F325&gt;0,EDATE($E$6,315),"")</f>
        <v/>
      </c>
      <c r="C325" s="21">
        <f>IF(H324&gt;0,MIN(IF(K324&gt;0,I$5,99),IF(N324&gt;0,L$5,99),IF(Q324&gt;0,O$5,99),IF(T324&gt;0,R$5,99),IF(W324&gt;0,U$5,99),IF(Z324&gt;0,X$5,99),IF(AC324&gt;0,AA$5,99),IF(AF324&gt;0,AD$5,99),IF(AI324&gt;0,AG$5,99),IF(AL324&gt;0,AJ$5,99)),0)</f>
        <v>0</v>
      </c>
      <c r="D325" t="str">
        <f>IF(C325&gt;0,INDEX($I$4:$AL$4,1,MATCH(C325,$I$5:$AL$5,0)),"")</f>
        <v/>
      </c>
      <c r="E325" s="24">
        <f>ROUND(IF(AND(I$8&gt;0,K324=0),I$6,0)+IF(AND(L$8&gt;0,N324=0),L$6,0)+IF(AND(O$8&gt;0,Q324=0),O$6,0)+IF(AND(R$8&gt;0,T324=0),R$6,0)+IF(AND(U$8&gt;0,W324=0),U$6,0)+IF(AND(X$8&gt;0,Z324=0),X$6,0)+IF(AND(AA$8&gt;0,AC324=0),AA$6,0)+IF(AND(AD$8&gt;0,AF324=0),AD$6,0)+IF(AND(AG$8&gt;0,AI324=0),AG$6,0)+IF(AND(AJ$8&gt;0,AL324=0),AJ$6,0),2)</f>
        <v>330</v>
      </c>
      <c r="F325" s="24">
        <f>ROUND(I325+L325+O325+R325+U325+X325+AA325+AD325+AG325+AJ325,2)</f>
        <v>0</v>
      </c>
      <c r="G325" s="24">
        <f>ROUND(J325+M325+P325+S325+V325+Y325+AB325+AE325+AH325+AK325,2)</f>
        <v>0</v>
      </c>
      <c r="H325" s="24">
        <f>ROUND(K325+N325+Q325+T325+W325+Z325+AC325+AF325+AI325+AL325,2)</f>
        <v>0</v>
      </c>
      <c r="I325" s="24">
        <f>IF(K324&gt;0,MIN(ROUND(I$6+IF(I$5=$C325,$E$5+$E325,0),2),ROUND(K324+J325,2)),0)</f>
        <v>0</v>
      </c>
      <c r="J325" s="24">
        <f>IF(K324&gt;0,ROUND(ROUND(K324*100,0)*ROUND(I$7*10000,0)/12000000,0)/100,0)</f>
        <v>0</v>
      </c>
      <c r="K325" s="24">
        <f>IF(K324&gt;0,ROUND(K324+J325-I325,2),0)</f>
        <v>0</v>
      </c>
      <c r="L325" s="24">
        <f>IF(N324&gt;0,MIN(ROUND(L$6+IF(L$5=$C325,$E$5+$E325,0),2),ROUND(N324+M325,2)),0)</f>
        <v>0</v>
      </c>
      <c r="M325" s="24">
        <f>IF(N324&gt;0,ROUND(ROUND(N324*100,0)*ROUND(L$7*10000,0)/12000000,0)/100,0)</f>
        <v>0</v>
      </c>
      <c r="N325" s="24">
        <f>IF(N324&gt;0,ROUND(N324+M325-L325,2),0)</f>
        <v>0</v>
      </c>
      <c r="O325" s="24">
        <f>IF(Q324&gt;0,MIN(ROUND(O$6+IF(O$5=$C325,$E$5+$E325,0),2),ROUND(Q324+P325,2)),0)</f>
        <v>0</v>
      </c>
      <c r="P325" s="24">
        <f>IF(Q324&gt;0,ROUND(ROUND(Q324*100,0)*ROUND(O$7*10000,0)/12000000,0)/100,0)</f>
        <v>0</v>
      </c>
      <c r="Q325" s="24">
        <f>IF(Q324&gt;0,ROUND(Q324+P325-O325,2),0)</f>
        <v>0</v>
      </c>
      <c r="R325" s="24">
        <f>IF(T324&gt;0,MIN(ROUND(R$6+IF(R$5=$C325,$E$5+$E325,0),2),ROUND(T324+S325,2)),0)</f>
        <v>0</v>
      </c>
      <c r="S325" s="24">
        <f>IF(T324&gt;0,ROUND(ROUND(T324*100,0)*ROUND(R$7*10000,0)/12000000,0)/100,0)</f>
        <v>0</v>
      </c>
      <c r="T325" s="24">
        <f>IF(T324&gt;0,ROUND(T324+S325-R325,2),0)</f>
        <v>0</v>
      </c>
      <c r="U325" s="24">
        <f>IF(W324&gt;0,MIN(ROUND(U$6+IF(U$5=$C325,$E$5+$E325,0),2),ROUND(W324+V325,2)),0)</f>
        <v>0</v>
      </c>
      <c r="V325" s="24">
        <f>IF(W324&gt;0,ROUND(ROUND(W324*100,0)*ROUND(U$7*10000,0)/12000000,0)/100,0)</f>
        <v>0</v>
      </c>
      <c r="W325" s="24">
        <f>IF(W324&gt;0,ROUND(W324+V325-U325,2),0)</f>
        <v>0</v>
      </c>
      <c r="X325" s="24">
        <f>IF(Z324&gt;0,MIN(ROUND(X$6+IF(X$5=$C325,$E$5+$E325,0),2),ROUND(Z324+Y325,2)),0)</f>
        <v>0</v>
      </c>
      <c r="Y325" s="24">
        <f>IF(Z324&gt;0,ROUND(ROUND(Z324*100,0)*ROUND(X$7*10000,0)/12000000,0)/100,0)</f>
        <v>0</v>
      </c>
      <c r="Z325" s="24">
        <f>IF(Z324&gt;0,ROUND(Z324+Y325-X325,2),0)</f>
        <v>0</v>
      </c>
      <c r="AA325" s="24">
        <f>IF(AC324&gt;0,MIN(ROUND(AA$6+IF(AA$5=$C325,$E$5+$E325,0),2),ROUND(AC324+AB325,2)),0)</f>
        <v>0</v>
      </c>
      <c r="AB325" s="24">
        <f>IF(AC324&gt;0,ROUND(ROUND(AC324*100,0)*ROUND(AA$7*10000,0)/12000000,0)/100,0)</f>
        <v>0</v>
      </c>
      <c r="AC325" s="24">
        <f>IF(AC324&gt;0,ROUND(AC324+AB325-AA325,2),0)</f>
        <v>0</v>
      </c>
      <c r="AD325" s="24">
        <f>IF(AF324&gt;0,MIN(ROUND(AD$6+IF(AD$5=$C325,$E$5+$E325,0),2),ROUND(AF324+AE325,2)),0)</f>
        <v>0</v>
      </c>
      <c r="AE325" s="24">
        <f>IF(AF324&gt;0,ROUND(ROUND(AF324*100,0)*ROUND(AD$7*10000,0)/12000000,0)/100,0)</f>
        <v>0</v>
      </c>
      <c r="AF325" s="24">
        <f>IF(AF324&gt;0,ROUND(AF324+AE325-AD325,2),0)</f>
        <v>0</v>
      </c>
      <c r="AG325" s="24">
        <f>IF(AI324&gt;0,MIN(ROUND(AG$6+IF(AG$5=$C325,$E$5+$E325,0),2),ROUND(AI324+AH325,2)),0)</f>
        <v>0</v>
      </c>
      <c r="AH325" s="24">
        <f>IF(AI324&gt;0,ROUND(ROUND(AI324*100,0)*ROUND(AG$7*10000,0)/12000000,0)/100,0)</f>
        <v>0</v>
      </c>
      <c r="AI325" s="24">
        <f>IF(AI324&gt;0,ROUND(AI324+AH325-AG325,2),0)</f>
        <v>0</v>
      </c>
      <c r="AJ325" s="24">
        <f>IF(AL324&gt;0,MIN(ROUND(AJ$6+IF(AJ$5=$C325,$E$5+$E325,0),2),ROUND(AL324+AK325,2)),0)</f>
        <v>0</v>
      </c>
      <c r="AK325" s="24">
        <f>IF(AL324&gt;0,ROUND(ROUND(AL324*100,0)*ROUND(AJ$7*10000,0)/12000000,0)/100,0)</f>
        <v>0</v>
      </c>
      <c r="AL325" s="24">
        <f>IF(AL324&gt;0,ROUND(AL324+AK325-AJ325,2),0)</f>
        <v>0</v>
      </c>
    </row>
    <row r="326" spans="1:38" x14ac:dyDescent="0.25">
      <c r="A326" s="17" t="str">
        <f>IF(F326&gt;0,316,"")</f>
        <v/>
      </c>
      <c r="B326" s="18" t="str">
        <f>IF(F326&gt;0,EDATE($E$6,316),"")</f>
        <v/>
      </c>
      <c r="C326" s="21">
        <f>IF(H325&gt;0,MIN(IF(K325&gt;0,I$5,99),IF(N325&gt;0,L$5,99),IF(Q325&gt;0,O$5,99),IF(T325&gt;0,R$5,99),IF(W325&gt;0,U$5,99),IF(Z325&gt;0,X$5,99),IF(AC325&gt;0,AA$5,99),IF(AF325&gt;0,AD$5,99),IF(AI325&gt;0,AG$5,99),IF(AL325&gt;0,AJ$5,99)),0)</f>
        <v>0</v>
      </c>
      <c r="D326" t="str">
        <f>IF(C326&gt;0,INDEX($I$4:$AL$4,1,MATCH(C326,$I$5:$AL$5,0)),"")</f>
        <v/>
      </c>
      <c r="E326" s="24">
        <f>ROUND(IF(AND(I$8&gt;0,K325=0),I$6,0)+IF(AND(L$8&gt;0,N325=0),L$6,0)+IF(AND(O$8&gt;0,Q325=0),O$6,0)+IF(AND(R$8&gt;0,T325=0),R$6,0)+IF(AND(U$8&gt;0,W325=0),U$6,0)+IF(AND(X$8&gt;0,Z325=0),X$6,0)+IF(AND(AA$8&gt;0,AC325=0),AA$6,0)+IF(AND(AD$8&gt;0,AF325=0),AD$6,0)+IF(AND(AG$8&gt;0,AI325=0),AG$6,0)+IF(AND(AJ$8&gt;0,AL325=0),AJ$6,0),2)</f>
        <v>330</v>
      </c>
      <c r="F326" s="24">
        <f>ROUND(I326+L326+O326+R326+U326+X326+AA326+AD326+AG326+AJ326,2)</f>
        <v>0</v>
      </c>
      <c r="G326" s="24">
        <f>ROUND(J326+M326+P326+S326+V326+Y326+AB326+AE326+AH326+AK326,2)</f>
        <v>0</v>
      </c>
      <c r="H326" s="24">
        <f>ROUND(K326+N326+Q326+T326+W326+Z326+AC326+AF326+AI326+AL326,2)</f>
        <v>0</v>
      </c>
      <c r="I326" s="24">
        <f>IF(K325&gt;0,MIN(ROUND(I$6+IF(I$5=$C326,$E$5+$E326,0),2),ROUND(K325+J326,2)),0)</f>
        <v>0</v>
      </c>
      <c r="J326" s="24">
        <f>IF(K325&gt;0,ROUND(ROUND(K325*100,0)*ROUND(I$7*10000,0)/12000000,0)/100,0)</f>
        <v>0</v>
      </c>
      <c r="K326" s="24">
        <f>IF(K325&gt;0,ROUND(K325+J326-I326,2),0)</f>
        <v>0</v>
      </c>
      <c r="L326" s="24">
        <f>IF(N325&gt;0,MIN(ROUND(L$6+IF(L$5=$C326,$E$5+$E326,0),2),ROUND(N325+M326,2)),0)</f>
        <v>0</v>
      </c>
      <c r="M326" s="24">
        <f>IF(N325&gt;0,ROUND(ROUND(N325*100,0)*ROUND(L$7*10000,0)/12000000,0)/100,0)</f>
        <v>0</v>
      </c>
      <c r="N326" s="24">
        <f>IF(N325&gt;0,ROUND(N325+M326-L326,2),0)</f>
        <v>0</v>
      </c>
      <c r="O326" s="24">
        <f>IF(Q325&gt;0,MIN(ROUND(O$6+IF(O$5=$C326,$E$5+$E326,0),2),ROUND(Q325+P326,2)),0)</f>
        <v>0</v>
      </c>
      <c r="P326" s="24">
        <f>IF(Q325&gt;0,ROUND(ROUND(Q325*100,0)*ROUND(O$7*10000,0)/12000000,0)/100,0)</f>
        <v>0</v>
      </c>
      <c r="Q326" s="24">
        <f>IF(Q325&gt;0,ROUND(Q325+P326-O326,2),0)</f>
        <v>0</v>
      </c>
      <c r="R326" s="24">
        <f>IF(T325&gt;0,MIN(ROUND(R$6+IF(R$5=$C326,$E$5+$E326,0),2),ROUND(T325+S326,2)),0)</f>
        <v>0</v>
      </c>
      <c r="S326" s="24">
        <f>IF(T325&gt;0,ROUND(ROUND(T325*100,0)*ROUND(R$7*10000,0)/12000000,0)/100,0)</f>
        <v>0</v>
      </c>
      <c r="T326" s="24">
        <f>IF(T325&gt;0,ROUND(T325+S326-R326,2),0)</f>
        <v>0</v>
      </c>
      <c r="U326" s="24">
        <f>IF(W325&gt;0,MIN(ROUND(U$6+IF(U$5=$C326,$E$5+$E326,0),2),ROUND(W325+V326,2)),0)</f>
        <v>0</v>
      </c>
      <c r="V326" s="24">
        <f>IF(W325&gt;0,ROUND(ROUND(W325*100,0)*ROUND(U$7*10000,0)/12000000,0)/100,0)</f>
        <v>0</v>
      </c>
      <c r="W326" s="24">
        <f>IF(W325&gt;0,ROUND(W325+V326-U326,2),0)</f>
        <v>0</v>
      </c>
      <c r="X326" s="24">
        <f>IF(Z325&gt;0,MIN(ROUND(X$6+IF(X$5=$C326,$E$5+$E326,0),2),ROUND(Z325+Y326,2)),0)</f>
        <v>0</v>
      </c>
      <c r="Y326" s="24">
        <f>IF(Z325&gt;0,ROUND(ROUND(Z325*100,0)*ROUND(X$7*10000,0)/12000000,0)/100,0)</f>
        <v>0</v>
      </c>
      <c r="Z326" s="24">
        <f>IF(Z325&gt;0,ROUND(Z325+Y326-X326,2),0)</f>
        <v>0</v>
      </c>
      <c r="AA326" s="24">
        <f>IF(AC325&gt;0,MIN(ROUND(AA$6+IF(AA$5=$C326,$E$5+$E326,0),2),ROUND(AC325+AB326,2)),0)</f>
        <v>0</v>
      </c>
      <c r="AB326" s="24">
        <f>IF(AC325&gt;0,ROUND(ROUND(AC325*100,0)*ROUND(AA$7*10000,0)/12000000,0)/100,0)</f>
        <v>0</v>
      </c>
      <c r="AC326" s="24">
        <f>IF(AC325&gt;0,ROUND(AC325+AB326-AA326,2),0)</f>
        <v>0</v>
      </c>
      <c r="AD326" s="24">
        <f>IF(AF325&gt;0,MIN(ROUND(AD$6+IF(AD$5=$C326,$E$5+$E326,0),2),ROUND(AF325+AE326,2)),0)</f>
        <v>0</v>
      </c>
      <c r="AE326" s="24">
        <f>IF(AF325&gt;0,ROUND(ROUND(AF325*100,0)*ROUND(AD$7*10000,0)/12000000,0)/100,0)</f>
        <v>0</v>
      </c>
      <c r="AF326" s="24">
        <f>IF(AF325&gt;0,ROUND(AF325+AE326-AD326,2),0)</f>
        <v>0</v>
      </c>
      <c r="AG326" s="24">
        <f>IF(AI325&gt;0,MIN(ROUND(AG$6+IF(AG$5=$C326,$E$5+$E326,0),2),ROUND(AI325+AH326,2)),0)</f>
        <v>0</v>
      </c>
      <c r="AH326" s="24">
        <f>IF(AI325&gt;0,ROUND(ROUND(AI325*100,0)*ROUND(AG$7*10000,0)/12000000,0)/100,0)</f>
        <v>0</v>
      </c>
      <c r="AI326" s="24">
        <f>IF(AI325&gt;0,ROUND(AI325+AH326-AG326,2),0)</f>
        <v>0</v>
      </c>
      <c r="AJ326" s="24">
        <f>IF(AL325&gt;0,MIN(ROUND(AJ$6+IF(AJ$5=$C326,$E$5+$E326,0),2),ROUND(AL325+AK326,2)),0)</f>
        <v>0</v>
      </c>
      <c r="AK326" s="24">
        <f>IF(AL325&gt;0,ROUND(ROUND(AL325*100,0)*ROUND(AJ$7*10000,0)/12000000,0)/100,0)</f>
        <v>0</v>
      </c>
      <c r="AL326" s="24">
        <f>IF(AL325&gt;0,ROUND(AL325+AK326-AJ326,2),0)</f>
        <v>0</v>
      </c>
    </row>
    <row r="327" spans="1:38" x14ac:dyDescent="0.25">
      <c r="A327" s="17" t="str">
        <f>IF(F327&gt;0,317,"")</f>
        <v/>
      </c>
      <c r="B327" s="18" t="str">
        <f>IF(F327&gt;0,EDATE($E$6,317),"")</f>
        <v/>
      </c>
      <c r="C327" s="21">
        <f>IF(H326&gt;0,MIN(IF(K326&gt;0,I$5,99),IF(N326&gt;0,L$5,99),IF(Q326&gt;0,O$5,99),IF(T326&gt;0,R$5,99),IF(W326&gt;0,U$5,99),IF(Z326&gt;0,X$5,99),IF(AC326&gt;0,AA$5,99),IF(AF326&gt;0,AD$5,99),IF(AI326&gt;0,AG$5,99),IF(AL326&gt;0,AJ$5,99)),0)</f>
        <v>0</v>
      </c>
      <c r="D327" t="str">
        <f>IF(C327&gt;0,INDEX($I$4:$AL$4,1,MATCH(C327,$I$5:$AL$5,0)),"")</f>
        <v/>
      </c>
      <c r="E327" s="24">
        <f>ROUND(IF(AND(I$8&gt;0,K326=0),I$6,0)+IF(AND(L$8&gt;0,N326=0),L$6,0)+IF(AND(O$8&gt;0,Q326=0),O$6,0)+IF(AND(R$8&gt;0,T326=0),R$6,0)+IF(AND(U$8&gt;0,W326=0),U$6,0)+IF(AND(X$8&gt;0,Z326=0),X$6,0)+IF(AND(AA$8&gt;0,AC326=0),AA$6,0)+IF(AND(AD$8&gt;0,AF326=0),AD$6,0)+IF(AND(AG$8&gt;0,AI326=0),AG$6,0)+IF(AND(AJ$8&gt;0,AL326=0),AJ$6,0),2)</f>
        <v>330</v>
      </c>
      <c r="F327" s="24">
        <f>ROUND(I327+L327+O327+R327+U327+X327+AA327+AD327+AG327+AJ327,2)</f>
        <v>0</v>
      </c>
      <c r="G327" s="24">
        <f>ROUND(J327+M327+P327+S327+V327+Y327+AB327+AE327+AH327+AK327,2)</f>
        <v>0</v>
      </c>
      <c r="H327" s="24">
        <f>ROUND(K327+N327+Q327+T327+W327+Z327+AC327+AF327+AI327+AL327,2)</f>
        <v>0</v>
      </c>
      <c r="I327" s="24">
        <f>IF(K326&gt;0,MIN(ROUND(I$6+IF(I$5=$C327,$E$5+$E327,0),2),ROUND(K326+J327,2)),0)</f>
        <v>0</v>
      </c>
      <c r="J327" s="24">
        <f>IF(K326&gt;0,ROUND(ROUND(K326*100,0)*ROUND(I$7*10000,0)/12000000,0)/100,0)</f>
        <v>0</v>
      </c>
      <c r="K327" s="24">
        <f>IF(K326&gt;0,ROUND(K326+J327-I327,2),0)</f>
        <v>0</v>
      </c>
      <c r="L327" s="24">
        <f>IF(N326&gt;0,MIN(ROUND(L$6+IF(L$5=$C327,$E$5+$E327,0),2),ROUND(N326+M327,2)),0)</f>
        <v>0</v>
      </c>
      <c r="M327" s="24">
        <f>IF(N326&gt;0,ROUND(ROUND(N326*100,0)*ROUND(L$7*10000,0)/12000000,0)/100,0)</f>
        <v>0</v>
      </c>
      <c r="N327" s="24">
        <f>IF(N326&gt;0,ROUND(N326+M327-L327,2),0)</f>
        <v>0</v>
      </c>
      <c r="O327" s="24">
        <f>IF(Q326&gt;0,MIN(ROUND(O$6+IF(O$5=$C327,$E$5+$E327,0),2),ROUND(Q326+P327,2)),0)</f>
        <v>0</v>
      </c>
      <c r="P327" s="24">
        <f>IF(Q326&gt;0,ROUND(ROUND(Q326*100,0)*ROUND(O$7*10000,0)/12000000,0)/100,0)</f>
        <v>0</v>
      </c>
      <c r="Q327" s="24">
        <f>IF(Q326&gt;0,ROUND(Q326+P327-O327,2),0)</f>
        <v>0</v>
      </c>
      <c r="R327" s="24">
        <f>IF(T326&gt;0,MIN(ROUND(R$6+IF(R$5=$C327,$E$5+$E327,0),2),ROUND(T326+S327,2)),0)</f>
        <v>0</v>
      </c>
      <c r="S327" s="24">
        <f>IF(T326&gt;0,ROUND(ROUND(T326*100,0)*ROUND(R$7*10000,0)/12000000,0)/100,0)</f>
        <v>0</v>
      </c>
      <c r="T327" s="24">
        <f>IF(T326&gt;0,ROUND(T326+S327-R327,2),0)</f>
        <v>0</v>
      </c>
      <c r="U327" s="24">
        <f>IF(W326&gt;0,MIN(ROUND(U$6+IF(U$5=$C327,$E$5+$E327,0),2),ROUND(W326+V327,2)),0)</f>
        <v>0</v>
      </c>
      <c r="V327" s="24">
        <f>IF(W326&gt;0,ROUND(ROUND(W326*100,0)*ROUND(U$7*10000,0)/12000000,0)/100,0)</f>
        <v>0</v>
      </c>
      <c r="W327" s="24">
        <f>IF(W326&gt;0,ROUND(W326+V327-U327,2),0)</f>
        <v>0</v>
      </c>
      <c r="X327" s="24">
        <f>IF(Z326&gt;0,MIN(ROUND(X$6+IF(X$5=$C327,$E$5+$E327,0),2),ROUND(Z326+Y327,2)),0)</f>
        <v>0</v>
      </c>
      <c r="Y327" s="24">
        <f>IF(Z326&gt;0,ROUND(ROUND(Z326*100,0)*ROUND(X$7*10000,0)/12000000,0)/100,0)</f>
        <v>0</v>
      </c>
      <c r="Z327" s="24">
        <f>IF(Z326&gt;0,ROUND(Z326+Y327-X327,2),0)</f>
        <v>0</v>
      </c>
      <c r="AA327" s="24">
        <f>IF(AC326&gt;0,MIN(ROUND(AA$6+IF(AA$5=$C327,$E$5+$E327,0),2),ROUND(AC326+AB327,2)),0)</f>
        <v>0</v>
      </c>
      <c r="AB327" s="24">
        <f>IF(AC326&gt;0,ROUND(ROUND(AC326*100,0)*ROUND(AA$7*10000,0)/12000000,0)/100,0)</f>
        <v>0</v>
      </c>
      <c r="AC327" s="24">
        <f>IF(AC326&gt;0,ROUND(AC326+AB327-AA327,2),0)</f>
        <v>0</v>
      </c>
      <c r="AD327" s="24">
        <f>IF(AF326&gt;0,MIN(ROUND(AD$6+IF(AD$5=$C327,$E$5+$E327,0),2),ROUND(AF326+AE327,2)),0)</f>
        <v>0</v>
      </c>
      <c r="AE327" s="24">
        <f>IF(AF326&gt;0,ROUND(ROUND(AF326*100,0)*ROUND(AD$7*10000,0)/12000000,0)/100,0)</f>
        <v>0</v>
      </c>
      <c r="AF327" s="24">
        <f>IF(AF326&gt;0,ROUND(AF326+AE327-AD327,2),0)</f>
        <v>0</v>
      </c>
      <c r="AG327" s="24">
        <f>IF(AI326&gt;0,MIN(ROUND(AG$6+IF(AG$5=$C327,$E$5+$E327,0),2),ROUND(AI326+AH327,2)),0)</f>
        <v>0</v>
      </c>
      <c r="AH327" s="24">
        <f>IF(AI326&gt;0,ROUND(ROUND(AI326*100,0)*ROUND(AG$7*10000,0)/12000000,0)/100,0)</f>
        <v>0</v>
      </c>
      <c r="AI327" s="24">
        <f>IF(AI326&gt;0,ROUND(AI326+AH327-AG327,2),0)</f>
        <v>0</v>
      </c>
      <c r="AJ327" s="24">
        <f>IF(AL326&gt;0,MIN(ROUND(AJ$6+IF(AJ$5=$C327,$E$5+$E327,0),2),ROUND(AL326+AK327,2)),0)</f>
        <v>0</v>
      </c>
      <c r="AK327" s="24">
        <f>IF(AL326&gt;0,ROUND(ROUND(AL326*100,0)*ROUND(AJ$7*10000,0)/12000000,0)/100,0)</f>
        <v>0</v>
      </c>
      <c r="AL327" s="24">
        <f>IF(AL326&gt;0,ROUND(AL326+AK327-AJ327,2),0)</f>
        <v>0</v>
      </c>
    </row>
    <row r="328" spans="1:38" x14ac:dyDescent="0.25">
      <c r="A328" s="17" t="str">
        <f>IF(F328&gt;0,318,"")</f>
        <v/>
      </c>
      <c r="B328" s="18" t="str">
        <f>IF(F328&gt;0,EDATE($E$6,318),"")</f>
        <v/>
      </c>
      <c r="C328" s="21">
        <f>IF(H327&gt;0,MIN(IF(K327&gt;0,I$5,99),IF(N327&gt;0,L$5,99),IF(Q327&gt;0,O$5,99),IF(T327&gt;0,R$5,99),IF(W327&gt;0,U$5,99),IF(Z327&gt;0,X$5,99),IF(AC327&gt;0,AA$5,99),IF(AF327&gt;0,AD$5,99),IF(AI327&gt;0,AG$5,99),IF(AL327&gt;0,AJ$5,99)),0)</f>
        <v>0</v>
      </c>
      <c r="D328" t="str">
        <f>IF(C328&gt;0,INDEX($I$4:$AL$4,1,MATCH(C328,$I$5:$AL$5,0)),"")</f>
        <v/>
      </c>
      <c r="E328" s="24">
        <f>ROUND(IF(AND(I$8&gt;0,K327=0),I$6,0)+IF(AND(L$8&gt;0,N327=0),L$6,0)+IF(AND(O$8&gt;0,Q327=0),O$6,0)+IF(AND(R$8&gt;0,T327=0),R$6,0)+IF(AND(U$8&gt;0,W327=0),U$6,0)+IF(AND(X$8&gt;0,Z327=0),X$6,0)+IF(AND(AA$8&gt;0,AC327=0),AA$6,0)+IF(AND(AD$8&gt;0,AF327=0),AD$6,0)+IF(AND(AG$8&gt;0,AI327=0),AG$6,0)+IF(AND(AJ$8&gt;0,AL327=0),AJ$6,0),2)</f>
        <v>330</v>
      </c>
      <c r="F328" s="24">
        <f>ROUND(I328+L328+O328+R328+U328+X328+AA328+AD328+AG328+AJ328,2)</f>
        <v>0</v>
      </c>
      <c r="G328" s="24">
        <f>ROUND(J328+M328+P328+S328+V328+Y328+AB328+AE328+AH328+AK328,2)</f>
        <v>0</v>
      </c>
      <c r="H328" s="24">
        <f>ROUND(K328+N328+Q328+T328+W328+Z328+AC328+AF328+AI328+AL328,2)</f>
        <v>0</v>
      </c>
      <c r="I328" s="24">
        <f>IF(K327&gt;0,MIN(ROUND(I$6+IF(I$5=$C328,$E$5+$E328,0),2),ROUND(K327+J328,2)),0)</f>
        <v>0</v>
      </c>
      <c r="J328" s="24">
        <f>IF(K327&gt;0,ROUND(ROUND(K327*100,0)*ROUND(I$7*10000,0)/12000000,0)/100,0)</f>
        <v>0</v>
      </c>
      <c r="K328" s="24">
        <f>IF(K327&gt;0,ROUND(K327+J328-I328,2),0)</f>
        <v>0</v>
      </c>
      <c r="L328" s="24">
        <f>IF(N327&gt;0,MIN(ROUND(L$6+IF(L$5=$C328,$E$5+$E328,0),2),ROUND(N327+M328,2)),0)</f>
        <v>0</v>
      </c>
      <c r="M328" s="24">
        <f>IF(N327&gt;0,ROUND(ROUND(N327*100,0)*ROUND(L$7*10000,0)/12000000,0)/100,0)</f>
        <v>0</v>
      </c>
      <c r="N328" s="24">
        <f>IF(N327&gt;0,ROUND(N327+M328-L328,2),0)</f>
        <v>0</v>
      </c>
      <c r="O328" s="24">
        <f>IF(Q327&gt;0,MIN(ROUND(O$6+IF(O$5=$C328,$E$5+$E328,0),2),ROUND(Q327+P328,2)),0)</f>
        <v>0</v>
      </c>
      <c r="P328" s="24">
        <f>IF(Q327&gt;0,ROUND(ROUND(Q327*100,0)*ROUND(O$7*10000,0)/12000000,0)/100,0)</f>
        <v>0</v>
      </c>
      <c r="Q328" s="24">
        <f>IF(Q327&gt;0,ROUND(Q327+P328-O328,2),0)</f>
        <v>0</v>
      </c>
      <c r="R328" s="24">
        <f>IF(T327&gt;0,MIN(ROUND(R$6+IF(R$5=$C328,$E$5+$E328,0),2),ROUND(T327+S328,2)),0)</f>
        <v>0</v>
      </c>
      <c r="S328" s="24">
        <f>IF(T327&gt;0,ROUND(ROUND(T327*100,0)*ROUND(R$7*10000,0)/12000000,0)/100,0)</f>
        <v>0</v>
      </c>
      <c r="T328" s="24">
        <f>IF(T327&gt;0,ROUND(T327+S328-R328,2),0)</f>
        <v>0</v>
      </c>
      <c r="U328" s="24">
        <f>IF(W327&gt;0,MIN(ROUND(U$6+IF(U$5=$C328,$E$5+$E328,0),2),ROUND(W327+V328,2)),0)</f>
        <v>0</v>
      </c>
      <c r="V328" s="24">
        <f>IF(W327&gt;0,ROUND(ROUND(W327*100,0)*ROUND(U$7*10000,0)/12000000,0)/100,0)</f>
        <v>0</v>
      </c>
      <c r="W328" s="24">
        <f>IF(W327&gt;0,ROUND(W327+V328-U328,2),0)</f>
        <v>0</v>
      </c>
      <c r="X328" s="24">
        <f>IF(Z327&gt;0,MIN(ROUND(X$6+IF(X$5=$C328,$E$5+$E328,0),2),ROUND(Z327+Y328,2)),0)</f>
        <v>0</v>
      </c>
      <c r="Y328" s="24">
        <f>IF(Z327&gt;0,ROUND(ROUND(Z327*100,0)*ROUND(X$7*10000,0)/12000000,0)/100,0)</f>
        <v>0</v>
      </c>
      <c r="Z328" s="24">
        <f>IF(Z327&gt;0,ROUND(Z327+Y328-X328,2),0)</f>
        <v>0</v>
      </c>
      <c r="AA328" s="24">
        <f>IF(AC327&gt;0,MIN(ROUND(AA$6+IF(AA$5=$C328,$E$5+$E328,0),2),ROUND(AC327+AB328,2)),0)</f>
        <v>0</v>
      </c>
      <c r="AB328" s="24">
        <f>IF(AC327&gt;0,ROUND(ROUND(AC327*100,0)*ROUND(AA$7*10000,0)/12000000,0)/100,0)</f>
        <v>0</v>
      </c>
      <c r="AC328" s="24">
        <f>IF(AC327&gt;0,ROUND(AC327+AB328-AA328,2),0)</f>
        <v>0</v>
      </c>
      <c r="AD328" s="24">
        <f>IF(AF327&gt;0,MIN(ROUND(AD$6+IF(AD$5=$C328,$E$5+$E328,0),2),ROUND(AF327+AE328,2)),0)</f>
        <v>0</v>
      </c>
      <c r="AE328" s="24">
        <f>IF(AF327&gt;0,ROUND(ROUND(AF327*100,0)*ROUND(AD$7*10000,0)/12000000,0)/100,0)</f>
        <v>0</v>
      </c>
      <c r="AF328" s="24">
        <f>IF(AF327&gt;0,ROUND(AF327+AE328-AD328,2),0)</f>
        <v>0</v>
      </c>
      <c r="AG328" s="24">
        <f>IF(AI327&gt;0,MIN(ROUND(AG$6+IF(AG$5=$C328,$E$5+$E328,0),2),ROUND(AI327+AH328,2)),0)</f>
        <v>0</v>
      </c>
      <c r="AH328" s="24">
        <f>IF(AI327&gt;0,ROUND(ROUND(AI327*100,0)*ROUND(AG$7*10000,0)/12000000,0)/100,0)</f>
        <v>0</v>
      </c>
      <c r="AI328" s="24">
        <f>IF(AI327&gt;0,ROUND(AI327+AH328-AG328,2),0)</f>
        <v>0</v>
      </c>
      <c r="AJ328" s="24">
        <f>IF(AL327&gt;0,MIN(ROUND(AJ$6+IF(AJ$5=$C328,$E$5+$E328,0),2),ROUND(AL327+AK328,2)),0)</f>
        <v>0</v>
      </c>
      <c r="AK328" s="24">
        <f>IF(AL327&gt;0,ROUND(ROUND(AL327*100,0)*ROUND(AJ$7*10000,0)/12000000,0)/100,0)</f>
        <v>0</v>
      </c>
      <c r="AL328" s="24">
        <f>IF(AL327&gt;0,ROUND(AL327+AK328-AJ328,2),0)</f>
        <v>0</v>
      </c>
    </row>
    <row r="329" spans="1:38" x14ac:dyDescent="0.25">
      <c r="A329" s="17" t="str">
        <f>IF(F329&gt;0,319,"")</f>
        <v/>
      </c>
      <c r="B329" s="18" t="str">
        <f>IF(F329&gt;0,EDATE($E$6,319),"")</f>
        <v/>
      </c>
      <c r="C329" s="21">
        <f>IF(H328&gt;0,MIN(IF(K328&gt;0,I$5,99),IF(N328&gt;0,L$5,99),IF(Q328&gt;0,O$5,99),IF(T328&gt;0,R$5,99),IF(W328&gt;0,U$5,99),IF(Z328&gt;0,X$5,99),IF(AC328&gt;0,AA$5,99),IF(AF328&gt;0,AD$5,99),IF(AI328&gt;0,AG$5,99),IF(AL328&gt;0,AJ$5,99)),0)</f>
        <v>0</v>
      </c>
      <c r="D329" t="str">
        <f>IF(C329&gt;0,INDEX($I$4:$AL$4,1,MATCH(C329,$I$5:$AL$5,0)),"")</f>
        <v/>
      </c>
      <c r="E329" s="24">
        <f>ROUND(IF(AND(I$8&gt;0,K328=0),I$6,0)+IF(AND(L$8&gt;0,N328=0),L$6,0)+IF(AND(O$8&gt;0,Q328=0),O$6,0)+IF(AND(R$8&gt;0,T328=0),R$6,0)+IF(AND(U$8&gt;0,W328=0),U$6,0)+IF(AND(X$8&gt;0,Z328=0),X$6,0)+IF(AND(AA$8&gt;0,AC328=0),AA$6,0)+IF(AND(AD$8&gt;0,AF328=0),AD$6,0)+IF(AND(AG$8&gt;0,AI328=0),AG$6,0)+IF(AND(AJ$8&gt;0,AL328=0),AJ$6,0),2)</f>
        <v>330</v>
      </c>
      <c r="F329" s="24">
        <f>ROUND(I329+L329+O329+R329+U329+X329+AA329+AD329+AG329+AJ329,2)</f>
        <v>0</v>
      </c>
      <c r="G329" s="24">
        <f>ROUND(J329+M329+P329+S329+V329+Y329+AB329+AE329+AH329+AK329,2)</f>
        <v>0</v>
      </c>
      <c r="H329" s="24">
        <f>ROUND(K329+N329+Q329+T329+W329+Z329+AC329+AF329+AI329+AL329,2)</f>
        <v>0</v>
      </c>
      <c r="I329" s="24">
        <f>IF(K328&gt;0,MIN(ROUND(I$6+IF(I$5=$C329,$E$5+$E329,0),2),ROUND(K328+J329,2)),0)</f>
        <v>0</v>
      </c>
      <c r="J329" s="24">
        <f>IF(K328&gt;0,ROUND(ROUND(K328*100,0)*ROUND(I$7*10000,0)/12000000,0)/100,0)</f>
        <v>0</v>
      </c>
      <c r="K329" s="24">
        <f>IF(K328&gt;0,ROUND(K328+J329-I329,2),0)</f>
        <v>0</v>
      </c>
      <c r="L329" s="24">
        <f>IF(N328&gt;0,MIN(ROUND(L$6+IF(L$5=$C329,$E$5+$E329,0),2),ROUND(N328+M329,2)),0)</f>
        <v>0</v>
      </c>
      <c r="M329" s="24">
        <f>IF(N328&gt;0,ROUND(ROUND(N328*100,0)*ROUND(L$7*10000,0)/12000000,0)/100,0)</f>
        <v>0</v>
      </c>
      <c r="N329" s="24">
        <f>IF(N328&gt;0,ROUND(N328+M329-L329,2),0)</f>
        <v>0</v>
      </c>
      <c r="O329" s="24">
        <f>IF(Q328&gt;0,MIN(ROUND(O$6+IF(O$5=$C329,$E$5+$E329,0),2),ROUND(Q328+P329,2)),0)</f>
        <v>0</v>
      </c>
      <c r="P329" s="24">
        <f>IF(Q328&gt;0,ROUND(ROUND(Q328*100,0)*ROUND(O$7*10000,0)/12000000,0)/100,0)</f>
        <v>0</v>
      </c>
      <c r="Q329" s="24">
        <f>IF(Q328&gt;0,ROUND(Q328+P329-O329,2),0)</f>
        <v>0</v>
      </c>
      <c r="R329" s="24">
        <f>IF(T328&gt;0,MIN(ROUND(R$6+IF(R$5=$C329,$E$5+$E329,0),2),ROUND(T328+S329,2)),0)</f>
        <v>0</v>
      </c>
      <c r="S329" s="24">
        <f>IF(T328&gt;0,ROUND(ROUND(T328*100,0)*ROUND(R$7*10000,0)/12000000,0)/100,0)</f>
        <v>0</v>
      </c>
      <c r="T329" s="24">
        <f>IF(T328&gt;0,ROUND(T328+S329-R329,2),0)</f>
        <v>0</v>
      </c>
      <c r="U329" s="24">
        <f>IF(W328&gt;0,MIN(ROUND(U$6+IF(U$5=$C329,$E$5+$E329,0),2),ROUND(W328+V329,2)),0)</f>
        <v>0</v>
      </c>
      <c r="V329" s="24">
        <f>IF(W328&gt;0,ROUND(ROUND(W328*100,0)*ROUND(U$7*10000,0)/12000000,0)/100,0)</f>
        <v>0</v>
      </c>
      <c r="W329" s="24">
        <f>IF(W328&gt;0,ROUND(W328+V329-U329,2),0)</f>
        <v>0</v>
      </c>
      <c r="X329" s="24">
        <f>IF(Z328&gt;0,MIN(ROUND(X$6+IF(X$5=$C329,$E$5+$E329,0),2),ROUND(Z328+Y329,2)),0)</f>
        <v>0</v>
      </c>
      <c r="Y329" s="24">
        <f>IF(Z328&gt;0,ROUND(ROUND(Z328*100,0)*ROUND(X$7*10000,0)/12000000,0)/100,0)</f>
        <v>0</v>
      </c>
      <c r="Z329" s="24">
        <f>IF(Z328&gt;0,ROUND(Z328+Y329-X329,2),0)</f>
        <v>0</v>
      </c>
      <c r="AA329" s="24">
        <f>IF(AC328&gt;0,MIN(ROUND(AA$6+IF(AA$5=$C329,$E$5+$E329,0),2),ROUND(AC328+AB329,2)),0)</f>
        <v>0</v>
      </c>
      <c r="AB329" s="24">
        <f>IF(AC328&gt;0,ROUND(ROUND(AC328*100,0)*ROUND(AA$7*10000,0)/12000000,0)/100,0)</f>
        <v>0</v>
      </c>
      <c r="AC329" s="24">
        <f>IF(AC328&gt;0,ROUND(AC328+AB329-AA329,2),0)</f>
        <v>0</v>
      </c>
      <c r="AD329" s="24">
        <f>IF(AF328&gt;0,MIN(ROUND(AD$6+IF(AD$5=$C329,$E$5+$E329,0),2),ROUND(AF328+AE329,2)),0)</f>
        <v>0</v>
      </c>
      <c r="AE329" s="24">
        <f>IF(AF328&gt;0,ROUND(ROUND(AF328*100,0)*ROUND(AD$7*10000,0)/12000000,0)/100,0)</f>
        <v>0</v>
      </c>
      <c r="AF329" s="24">
        <f>IF(AF328&gt;0,ROUND(AF328+AE329-AD329,2),0)</f>
        <v>0</v>
      </c>
      <c r="AG329" s="24">
        <f>IF(AI328&gt;0,MIN(ROUND(AG$6+IF(AG$5=$C329,$E$5+$E329,0),2),ROUND(AI328+AH329,2)),0)</f>
        <v>0</v>
      </c>
      <c r="AH329" s="24">
        <f>IF(AI328&gt;0,ROUND(ROUND(AI328*100,0)*ROUND(AG$7*10000,0)/12000000,0)/100,0)</f>
        <v>0</v>
      </c>
      <c r="AI329" s="24">
        <f>IF(AI328&gt;0,ROUND(AI328+AH329-AG329,2),0)</f>
        <v>0</v>
      </c>
      <c r="AJ329" s="24">
        <f>IF(AL328&gt;0,MIN(ROUND(AJ$6+IF(AJ$5=$C329,$E$5+$E329,0),2),ROUND(AL328+AK329,2)),0)</f>
        <v>0</v>
      </c>
      <c r="AK329" s="24">
        <f>IF(AL328&gt;0,ROUND(ROUND(AL328*100,0)*ROUND(AJ$7*10000,0)/12000000,0)/100,0)</f>
        <v>0</v>
      </c>
      <c r="AL329" s="24">
        <f>IF(AL328&gt;0,ROUND(AL328+AK329-AJ329,2),0)</f>
        <v>0</v>
      </c>
    </row>
    <row r="330" spans="1:38" x14ac:dyDescent="0.25">
      <c r="A330" s="17" t="str">
        <f>IF(F330&gt;0,320,"")</f>
        <v/>
      </c>
      <c r="B330" s="18" t="str">
        <f>IF(F330&gt;0,EDATE($E$6,320),"")</f>
        <v/>
      </c>
      <c r="C330" s="21">
        <f>IF(H329&gt;0,MIN(IF(K329&gt;0,I$5,99),IF(N329&gt;0,L$5,99),IF(Q329&gt;0,O$5,99),IF(T329&gt;0,R$5,99),IF(W329&gt;0,U$5,99),IF(Z329&gt;0,X$5,99),IF(AC329&gt;0,AA$5,99),IF(AF329&gt;0,AD$5,99),IF(AI329&gt;0,AG$5,99),IF(AL329&gt;0,AJ$5,99)),0)</f>
        <v>0</v>
      </c>
      <c r="D330" t="str">
        <f>IF(C330&gt;0,INDEX($I$4:$AL$4,1,MATCH(C330,$I$5:$AL$5,0)),"")</f>
        <v/>
      </c>
      <c r="E330" s="24">
        <f>ROUND(IF(AND(I$8&gt;0,K329=0),I$6,0)+IF(AND(L$8&gt;0,N329=0),L$6,0)+IF(AND(O$8&gt;0,Q329=0),O$6,0)+IF(AND(R$8&gt;0,T329=0),R$6,0)+IF(AND(U$8&gt;0,W329=0),U$6,0)+IF(AND(X$8&gt;0,Z329=0),X$6,0)+IF(AND(AA$8&gt;0,AC329=0),AA$6,0)+IF(AND(AD$8&gt;0,AF329=0),AD$6,0)+IF(AND(AG$8&gt;0,AI329=0),AG$6,0)+IF(AND(AJ$8&gt;0,AL329=0),AJ$6,0),2)</f>
        <v>330</v>
      </c>
      <c r="F330" s="24">
        <f>ROUND(I330+L330+O330+R330+U330+X330+AA330+AD330+AG330+AJ330,2)</f>
        <v>0</v>
      </c>
      <c r="G330" s="24">
        <f>ROUND(J330+M330+P330+S330+V330+Y330+AB330+AE330+AH330+AK330,2)</f>
        <v>0</v>
      </c>
      <c r="H330" s="24">
        <f>ROUND(K330+N330+Q330+T330+W330+Z330+AC330+AF330+AI330+AL330,2)</f>
        <v>0</v>
      </c>
      <c r="I330" s="24">
        <f>IF(K329&gt;0,MIN(ROUND(I$6+IF(I$5=$C330,$E$5+$E330,0),2),ROUND(K329+J330,2)),0)</f>
        <v>0</v>
      </c>
      <c r="J330" s="24">
        <f>IF(K329&gt;0,ROUND(ROUND(K329*100,0)*ROUND(I$7*10000,0)/12000000,0)/100,0)</f>
        <v>0</v>
      </c>
      <c r="K330" s="24">
        <f>IF(K329&gt;0,ROUND(K329+J330-I330,2),0)</f>
        <v>0</v>
      </c>
      <c r="L330" s="24">
        <f>IF(N329&gt;0,MIN(ROUND(L$6+IF(L$5=$C330,$E$5+$E330,0),2),ROUND(N329+M330,2)),0)</f>
        <v>0</v>
      </c>
      <c r="M330" s="24">
        <f>IF(N329&gt;0,ROUND(ROUND(N329*100,0)*ROUND(L$7*10000,0)/12000000,0)/100,0)</f>
        <v>0</v>
      </c>
      <c r="N330" s="24">
        <f>IF(N329&gt;0,ROUND(N329+M330-L330,2),0)</f>
        <v>0</v>
      </c>
      <c r="O330" s="24">
        <f>IF(Q329&gt;0,MIN(ROUND(O$6+IF(O$5=$C330,$E$5+$E330,0),2),ROUND(Q329+P330,2)),0)</f>
        <v>0</v>
      </c>
      <c r="P330" s="24">
        <f>IF(Q329&gt;0,ROUND(ROUND(Q329*100,0)*ROUND(O$7*10000,0)/12000000,0)/100,0)</f>
        <v>0</v>
      </c>
      <c r="Q330" s="24">
        <f>IF(Q329&gt;0,ROUND(Q329+P330-O330,2),0)</f>
        <v>0</v>
      </c>
      <c r="R330" s="24">
        <f>IF(T329&gt;0,MIN(ROUND(R$6+IF(R$5=$C330,$E$5+$E330,0),2),ROUND(T329+S330,2)),0)</f>
        <v>0</v>
      </c>
      <c r="S330" s="24">
        <f>IF(T329&gt;0,ROUND(ROUND(T329*100,0)*ROUND(R$7*10000,0)/12000000,0)/100,0)</f>
        <v>0</v>
      </c>
      <c r="T330" s="24">
        <f>IF(T329&gt;0,ROUND(T329+S330-R330,2),0)</f>
        <v>0</v>
      </c>
      <c r="U330" s="24">
        <f>IF(W329&gt;0,MIN(ROUND(U$6+IF(U$5=$C330,$E$5+$E330,0),2),ROUND(W329+V330,2)),0)</f>
        <v>0</v>
      </c>
      <c r="V330" s="24">
        <f>IF(W329&gt;0,ROUND(ROUND(W329*100,0)*ROUND(U$7*10000,0)/12000000,0)/100,0)</f>
        <v>0</v>
      </c>
      <c r="W330" s="24">
        <f>IF(W329&gt;0,ROUND(W329+V330-U330,2),0)</f>
        <v>0</v>
      </c>
      <c r="X330" s="24">
        <f>IF(Z329&gt;0,MIN(ROUND(X$6+IF(X$5=$C330,$E$5+$E330,0),2),ROUND(Z329+Y330,2)),0)</f>
        <v>0</v>
      </c>
      <c r="Y330" s="24">
        <f>IF(Z329&gt;0,ROUND(ROUND(Z329*100,0)*ROUND(X$7*10000,0)/12000000,0)/100,0)</f>
        <v>0</v>
      </c>
      <c r="Z330" s="24">
        <f>IF(Z329&gt;0,ROUND(Z329+Y330-X330,2),0)</f>
        <v>0</v>
      </c>
      <c r="AA330" s="24">
        <f>IF(AC329&gt;0,MIN(ROUND(AA$6+IF(AA$5=$C330,$E$5+$E330,0),2),ROUND(AC329+AB330,2)),0)</f>
        <v>0</v>
      </c>
      <c r="AB330" s="24">
        <f>IF(AC329&gt;0,ROUND(ROUND(AC329*100,0)*ROUND(AA$7*10000,0)/12000000,0)/100,0)</f>
        <v>0</v>
      </c>
      <c r="AC330" s="24">
        <f>IF(AC329&gt;0,ROUND(AC329+AB330-AA330,2),0)</f>
        <v>0</v>
      </c>
      <c r="AD330" s="24">
        <f>IF(AF329&gt;0,MIN(ROUND(AD$6+IF(AD$5=$C330,$E$5+$E330,0),2),ROUND(AF329+AE330,2)),0)</f>
        <v>0</v>
      </c>
      <c r="AE330" s="24">
        <f>IF(AF329&gt;0,ROUND(ROUND(AF329*100,0)*ROUND(AD$7*10000,0)/12000000,0)/100,0)</f>
        <v>0</v>
      </c>
      <c r="AF330" s="24">
        <f>IF(AF329&gt;0,ROUND(AF329+AE330-AD330,2),0)</f>
        <v>0</v>
      </c>
      <c r="AG330" s="24">
        <f>IF(AI329&gt;0,MIN(ROUND(AG$6+IF(AG$5=$C330,$E$5+$E330,0),2),ROUND(AI329+AH330,2)),0)</f>
        <v>0</v>
      </c>
      <c r="AH330" s="24">
        <f>IF(AI329&gt;0,ROUND(ROUND(AI329*100,0)*ROUND(AG$7*10000,0)/12000000,0)/100,0)</f>
        <v>0</v>
      </c>
      <c r="AI330" s="24">
        <f>IF(AI329&gt;0,ROUND(AI329+AH330-AG330,2),0)</f>
        <v>0</v>
      </c>
      <c r="AJ330" s="24">
        <f>IF(AL329&gt;0,MIN(ROUND(AJ$6+IF(AJ$5=$C330,$E$5+$E330,0),2),ROUND(AL329+AK330,2)),0)</f>
        <v>0</v>
      </c>
      <c r="AK330" s="24">
        <f>IF(AL329&gt;0,ROUND(ROUND(AL329*100,0)*ROUND(AJ$7*10000,0)/12000000,0)/100,0)</f>
        <v>0</v>
      </c>
      <c r="AL330" s="24">
        <f>IF(AL329&gt;0,ROUND(AL329+AK330-AJ330,2),0)</f>
        <v>0</v>
      </c>
    </row>
    <row r="331" spans="1:38" x14ac:dyDescent="0.25">
      <c r="A331" s="17" t="str">
        <f>IF(F331&gt;0,321,"")</f>
        <v/>
      </c>
      <c r="B331" s="18" t="str">
        <f>IF(F331&gt;0,EDATE($E$6,321),"")</f>
        <v/>
      </c>
      <c r="C331" s="21">
        <f>IF(H330&gt;0,MIN(IF(K330&gt;0,I$5,99),IF(N330&gt;0,L$5,99),IF(Q330&gt;0,O$5,99),IF(T330&gt;0,R$5,99),IF(W330&gt;0,U$5,99),IF(Z330&gt;0,X$5,99),IF(AC330&gt;0,AA$5,99),IF(AF330&gt;0,AD$5,99),IF(AI330&gt;0,AG$5,99),IF(AL330&gt;0,AJ$5,99)),0)</f>
        <v>0</v>
      </c>
      <c r="D331" t="str">
        <f>IF(C331&gt;0,INDEX($I$4:$AL$4,1,MATCH(C331,$I$5:$AL$5,0)),"")</f>
        <v/>
      </c>
      <c r="E331" s="24">
        <f>ROUND(IF(AND(I$8&gt;0,K330=0),I$6,0)+IF(AND(L$8&gt;0,N330=0),L$6,0)+IF(AND(O$8&gt;0,Q330=0),O$6,0)+IF(AND(R$8&gt;0,T330=0),R$6,0)+IF(AND(U$8&gt;0,W330=0),U$6,0)+IF(AND(X$8&gt;0,Z330=0),X$6,0)+IF(AND(AA$8&gt;0,AC330=0),AA$6,0)+IF(AND(AD$8&gt;0,AF330=0),AD$6,0)+IF(AND(AG$8&gt;0,AI330=0),AG$6,0)+IF(AND(AJ$8&gt;0,AL330=0),AJ$6,0),2)</f>
        <v>330</v>
      </c>
      <c r="F331" s="24">
        <f>ROUND(I331+L331+O331+R331+U331+X331+AA331+AD331+AG331+AJ331,2)</f>
        <v>0</v>
      </c>
      <c r="G331" s="24">
        <f>ROUND(J331+M331+P331+S331+V331+Y331+AB331+AE331+AH331+AK331,2)</f>
        <v>0</v>
      </c>
      <c r="H331" s="24">
        <f>ROUND(K331+N331+Q331+T331+W331+Z331+AC331+AF331+AI331+AL331,2)</f>
        <v>0</v>
      </c>
      <c r="I331" s="24">
        <f>IF(K330&gt;0,MIN(ROUND(I$6+IF(I$5=$C331,$E$5+$E331,0),2),ROUND(K330+J331,2)),0)</f>
        <v>0</v>
      </c>
      <c r="J331" s="24">
        <f>IF(K330&gt;0,ROUND(ROUND(K330*100,0)*ROUND(I$7*10000,0)/12000000,0)/100,0)</f>
        <v>0</v>
      </c>
      <c r="K331" s="24">
        <f>IF(K330&gt;0,ROUND(K330+J331-I331,2),0)</f>
        <v>0</v>
      </c>
      <c r="L331" s="24">
        <f>IF(N330&gt;0,MIN(ROUND(L$6+IF(L$5=$C331,$E$5+$E331,0),2),ROUND(N330+M331,2)),0)</f>
        <v>0</v>
      </c>
      <c r="M331" s="24">
        <f>IF(N330&gt;0,ROUND(ROUND(N330*100,0)*ROUND(L$7*10000,0)/12000000,0)/100,0)</f>
        <v>0</v>
      </c>
      <c r="N331" s="24">
        <f>IF(N330&gt;0,ROUND(N330+M331-L331,2),0)</f>
        <v>0</v>
      </c>
      <c r="O331" s="24">
        <f>IF(Q330&gt;0,MIN(ROUND(O$6+IF(O$5=$C331,$E$5+$E331,0),2),ROUND(Q330+P331,2)),0)</f>
        <v>0</v>
      </c>
      <c r="P331" s="24">
        <f>IF(Q330&gt;0,ROUND(ROUND(Q330*100,0)*ROUND(O$7*10000,0)/12000000,0)/100,0)</f>
        <v>0</v>
      </c>
      <c r="Q331" s="24">
        <f>IF(Q330&gt;0,ROUND(Q330+P331-O331,2),0)</f>
        <v>0</v>
      </c>
      <c r="R331" s="24">
        <f>IF(T330&gt;0,MIN(ROUND(R$6+IF(R$5=$C331,$E$5+$E331,0),2),ROUND(T330+S331,2)),0)</f>
        <v>0</v>
      </c>
      <c r="S331" s="24">
        <f>IF(T330&gt;0,ROUND(ROUND(T330*100,0)*ROUND(R$7*10000,0)/12000000,0)/100,0)</f>
        <v>0</v>
      </c>
      <c r="T331" s="24">
        <f>IF(T330&gt;0,ROUND(T330+S331-R331,2),0)</f>
        <v>0</v>
      </c>
      <c r="U331" s="24">
        <f>IF(W330&gt;0,MIN(ROUND(U$6+IF(U$5=$C331,$E$5+$E331,0),2),ROUND(W330+V331,2)),0)</f>
        <v>0</v>
      </c>
      <c r="V331" s="24">
        <f>IF(W330&gt;0,ROUND(ROUND(W330*100,0)*ROUND(U$7*10000,0)/12000000,0)/100,0)</f>
        <v>0</v>
      </c>
      <c r="W331" s="24">
        <f>IF(W330&gt;0,ROUND(W330+V331-U331,2),0)</f>
        <v>0</v>
      </c>
      <c r="X331" s="24">
        <f>IF(Z330&gt;0,MIN(ROUND(X$6+IF(X$5=$C331,$E$5+$E331,0),2),ROUND(Z330+Y331,2)),0)</f>
        <v>0</v>
      </c>
      <c r="Y331" s="24">
        <f>IF(Z330&gt;0,ROUND(ROUND(Z330*100,0)*ROUND(X$7*10000,0)/12000000,0)/100,0)</f>
        <v>0</v>
      </c>
      <c r="Z331" s="24">
        <f>IF(Z330&gt;0,ROUND(Z330+Y331-X331,2),0)</f>
        <v>0</v>
      </c>
      <c r="AA331" s="24">
        <f>IF(AC330&gt;0,MIN(ROUND(AA$6+IF(AA$5=$C331,$E$5+$E331,0),2),ROUND(AC330+AB331,2)),0)</f>
        <v>0</v>
      </c>
      <c r="AB331" s="24">
        <f>IF(AC330&gt;0,ROUND(ROUND(AC330*100,0)*ROUND(AA$7*10000,0)/12000000,0)/100,0)</f>
        <v>0</v>
      </c>
      <c r="AC331" s="24">
        <f>IF(AC330&gt;0,ROUND(AC330+AB331-AA331,2),0)</f>
        <v>0</v>
      </c>
      <c r="AD331" s="24">
        <f>IF(AF330&gt;0,MIN(ROUND(AD$6+IF(AD$5=$C331,$E$5+$E331,0),2),ROUND(AF330+AE331,2)),0)</f>
        <v>0</v>
      </c>
      <c r="AE331" s="24">
        <f>IF(AF330&gt;0,ROUND(ROUND(AF330*100,0)*ROUND(AD$7*10000,0)/12000000,0)/100,0)</f>
        <v>0</v>
      </c>
      <c r="AF331" s="24">
        <f>IF(AF330&gt;0,ROUND(AF330+AE331-AD331,2),0)</f>
        <v>0</v>
      </c>
      <c r="AG331" s="24">
        <f>IF(AI330&gt;0,MIN(ROUND(AG$6+IF(AG$5=$C331,$E$5+$E331,0),2),ROUND(AI330+AH331,2)),0)</f>
        <v>0</v>
      </c>
      <c r="AH331" s="24">
        <f>IF(AI330&gt;0,ROUND(ROUND(AI330*100,0)*ROUND(AG$7*10000,0)/12000000,0)/100,0)</f>
        <v>0</v>
      </c>
      <c r="AI331" s="24">
        <f>IF(AI330&gt;0,ROUND(AI330+AH331-AG331,2),0)</f>
        <v>0</v>
      </c>
      <c r="AJ331" s="24">
        <f>IF(AL330&gt;0,MIN(ROUND(AJ$6+IF(AJ$5=$C331,$E$5+$E331,0),2),ROUND(AL330+AK331,2)),0)</f>
        <v>0</v>
      </c>
      <c r="AK331" s="24">
        <f>IF(AL330&gt;0,ROUND(ROUND(AL330*100,0)*ROUND(AJ$7*10000,0)/12000000,0)/100,0)</f>
        <v>0</v>
      </c>
      <c r="AL331" s="24">
        <f>IF(AL330&gt;0,ROUND(AL330+AK331-AJ331,2),0)</f>
        <v>0</v>
      </c>
    </row>
    <row r="332" spans="1:38" x14ac:dyDescent="0.25">
      <c r="A332" s="17" t="str">
        <f>IF(F332&gt;0,322,"")</f>
        <v/>
      </c>
      <c r="B332" s="18" t="str">
        <f>IF(F332&gt;0,EDATE($E$6,322),"")</f>
        <v/>
      </c>
      <c r="C332" s="21">
        <f>IF(H331&gt;0,MIN(IF(K331&gt;0,I$5,99),IF(N331&gt;0,L$5,99),IF(Q331&gt;0,O$5,99),IF(T331&gt;0,R$5,99),IF(W331&gt;0,U$5,99),IF(Z331&gt;0,X$5,99),IF(AC331&gt;0,AA$5,99),IF(AF331&gt;0,AD$5,99),IF(AI331&gt;0,AG$5,99),IF(AL331&gt;0,AJ$5,99)),0)</f>
        <v>0</v>
      </c>
      <c r="D332" t="str">
        <f>IF(C332&gt;0,INDEX($I$4:$AL$4,1,MATCH(C332,$I$5:$AL$5,0)),"")</f>
        <v/>
      </c>
      <c r="E332" s="24">
        <f>ROUND(IF(AND(I$8&gt;0,K331=0),I$6,0)+IF(AND(L$8&gt;0,N331=0),L$6,0)+IF(AND(O$8&gt;0,Q331=0),O$6,0)+IF(AND(R$8&gt;0,T331=0),R$6,0)+IF(AND(U$8&gt;0,W331=0),U$6,0)+IF(AND(X$8&gt;0,Z331=0),X$6,0)+IF(AND(AA$8&gt;0,AC331=0),AA$6,0)+IF(AND(AD$8&gt;0,AF331=0),AD$6,0)+IF(AND(AG$8&gt;0,AI331=0),AG$6,0)+IF(AND(AJ$8&gt;0,AL331=0),AJ$6,0),2)</f>
        <v>330</v>
      </c>
      <c r="F332" s="24">
        <f>ROUND(I332+L332+O332+R332+U332+X332+AA332+AD332+AG332+AJ332,2)</f>
        <v>0</v>
      </c>
      <c r="G332" s="24">
        <f>ROUND(J332+M332+P332+S332+V332+Y332+AB332+AE332+AH332+AK332,2)</f>
        <v>0</v>
      </c>
      <c r="H332" s="24">
        <f>ROUND(K332+N332+Q332+T332+W332+Z332+AC332+AF332+AI332+AL332,2)</f>
        <v>0</v>
      </c>
      <c r="I332" s="24">
        <f>IF(K331&gt;0,MIN(ROUND(I$6+IF(I$5=$C332,$E$5+$E332,0),2),ROUND(K331+J332,2)),0)</f>
        <v>0</v>
      </c>
      <c r="J332" s="24">
        <f>IF(K331&gt;0,ROUND(ROUND(K331*100,0)*ROUND(I$7*10000,0)/12000000,0)/100,0)</f>
        <v>0</v>
      </c>
      <c r="K332" s="24">
        <f>IF(K331&gt;0,ROUND(K331+J332-I332,2),0)</f>
        <v>0</v>
      </c>
      <c r="L332" s="24">
        <f>IF(N331&gt;0,MIN(ROUND(L$6+IF(L$5=$C332,$E$5+$E332,0),2),ROUND(N331+M332,2)),0)</f>
        <v>0</v>
      </c>
      <c r="M332" s="24">
        <f>IF(N331&gt;0,ROUND(ROUND(N331*100,0)*ROUND(L$7*10000,0)/12000000,0)/100,0)</f>
        <v>0</v>
      </c>
      <c r="N332" s="24">
        <f>IF(N331&gt;0,ROUND(N331+M332-L332,2),0)</f>
        <v>0</v>
      </c>
      <c r="O332" s="24">
        <f>IF(Q331&gt;0,MIN(ROUND(O$6+IF(O$5=$C332,$E$5+$E332,0),2),ROUND(Q331+P332,2)),0)</f>
        <v>0</v>
      </c>
      <c r="P332" s="24">
        <f>IF(Q331&gt;0,ROUND(ROUND(Q331*100,0)*ROUND(O$7*10000,0)/12000000,0)/100,0)</f>
        <v>0</v>
      </c>
      <c r="Q332" s="24">
        <f>IF(Q331&gt;0,ROUND(Q331+P332-O332,2),0)</f>
        <v>0</v>
      </c>
      <c r="R332" s="24">
        <f>IF(T331&gt;0,MIN(ROUND(R$6+IF(R$5=$C332,$E$5+$E332,0),2),ROUND(T331+S332,2)),0)</f>
        <v>0</v>
      </c>
      <c r="S332" s="24">
        <f>IF(T331&gt;0,ROUND(ROUND(T331*100,0)*ROUND(R$7*10000,0)/12000000,0)/100,0)</f>
        <v>0</v>
      </c>
      <c r="T332" s="24">
        <f>IF(T331&gt;0,ROUND(T331+S332-R332,2),0)</f>
        <v>0</v>
      </c>
      <c r="U332" s="24">
        <f>IF(W331&gt;0,MIN(ROUND(U$6+IF(U$5=$C332,$E$5+$E332,0),2),ROUND(W331+V332,2)),0)</f>
        <v>0</v>
      </c>
      <c r="V332" s="24">
        <f>IF(W331&gt;0,ROUND(ROUND(W331*100,0)*ROUND(U$7*10000,0)/12000000,0)/100,0)</f>
        <v>0</v>
      </c>
      <c r="W332" s="24">
        <f>IF(W331&gt;0,ROUND(W331+V332-U332,2),0)</f>
        <v>0</v>
      </c>
      <c r="X332" s="24">
        <f>IF(Z331&gt;0,MIN(ROUND(X$6+IF(X$5=$C332,$E$5+$E332,0),2),ROUND(Z331+Y332,2)),0)</f>
        <v>0</v>
      </c>
      <c r="Y332" s="24">
        <f>IF(Z331&gt;0,ROUND(ROUND(Z331*100,0)*ROUND(X$7*10000,0)/12000000,0)/100,0)</f>
        <v>0</v>
      </c>
      <c r="Z332" s="24">
        <f>IF(Z331&gt;0,ROUND(Z331+Y332-X332,2),0)</f>
        <v>0</v>
      </c>
      <c r="AA332" s="24">
        <f>IF(AC331&gt;0,MIN(ROUND(AA$6+IF(AA$5=$C332,$E$5+$E332,0),2),ROUND(AC331+AB332,2)),0)</f>
        <v>0</v>
      </c>
      <c r="AB332" s="24">
        <f>IF(AC331&gt;0,ROUND(ROUND(AC331*100,0)*ROUND(AA$7*10000,0)/12000000,0)/100,0)</f>
        <v>0</v>
      </c>
      <c r="AC332" s="24">
        <f>IF(AC331&gt;0,ROUND(AC331+AB332-AA332,2),0)</f>
        <v>0</v>
      </c>
      <c r="AD332" s="24">
        <f>IF(AF331&gt;0,MIN(ROUND(AD$6+IF(AD$5=$C332,$E$5+$E332,0),2),ROUND(AF331+AE332,2)),0)</f>
        <v>0</v>
      </c>
      <c r="AE332" s="24">
        <f>IF(AF331&gt;0,ROUND(ROUND(AF331*100,0)*ROUND(AD$7*10000,0)/12000000,0)/100,0)</f>
        <v>0</v>
      </c>
      <c r="AF332" s="24">
        <f>IF(AF331&gt;0,ROUND(AF331+AE332-AD332,2),0)</f>
        <v>0</v>
      </c>
      <c r="AG332" s="24">
        <f>IF(AI331&gt;0,MIN(ROUND(AG$6+IF(AG$5=$C332,$E$5+$E332,0),2),ROUND(AI331+AH332,2)),0)</f>
        <v>0</v>
      </c>
      <c r="AH332" s="24">
        <f>IF(AI331&gt;0,ROUND(ROUND(AI331*100,0)*ROUND(AG$7*10000,0)/12000000,0)/100,0)</f>
        <v>0</v>
      </c>
      <c r="AI332" s="24">
        <f>IF(AI331&gt;0,ROUND(AI331+AH332-AG332,2),0)</f>
        <v>0</v>
      </c>
      <c r="AJ332" s="24">
        <f>IF(AL331&gt;0,MIN(ROUND(AJ$6+IF(AJ$5=$C332,$E$5+$E332,0),2),ROUND(AL331+AK332,2)),0)</f>
        <v>0</v>
      </c>
      <c r="AK332" s="24">
        <f>IF(AL331&gt;0,ROUND(ROUND(AL331*100,0)*ROUND(AJ$7*10000,0)/12000000,0)/100,0)</f>
        <v>0</v>
      </c>
      <c r="AL332" s="24">
        <f>IF(AL331&gt;0,ROUND(AL331+AK332-AJ332,2),0)</f>
        <v>0</v>
      </c>
    </row>
    <row r="333" spans="1:38" x14ac:dyDescent="0.25">
      <c r="A333" s="17" t="str">
        <f>IF(F333&gt;0,323,"")</f>
        <v/>
      </c>
      <c r="B333" s="18" t="str">
        <f>IF(F333&gt;0,EDATE($E$6,323),"")</f>
        <v/>
      </c>
      <c r="C333" s="21">
        <f>IF(H332&gt;0,MIN(IF(K332&gt;0,I$5,99),IF(N332&gt;0,L$5,99),IF(Q332&gt;0,O$5,99),IF(T332&gt;0,R$5,99),IF(W332&gt;0,U$5,99),IF(Z332&gt;0,X$5,99),IF(AC332&gt;0,AA$5,99),IF(AF332&gt;0,AD$5,99),IF(AI332&gt;0,AG$5,99),IF(AL332&gt;0,AJ$5,99)),0)</f>
        <v>0</v>
      </c>
      <c r="D333" t="str">
        <f>IF(C333&gt;0,INDEX($I$4:$AL$4,1,MATCH(C333,$I$5:$AL$5,0)),"")</f>
        <v/>
      </c>
      <c r="E333" s="24">
        <f>ROUND(IF(AND(I$8&gt;0,K332=0),I$6,0)+IF(AND(L$8&gt;0,N332=0),L$6,0)+IF(AND(O$8&gt;0,Q332=0),O$6,0)+IF(AND(R$8&gt;0,T332=0),R$6,0)+IF(AND(U$8&gt;0,W332=0),U$6,0)+IF(AND(X$8&gt;0,Z332=0),X$6,0)+IF(AND(AA$8&gt;0,AC332=0),AA$6,0)+IF(AND(AD$8&gt;0,AF332=0),AD$6,0)+IF(AND(AG$8&gt;0,AI332=0),AG$6,0)+IF(AND(AJ$8&gt;0,AL332=0),AJ$6,0),2)</f>
        <v>330</v>
      </c>
      <c r="F333" s="24">
        <f>ROUND(I333+L333+O333+R333+U333+X333+AA333+AD333+AG333+AJ333,2)</f>
        <v>0</v>
      </c>
      <c r="G333" s="24">
        <f>ROUND(J333+M333+P333+S333+V333+Y333+AB333+AE333+AH333+AK333,2)</f>
        <v>0</v>
      </c>
      <c r="H333" s="24">
        <f>ROUND(K333+N333+Q333+T333+W333+Z333+AC333+AF333+AI333+AL333,2)</f>
        <v>0</v>
      </c>
      <c r="I333" s="24">
        <f>IF(K332&gt;0,MIN(ROUND(I$6+IF(I$5=$C333,$E$5+$E333,0),2),ROUND(K332+J333,2)),0)</f>
        <v>0</v>
      </c>
      <c r="J333" s="24">
        <f>IF(K332&gt;0,ROUND(ROUND(K332*100,0)*ROUND(I$7*10000,0)/12000000,0)/100,0)</f>
        <v>0</v>
      </c>
      <c r="K333" s="24">
        <f>IF(K332&gt;0,ROUND(K332+J333-I333,2),0)</f>
        <v>0</v>
      </c>
      <c r="L333" s="24">
        <f>IF(N332&gt;0,MIN(ROUND(L$6+IF(L$5=$C333,$E$5+$E333,0),2),ROUND(N332+M333,2)),0)</f>
        <v>0</v>
      </c>
      <c r="M333" s="24">
        <f>IF(N332&gt;0,ROUND(ROUND(N332*100,0)*ROUND(L$7*10000,0)/12000000,0)/100,0)</f>
        <v>0</v>
      </c>
      <c r="N333" s="24">
        <f>IF(N332&gt;0,ROUND(N332+M333-L333,2),0)</f>
        <v>0</v>
      </c>
      <c r="O333" s="24">
        <f>IF(Q332&gt;0,MIN(ROUND(O$6+IF(O$5=$C333,$E$5+$E333,0),2),ROUND(Q332+P333,2)),0)</f>
        <v>0</v>
      </c>
      <c r="P333" s="24">
        <f>IF(Q332&gt;0,ROUND(ROUND(Q332*100,0)*ROUND(O$7*10000,0)/12000000,0)/100,0)</f>
        <v>0</v>
      </c>
      <c r="Q333" s="24">
        <f>IF(Q332&gt;0,ROUND(Q332+P333-O333,2),0)</f>
        <v>0</v>
      </c>
      <c r="R333" s="24">
        <f>IF(T332&gt;0,MIN(ROUND(R$6+IF(R$5=$C333,$E$5+$E333,0),2),ROUND(T332+S333,2)),0)</f>
        <v>0</v>
      </c>
      <c r="S333" s="24">
        <f>IF(T332&gt;0,ROUND(ROUND(T332*100,0)*ROUND(R$7*10000,0)/12000000,0)/100,0)</f>
        <v>0</v>
      </c>
      <c r="T333" s="24">
        <f>IF(T332&gt;0,ROUND(T332+S333-R333,2),0)</f>
        <v>0</v>
      </c>
      <c r="U333" s="24">
        <f>IF(W332&gt;0,MIN(ROUND(U$6+IF(U$5=$C333,$E$5+$E333,0),2),ROUND(W332+V333,2)),0)</f>
        <v>0</v>
      </c>
      <c r="V333" s="24">
        <f>IF(W332&gt;0,ROUND(ROUND(W332*100,0)*ROUND(U$7*10000,0)/12000000,0)/100,0)</f>
        <v>0</v>
      </c>
      <c r="W333" s="24">
        <f>IF(W332&gt;0,ROUND(W332+V333-U333,2),0)</f>
        <v>0</v>
      </c>
      <c r="X333" s="24">
        <f>IF(Z332&gt;0,MIN(ROUND(X$6+IF(X$5=$C333,$E$5+$E333,0),2),ROUND(Z332+Y333,2)),0)</f>
        <v>0</v>
      </c>
      <c r="Y333" s="24">
        <f>IF(Z332&gt;0,ROUND(ROUND(Z332*100,0)*ROUND(X$7*10000,0)/12000000,0)/100,0)</f>
        <v>0</v>
      </c>
      <c r="Z333" s="24">
        <f>IF(Z332&gt;0,ROUND(Z332+Y333-X333,2),0)</f>
        <v>0</v>
      </c>
      <c r="AA333" s="24">
        <f>IF(AC332&gt;0,MIN(ROUND(AA$6+IF(AA$5=$C333,$E$5+$E333,0),2),ROUND(AC332+AB333,2)),0)</f>
        <v>0</v>
      </c>
      <c r="AB333" s="24">
        <f>IF(AC332&gt;0,ROUND(ROUND(AC332*100,0)*ROUND(AA$7*10000,0)/12000000,0)/100,0)</f>
        <v>0</v>
      </c>
      <c r="AC333" s="24">
        <f>IF(AC332&gt;0,ROUND(AC332+AB333-AA333,2),0)</f>
        <v>0</v>
      </c>
      <c r="AD333" s="24">
        <f>IF(AF332&gt;0,MIN(ROUND(AD$6+IF(AD$5=$C333,$E$5+$E333,0),2),ROUND(AF332+AE333,2)),0)</f>
        <v>0</v>
      </c>
      <c r="AE333" s="24">
        <f>IF(AF332&gt;0,ROUND(ROUND(AF332*100,0)*ROUND(AD$7*10000,0)/12000000,0)/100,0)</f>
        <v>0</v>
      </c>
      <c r="AF333" s="24">
        <f>IF(AF332&gt;0,ROUND(AF332+AE333-AD333,2),0)</f>
        <v>0</v>
      </c>
      <c r="AG333" s="24">
        <f>IF(AI332&gt;0,MIN(ROUND(AG$6+IF(AG$5=$C333,$E$5+$E333,0),2),ROUND(AI332+AH333,2)),0)</f>
        <v>0</v>
      </c>
      <c r="AH333" s="24">
        <f>IF(AI332&gt;0,ROUND(ROUND(AI332*100,0)*ROUND(AG$7*10000,0)/12000000,0)/100,0)</f>
        <v>0</v>
      </c>
      <c r="AI333" s="24">
        <f>IF(AI332&gt;0,ROUND(AI332+AH333-AG333,2),0)</f>
        <v>0</v>
      </c>
      <c r="AJ333" s="24">
        <f>IF(AL332&gt;0,MIN(ROUND(AJ$6+IF(AJ$5=$C333,$E$5+$E333,0),2),ROUND(AL332+AK333,2)),0)</f>
        <v>0</v>
      </c>
      <c r="AK333" s="24">
        <f>IF(AL332&gt;0,ROUND(ROUND(AL332*100,0)*ROUND(AJ$7*10000,0)/12000000,0)/100,0)</f>
        <v>0</v>
      </c>
      <c r="AL333" s="24">
        <f>IF(AL332&gt;0,ROUND(AL332+AK333-AJ333,2),0)</f>
        <v>0</v>
      </c>
    </row>
    <row r="334" spans="1:38" x14ac:dyDescent="0.25">
      <c r="A334" s="17" t="str">
        <f>IF(F334&gt;0,324,"")</f>
        <v/>
      </c>
      <c r="B334" s="18" t="str">
        <f>IF(F334&gt;0,EDATE($E$6,324),"")</f>
        <v/>
      </c>
      <c r="C334" s="21">
        <f>IF(H333&gt;0,MIN(IF(K333&gt;0,I$5,99),IF(N333&gt;0,L$5,99),IF(Q333&gt;0,O$5,99),IF(T333&gt;0,R$5,99),IF(W333&gt;0,U$5,99),IF(Z333&gt;0,X$5,99),IF(AC333&gt;0,AA$5,99),IF(AF333&gt;0,AD$5,99),IF(AI333&gt;0,AG$5,99),IF(AL333&gt;0,AJ$5,99)),0)</f>
        <v>0</v>
      </c>
      <c r="D334" t="str">
        <f>IF(C334&gt;0,INDEX($I$4:$AL$4,1,MATCH(C334,$I$5:$AL$5,0)),"")</f>
        <v/>
      </c>
      <c r="E334" s="24">
        <f>ROUND(IF(AND(I$8&gt;0,K333=0),I$6,0)+IF(AND(L$8&gt;0,N333=0),L$6,0)+IF(AND(O$8&gt;0,Q333=0),O$6,0)+IF(AND(R$8&gt;0,T333=0),R$6,0)+IF(AND(U$8&gt;0,W333=0),U$6,0)+IF(AND(X$8&gt;0,Z333=0),X$6,0)+IF(AND(AA$8&gt;0,AC333=0),AA$6,0)+IF(AND(AD$8&gt;0,AF333=0),AD$6,0)+IF(AND(AG$8&gt;0,AI333=0),AG$6,0)+IF(AND(AJ$8&gt;0,AL333=0),AJ$6,0),2)</f>
        <v>330</v>
      </c>
      <c r="F334" s="24">
        <f>ROUND(I334+L334+O334+R334+U334+X334+AA334+AD334+AG334+AJ334,2)</f>
        <v>0</v>
      </c>
      <c r="G334" s="24">
        <f>ROUND(J334+M334+P334+S334+V334+Y334+AB334+AE334+AH334+AK334,2)</f>
        <v>0</v>
      </c>
      <c r="H334" s="24">
        <f>ROUND(K334+N334+Q334+T334+W334+Z334+AC334+AF334+AI334+AL334,2)</f>
        <v>0</v>
      </c>
      <c r="I334" s="24">
        <f>IF(K333&gt;0,MIN(ROUND(I$6+IF(I$5=$C334,$E$5+$E334,0),2),ROUND(K333+J334,2)),0)</f>
        <v>0</v>
      </c>
      <c r="J334" s="24">
        <f>IF(K333&gt;0,ROUND(ROUND(K333*100,0)*ROUND(I$7*10000,0)/12000000,0)/100,0)</f>
        <v>0</v>
      </c>
      <c r="K334" s="24">
        <f>IF(K333&gt;0,ROUND(K333+J334-I334,2),0)</f>
        <v>0</v>
      </c>
      <c r="L334" s="24">
        <f>IF(N333&gt;0,MIN(ROUND(L$6+IF(L$5=$C334,$E$5+$E334,0),2),ROUND(N333+M334,2)),0)</f>
        <v>0</v>
      </c>
      <c r="M334" s="24">
        <f>IF(N333&gt;0,ROUND(ROUND(N333*100,0)*ROUND(L$7*10000,0)/12000000,0)/100,0)</f>
        <v>0</v>
      </c>
      <c r="N334" s="24">
        <f>IF(N333&gt;0,ROUND(N333+M334-L334,2),0)</f>
        <v>0</v>
      </c>
      <c r="O334" s="24">
        <f>IF(Q333&gt;0,MIN(ROUND(O$6+IF(O$5=$C334,$E$5+$E334,0),2),ROUND(Q333+P334,2)),0)</f>
        <v>0</v>
      </c>
      <c r="P334" s="24">
        <f>IF(Q333&gt;0,ROUND(ROUND(Q333*100,0)*ROUND(O$7*10000,0)/12000000,0)/100,0)</f>
        <v>0</v>
      </c>
      <c r="Q334" s="24">
        <f>IF(Q333&gt;0,ROUND(Q333+P334-O334,2),0)</f>
        <v>0</v>
      </c>
      <c r="R334" s="24">
        <f>IF(T333&gt;0,MIN(ROUND(R$6+IF(R$5=$C334,$E$5+$E334,0),2),ROUND(T333+S334,2)),0)</f>
        <v>0</v>
      </c>
      <c r="S334" s="24">
        <f>IF(T333&gt;0,ROUND(ROUND(T333*100,0)*ROUND(R$7*10000,0)/12000000,0)/100,0)</f>
        <v>0</v>
      </c>
      <c r="T334" s="24">
        <f>IF(T333&gt;0,ROUND(T333+S334-R334,2),0)</f>
        <v>0</v>
      </c>
      <c r="U334" s="24">
        <f>IF(W333&gt;0,MIN(ROUND(U$6+IF(U$5=$C334,$E$5+$E334,0),2),ROUND(W333+V334,2)),0)</f>
        <v>0</v>
      </c>
      <c r="V334" s="24">
        <f>IF(W333&gt;0,ROUND(ROUND(W333*100,0)*ROUND(U$7*10000,0)/12000000,0)/100,0)</f>
        <v>0</v>
      </c>
      <c r="W334" s="24">
        <f>IF(W333&gt;0,ROUND(W333+V334-U334,2),0)</f>
        <v>0</v>
      </c>
      <c r="X334" s="24">
        <f>IF(Z333&gt;0,MIN(ROUND(X$6+IF(X$5=$C334,$E$5+$E334,0),2),ROUND(Z333+Y334,2)),0)</f>
        <v>0</v>
      </c>
      <c r="Y334" s="24">
        <f>IF(Z333&gt;0,ROUND(ROUND(Z333*100,0)*ROUND(X$7*10000,0)/12000000,0)/100,0)</f>
        <v>0</v>
      </c>
      <c r="Z334" s="24">
        <f>IF(Z333&gt;0,ROUND(Z333+Y334-X334,2),0)</f>
        <v>0</v>
      </c>
      <c r="AA334" s="24">
        <f>IF(AC333&gt;0,MIN(ROUND(AA$6+IF(AA$5=$C334,$E$5+$E334,0),2),ROUND(AC333+AB334,2)),0)</f>
        <v>0</v>
      </c>
      <c r="AB334" s="24">
        <f>IF(AC333&gt;0,ROUND(ROUND(AC333*100,0)*ROUND(AA$7*10000,0)/12000000,0)/100,0)</f>
        <v>0</v>
      </c>
      <c r="AC334" s="24">
        <f>IF(AC333&gt;0,ROUND(AC333+AB334-AA334,2),0)</f>
        <v>0</v>
      </c>
      <c r="AD334" s="24">
        <f>IF(AF333&gt;0,MIN(ROUND(AD$6+IF(AD$5=$C334,$E$5+$E334,0),2),ROUND(AF333+AE334,2)),0)</f>
        <v>0</v>
      </c>
      <c r="AE334" s="24">
        <f>IF(AF333&gt;0,ROUND(ROUND(AF333*100,0)*ROUND(AD$7*10000,0)/12000000,0)/100,0)</f>
        <v>0</v>
      </c>
      <c r="AF334" s="24">
        <f>IF(AF333&gt;0,ROUND(AF333+AE334-AD334,2),0)</f>
        <v>0</v>
      </c>
      <c r="AG334" s="24">
        <f>IF(AI333&gt;0,MIN(ROUND(AG$6+IF(AG$5=$C334,$E$5+$E334,0),2),ROUND(AI333+AH334,2)),0)</f>
        <v>0</v>
      </c>
      <c r="AH334" s="24">
        <f>IF(AI333&gt;0,ROUND(ROUND(AI333*100,0)*ROUND(AG$7*10000,0)/12000000,0)/100,0)</f>
        <v>0</v>
      </c>
      <c r="AI334" s="24">
        <f>IF(AI333&gt;0,ROUND(AI333+AH334-AG334,2),0)</f>
        <v>0</v>
      </c>
      <c r="AJ334" s="24">
        <f>IF(AL333&gt;0,MIN(ROUND(AJ$6+IF(AJ$5=$C334,$E$5+$E334,0),2),ROUND(AL333+AK334,2)),0)</f>
        <v>0</v>
      </c>
      <c r="AK334" s="24">
        <f>IF(AL333&gt;0,ROUND(ROUND(AL333*100,0)*ROUND(AJ$7*10000,0)/12000000,0)/100,0)</f>
        <v>0</v>
      </c>
      <c r="AL334" s="24">
        <f>IF(AL333&gt;0,ROUND(AL333+AK334-AJ334,2),0)</f>
        <v>0</v>
      </c>
    </row>
    <row r="335" spans="1:38" x14ac:dyDescent="0.25">
      <c r="A335" s="17" t="str">
        <f>IF(F335&gt;0,325,"")</f>
        <v/>
      </c>
      <c r="B335" s="18" t="str">
        <f>IF(F335&gt;0,EDATE($E$6,325),"")</f>
        <v/>
      </c>
      <c r="C335" s="21">
        <f>IF(H334&gt;0,MIN(IF(K334&gt;0,I$5,99),IF(N334&gt;0,L$5,99),IF(Q334&gt;0,O$5,99),IF(T334&gt;0,R$5,99),IF(W334&gt;0,U$5,99),IF(Z334&gt;0,X$5,99),IF(AC334&gt;0,AA$5,99),IF(AF334&gt;0,AD$5,99),IF(AI334&gt;0,AG$5,99),IF(AL334&gt;0,AJ$5,99)),0)</f>
        <v>0</v>
      </c>
      <c r="D335" t="str">
        <f>IF(C335&gt;0,INDEX($I$4:$AL$4,1,MATCH(C335,$I$5:$AL$5,0)),"")</f>
        <v/>
      </c>
      <c r="E335" s="24">
        <f>ROUND(IF(AND(I$8&gt;0,K334=0),I$6,0)+IF(AND(L$8&gt;0,N334=0),L$6,0)+IF(AND(O$8&gt;0,Q334=0),O$6,0)+IF(AND(R$8&gt;0,T334=0),R$6,0)+IF(AND(U$8&gt;0,W334=0),U$6,0)+IF(AND(X$8&gt;0,Z334=0),X$6,0)+IF(AND(AA$8&gt;0,AC334=0),AA$6,0)+IF(AND(AD$8&gt;0,AF334=0),AD$6,0)+IF(AND(AG$8&gt;0,AI334=0),AG$6,0)+IF(AND(AJ$8&gt;0,AL334=0),AJ$6,0),2)</f>
        <v>330</v>
      </c>
      <c r="F335" s="24">
        <f>ROUND(I335+L335+O335+R335+U335+X335+AA335+AD335+AG335+AJ335,2)</f>
        <v>0</v>
      </c>
      <c r="G335" s="24">
        <f>ROUND(J335+M335+P335+S335+V335+Y335+AB335+AE335+AH335+AK335,2)</f>
        <v>0</v>
      </c>
      <c r="H335" s="24">
        <f>ROUND(K335+N335+Q335+T335+W335+Z335+AC335+AF335+AI335+AL335,2)</f>
        <v>0</v>
      </c>
      <c r="I335" s="24">
        <f>IF(K334&gt;0,MIN(ROUND(I$6+IF(I$5=$C335,$E$5+$E335,0),2),ROUND(K334+J335,2)),0)</f>
        <v>0</v>
      </c>
      <c r="J335" s="24">
        <f>IF(K334&gt;0,ROUND(ROUND(K334*100,0)*ROUND(I$7*10000,0)/12000000,0)/100,0)</f>
        <v>0</v>
      </c>
      <c r="K335" s="24">
        <f>IF(K334&gt;0,ROUND(K334+J335-I335,2),0)</f>
        <v>0</v>
      </c>
      <c r="L335" s="24">
        <f>IF(N334&gt;0,MIN(ROUND(L$6+IF(L$5=$C335,$E$5+$E335,0),2),ROUND(N334+M335,2)),0)</f>
        <v>0</v>
      </c>
      <c r="M335" s="24">
        <f>IF(N334&gt;0,ROUND(ROUND(N334*100,0)*ROUND(L$7*10000,0)/12000000,0)/100,0)</f>
        <v>0</v>
      </c>
      <c r="N335" s="24">
        <f>IF(N334&gt;0,ROUND(N334+M335-L335,2),0)</f>
        <v>0</v>
      </c>
      <c r="O335" s="24">
        <f>IF(Q334&gt;0,MIN(ROUND(O$6+IF(O$5=$C335,$E$5+$E335,0),2),ROUND(Q334+P335,2)),0)</f>
        <v>0</v>
      </c>
      <c r="P335" s="24">
        <f>IF(Q334&gt;0,ROUND(ROUND(Q334*100,0)*ROUND(O$7*10000,0)/12000000,0)/100,0)</f>
        <v>0</v>
      </c>
      <c r="Q335" s="24">
        <f>IF(Q334&gt;0,ROUND(Q334+P335-O335,2),0)</f>
        <v>0</v>
      </c>
      <c r="R335" s="24">
        <f>IF(T334&gt;0,MIN(ROUND(R$6+IF(R$5=$C335,$E$5+$E335,0),2),ROUND(T334+S335,2)),0)</f>
        <v>0</v>
      </c>
      <c r="S335" s="24">
        <f>IF(T334&gt;0,ROUND(ROUND(T334*100,0)*ROUND(R$7*10000,0)/12000000,0)/100,0)</f>
        <v>0</v>
      </c>
      <c r="T335" s="24">
        <f>IF(T334&gt;0,ROUND(T334+S335-R335,2),0)</f>
        <v>0</v>
      </c>
      <c r="U335" s="24">
        <f>IF(W334&gt;0,MIN(ROUND(U$6+IF(U$5=$C335,$E$5+$E335,0),2),ROUND(W334+V335,2)),0)</f>
        <v>0</v>
      </c>
      <c r="V335" s="24">
        <f>IF(W334&gt;0,ROUND(ROUND(W334*100,0)*ROUND(U$7*10000,0)/12000000,0)/100,0)</f>
        <v>0</v>
      </c>
      <c r="W335" s="24">
        <f>IF(W334&gt;0,ROUND(W334+V335-U335,2),0)</f>
        <v>0</v>
      </c>
      <c r="X335" s="24">
        <f>IF(Z334&gt;0,MIN(ROUND(X$6+IF(X$5=$C335,$E$5+$E335,0),2),ROUND(Z334+Y335,2)),0)</f>
        <v>0</v>
      </c>
      <c r="Y335" s="24">
        <f>IF(Z334&gt;0,ROUND(ROUND(Z334*100,0)*ROUND(X$7*10000,0)/12000000,0)/100,0)</f>
        <v>0</v>
      </c>
      <c r="Z335" s="24">
        <f>IF(Z334&gt;0,ROUND(Z334+Y335-X335,2),0)</f>
        <v>0</v>
      </c>
      <c r="AA335" s="24">
        <f>IF(AC334&gt;0,MIN(ROUND(AA$6+IF(AA$5=$C335,$E$5+$E335,0),2),ROUND(AC334+AB335,2)),0)</f>
        <v>0</v>
      </c>
      <c r="AB335" s="24">
        <f>IF(AC334&gt;0,ROUND(ROUND(AC334*100,0)*ROUND(AA$7*10000,0)/12000000,0)/100,0)</f>
        <v>0</v>
      </c>
      <c r="AC335" s="24">
        <f>IF(AC334&gt;0,ROUND(AC334+AB335-AA335,2),0)</f>
        <v>0</v>
      </c>
      <c r="AD335" s="24">
        <f>IF(AF334&gt;0,MIN(ROUND(AD$6+IF(AD$5=$C335,$E$5+$E335,0),2),ROUND(AF334+AE335,2)),0)</f>
        <v>0</v>
      </c>
      <c r="AE335" s="24">
        <f>IF(AF334&gt;0,ROUND(ROUND(AF334*100,0)*ROUND(AD$7*10000,0)/12000000,0)/100,0)</f>
        <v>0</v>
      </c>
      <c r="AF335" s="24">
        <f>IF(AF334&gt;0,ROUND(AF334+AE335-AD335,2),0)</f>
        <v>0</v>
      </c>
      <c r="AG335" s="24">
        <f>IF(AI334&gt;0,MIN(ROUND(AG$6+IF(AG$5=$C335,$E$5+$E335,0),2),ROUND(AI334+AH335,2)),0)</f>
        <v>0</v>
      </c>
      <c r="AH335" s="24">
        <f>IF(AI334&gt;0,ROUND(ROUND(AI334*100,0)*ROUND(AG$7*10000,0)/12000000,0)/100,0)</f>
        <v>0</v>
      </c>
      <c r="AI335" s="24">
        <f>IF(AI334&gt;0,ROUND(AI334+AH335-AG335,2),0)</f>
        <v>0</v>
      </c>
      <c r="AJ335" s="24">
        <f>IF(AL334&gt;0,MIN(ROUND(AJ$6+IF(AJ$5=$C335,$E$5+$E335,0),2),ROUND(AL334+AK335,2)),0)</f>
        <v>0</v>
      </c>
      <c r="AK335" s="24">
        <f>IF(AL334&gt;0,ROUND(ROUND(AL334*100,0)*ROUND(AJ$7*10000,0)/12000000,0)/100,0)</f>
        <v>0</v>
      </c>
      <c r="AL335" s="24">
        <f>IF(AL334&gt;0,ROUND(AL334+AK335-AJ335,2),0)</f>
        <v>0</v>
      </c>
    </row>
    <row r="336" spans="1:38" x14ac:dyDescent="0.25">
      <c r="A336" s="17" t="str">
        <f>IF(F336&gt;0,326,"")</f>
        <v/>
      </c>
      <c r="B336" s="18" t="str">
        <f>IF(F336&gt;0,EDATE($E$6,326),"")</f>
        <v/>
      </c>
      <c r="C336" s="21">
        <f>IF(H335&gt;0,MIN(IF(K335&gt;0,I$5,99),IF(N335&gt;0,L$5,99),IF(Q335&gt;0,O$5,99),IF(T335&gt;0,R$5,99),IF(W335&gt;0,U$5,99),IF(Z335&gt;0,X$5,99),IF(AC335&gt;0,AA$5,99),IF(AF335&gt;0,AD$5,99),IF(AI335&gt;0,AG$5,99),IF(AL335&gt;0,AJ$5,99)),0)</f>
        <v>0</v>
      </c>
      <c r="D336" t="str">
        <f>IF(C336&gt;0,INDEX($I$4:$AL$4,1,MATCH(C336,$I$5:$AL$5,0)),"")</f>
        <v/>
      </c>
      <c r="E336" s="24">
        <f>ROUND(IF(AND(I$8&gt;0,K335=0),I$6,0)+IF(AND(L$8&gt;0,N335=0),L$6,0)+IF(AND(O$8&gt;0,Q335=0),O$6,0)+IF(AND(R$8&gt;0,T335=0),R$6,0)+IF(AND(U$8&gt;0,W335=0),U$6,0)+IF(AND(X$8&gt;0,Z335=0),X$6,0)+IF(AND(AA$8&gt;0,AC335=0),AA$6,0)+IF(AND(AD$8&gt;0,AF335=0),AD$6,0)+IF(AND(AG$8&gt;0,AI335=0),AG$6,0)+IF(AND(AJ$8&gt;0,AL335=0),AJ$6,0),2)</f>
        <v>330</v>
      </c>
      <c r="F336" s="24">
        <f>ROUND(I336+L336+O336+R336+U336+X336+AA336+AD336+AG336+AJ336,2)</f>
        <v>0</v>
      </c>
      <c r="G336" s="24">
        <f>ROUND(J336+M336+P336+S336+V336+Y336+AB336+AE336+AH336+AK336,2)</f>
        <v>0</v>
      </c>
      <c r="H336" s="24">
        <f>ROUND(K336+N336+Q336+T336+W336+Z336+AC336+AF336+AI336+AL336,2)</f>
        <v>0</v>
      </c>
      <c r="I336" s="24">
        <f>IF(K335&gt;0,MIN(ROUND(I$6+IF(I$5=$C336,$E$5+$E336,0),2),ROUND(K335+J336,2)),0)</f>
        <v>0</v>
      </c>
      <c r="J336" s="24">
        <f>IF(K335&gt;0,ROUND(ROUND(K335*100,0)*ROUND(I$7*10000,0)/12000000,0)/100,0)</f>
        <v>0</v>
      </c>
      <c r="K336" s="24">
        <f>IF(K335&gt;0,ROUND(K335+J336-I336,2),0)</f>
        <v>0</v>
      </c>
      <c r="L336" s="24">
        <f>IF(N335&gt;0,MIN(ROUND(L$6+IF(L$5=$C336,$E$5+$E336,0),2),ROUND(N335+M336,2)),0)</f>
        <v>0</v>
      </c>
      <c r="M336" s="24">
        <f>IF(N335&gt;0,ROUND(ROUND(N335*100,0)*ROUND(L$7*10000,0)/12000000,0)/100,0)</f>
        <v>0</v>
      </c>
      <c r="N336" s="24">
        <f>IF(N335&gt;0,ROUND(N335+M336-L336,2),0)</f>
        <v>0</v>
      </c>
      <c r="O336" s="24">
        <f>IF(Q335&gt;0,MIN(ROUND(O$6+IF(O$5=$C336,$E$5+$E336,0),2),ROUND(Q335+P336,2)),0)</f>
        <v>0</v>
      </c>
      <c r="P336" s="24">
        <f>IF(Q335&gt;0,ROUND(ROUND(Q335*100,0)*ROUND(O$7*10000,0)/12000000,0)/100,0)</f>
        <v>0</v>
      </c>
      <c r="Q336" s="24">
        <f>IF(Q335&gt;0,ROUND(Q335+P336-O336,2),0)</f>
        <v>0</v>
      </c>
      <c r="R336" s="24">
        <f>IF(T335&gt;0,MIN(ROUND(R$6+IF(R$5=$C336,$E$5+$E336,0),2),ROUND(T335+S336,2)),0)</f>
        <v>0</v>
      </c>
      <c r="S336" s="24">
        <f>IF(T335&gt;0,ROUND(ROUND(T335*100,0)*ROUND(R$7*10000,0)/12000000,0)/100,0)</f>
        <v>0</v>
      </c>
      <c r="T336" s="24">
        <f>IF(T335&gt;0,ROUND(T335+S336-R336,2),0)</f>
        <v>0</v>
      </c>
      <c r="U336" s="24">
        <f>IF(W335&gt;0,MIN(ROUND(U$6+IF(U$5=$C336,$E$5+$E336,0),2),ROUND(W335+V336,2)),0)</f>
        <v>0</v>
      </c>
      <c r="V336" s="24">
        <f>IF(W335&gt;0,ROUND(ROUND(W335*100,0)*ROUND(U$7*10000,0)/12000000,0)/100,0)</f>
        <v>0</v>
      </c>
      <c r="W336" s="24">
        <f>IF(W335&gt;0,ROUND(W335+V336-U336,2),0)</f>
        <v>0</v>
      </c>
      <c r="X336" s="24">
        <f>IF(Z335&gt;0,MIN(ROUND(X$6+IF(X$5=$C336,$E$5+$E336,0),2),ROUND(Z335+Y336,2)),0)</f>
        <v>0</v>
      </c>
      <c r="Y336" s="24">
        <f>IF(Z335&gt;0,ROUND(ROUND(Z335*100,0)*ROUND(X$7*10000,0)/12000000,0)/100,0)</f>
        <v>0</v>
      </c>
      <c r="Z336" s="24">
        <f>IF(Z335&gt;0,ROUND(Z335+Y336-X336,2),0)</f>
        <v>0</v>
      </c>
      <c r="AA336" s="24">
        <f>IF(AC335&gt;0,MIN(ROUND(AA$6+IF(AA$5=$C336,$E$5+$E336,0),2),ROUND(AC335+AB336,2)),0)</f>
        <v>0</v>
      </c>
      <c r="AB336" s="24">
        <f>IF(AC335&gt;0,ROUND(ROUND(AC335*100,0)*ROUND(AA$7*10000,0)/12000000,0)/100,0)</f>
        <v>0</v>
      </c>
      <c r="AC336" s="24">
        <f>IF(AC335&gt;0,ROUND(AC335+AB336-AA336,2),0)</f>
        <v>0</v>
      </c>
      <c r="AD336" s="24">
        <f>IF(AF335&gt;0,MIN(ROUND(AD$6+IF(AD$5=$C336,$E$5+$E336,0),2),ROUND(AF335+AE336,2)),0)</f>
        <v>0</v>
      </c>
      <c r="AE336" s="24">
        <f>IF(AF335&gt;0,ROUND(ROUND(AF335*100,0)*ROUND(AD$7*10000,0)/12000000,0)/100,0)</f>
        <v>0</v>
      </c>
      <c r="AF336" s="24">
        <f>IF(AF335&gt;0,ROUND(AF335+AE336-AD336,2),0)</f>
        <v>0</v>
      </c>
      <c r="AG336" s="24">
        <f>IF(AI335&gt;0,MIN(ROUND(AG$6+IF(AG$5=$C336,$E$5+$E336,0),2),ROUND(AI335+AH336,2)),0)</f>
        <v>0</v>
      </c>
      <c r="AH336" s="24">
        <f>IF(AI335&gt;0,ROUND(ROUND(AI335*100,0)*ROUND(AG$7*10000,0)/12000000,0)/100,0)</f>
        <v>0</v>
      </c>
      <c r="AI336" s="24">
        <f>IF(AI335&gt;0,ROUND(AI335+AH336-AG336,2),0)</f>
        <v>0</v>
      </c>
      <c r="AJ336" s="24">
        <f>IF(AL335&gt;0,MIN(ROUND(AJ$6+IF(AJ$5=$C336,$E$5+$E336,0),2),ROUND(AL335+AK336,2)),0)</f>
        <v>0</v>
      </c>
      <c r="AK336" s="24">
        <f>IF(AL335&gt;0,ROUND(ROUND(AL335*100,0)*ROUND(AJ$7*10000,0)/12000000,0)/100,0)</f>
        <v>0</v>
      </c>
      <c r="AL336" s="24">
        <f>IF(AL335&gt;0,ROUND(AL335+AK336-AJ336,2),0)</f>
        <v>0</v>
      </c>
    </row>
    <row r="337" spans="1:38" x14ac:dyDescent="0.25">
      <c r="A337" s="17" t="str">
        <f>IF(F337&gt;0,327,"")</f>
        <v/>
      </c>
      <c r="B337" s="18" t="str">
        <f>IF(F337&gt;0,EDATE($E$6,327),"")</f>
        <v/>
      </c>
      <c r="C337" s="21">
        <f>IF(H336&gt;0,MIN(IF(K336&gt;0,I$5,99),IF(N336&gt;0,L$5,99),IF(Q336&gt;0,O$5,99),IF(T336&gt;0,R$5,99),IF(W336&gt;0,U$5,99),IF(Z336&gt;0,X$5,99),IF(AC336&gt;0,AA$5,99),IF(AF336&gt;0,AD$5,99),IF(AI336&gt;0,AG$5,99),IF(AL336&gt;0,AJ$5,99)),0)</f>
        <v>0</v>
      </c>
      <c r="D337" t="str">
        <f>IF(C337&gt;0,INDEX($I$4:$AL$4,1,MATCH(C337,$I$5:$AL$5,0)),"")</f>
        <v/>
      </c>
      <c r="E337" s="24">
        <f>ROUND(IF(AND(I$8&gt;0,K336=0),I$6,0)+IF(AND(L$8&gt;0,N336=0),L$6,0)+IF(AND(O$8&gt;0,Q336=0),O$6,0)+IF(AND(R$8&gt;0,T336=0),R$6,0)+IF(AND(U$8&gt;0,W336=0),U$6,0)+IF(AND(X$8&gt;0,Z336=0),X$6,0)+IF(AND(AA$8&gt;0,AC336=0),AA$6,0)+IF(AND(AD$8&gt;0,AF336=0),AD$6,0)+IF(AND(AG$8&gt;0,AI336=0),AG$6,0)+IF(AND(AJ$8&gt;0,AL336=0),AJ$6,0),2)</f>
        <v>330</v>
      </c>
      <c r="F337" s="24">
        <f>ROUND(I337+L337+O337+R337+U337+X337+AA337+AD337+AG337+AJ337,2)</f>
        <v>0</v>
      </c>
      <c r="G337" s="24">
        <f>ROUND(J337+M337+P337+S337+V337+Y337+AB337+AE337+AH337+AK337,2)</f>
        <v>0</v>
      </c>
      <c r="H337" s="24">
        <f>ROUND(K337+N337+Q337+T337+W337+Z337+AC337+AF337+AI337+AL337,2)</f>
        <v>0</v>
      </c>
      <c r="I337" s="24">
        <f>IF(K336&gt;0,MIN(ROUND(I$6+IF(I$5=$C337,$E$5+$E337,0),2),ROUND(K336+J337,2)),0)</f>
        <v>0</v>
      </c>
      <c r="J337" s="24">
        <f>IF(K336&gt;0,ROUND(ROUND(K336*100,0)*ROUND(I$7*10000,0)/12000000,0)/100,0)</f>
        <v>0</v>
      </c>
      <c r="K337" s="24">
        <f>IF(K336&gt;0,ROUND(K336+J337-I337,2),0)</f>
        <v>0</v>
      </c>
      <c r="L337" s="24">
        <f>IF(N336&gt;0,MIN(ROUND(L$6+IF(L$5=$C337,$E$5+$E337,0),2),ROUND(N336+M337,2)),0)</f>
        <v>0</v>
      </c>
      <c r="M337" s="24">
        <f>IF(N336&gt;0,ROUND(ROUND(N336*100,0)*ROUND(L$7*10000,0)/12000000,0)/100,0)</f>
        <v>0</v>
      </c>
      <c r="N337" s="24">
        <f>IF(N336&gt;0,ROUND(N336+M337-L337,2),0)</f>
        <v>0</v>
      </c>
      <c r="O337" s="24">
        <f>IF(Q336&gt;0,MIN(ROUND(O$6+IF(O$5=$C337,$E$5+$E337,0),2),ROUND(Q336+P337,2)),0)</f>
        <v>0</v>
      </c>
      <c r="P337" s="24">
        <f>IF(Q336&gt;0,ROUND(ROUND(Q336*100,0)*ROUND(O$7*10000,0)/12000000,0)/100,0)</f>
        <v>0</v>
      </c>
      <c r="Q337" s="24">
        <f>IF(Q336&gt;0,ROUND(Q336+P337-O337,2),0)</f>
        <v>0</v>
      </c>
      <c r="R337" s="24">
        <f>IF(T336&gt;0,MIN(ROUND(R$6+IF(R$5=$C337,$E$5+$E337,0),2),ROUND(T336+S337,2)),0)</f>
        <v>0</v>
      </c>
      <c r="S337" s="24">
        <f>IF(T336&gt;0,ROUND(ROUND(T336*100,0)*ROUND(R$7*10000,0)/12000000,0)/100,0)</f>
        <v>0</v>
      </c>
      <c r="T337" s="24">
        <f>IF(T336&gt;0,ROUND(T336+S337-R337,2),0)</f>
        <v>0</v>
      </c>
      <c r="U337" s="24">
        <f>IF(W336&gt;0,MIN(ROUND(U$6+IF(U$5=$C337,$E$5+$E337,0),2),ROUND(W336+V337,2)),0)</f>
        <v>0</v>
      </c>
      <c r="V337" s="24">
        <f>IF(W336&gt;0,ROUND(ROUND(W336*100,0)*ROUND(U$7*10000,0)/12000000,0)/100,0)</f>
        <v>0</v>
      </c>
      <c r="W337" s="24">
        <f>IF(W336&gt;0,ROUND(W336+V337-U337,2),0)</f>
        <v>0</v>
      </c>
      <c r="X337" s="24">
        <f>IF(Z336&gt;0,MIN(ROUND(X$6+IF(X$5=$C337,$E$5+$E337,0),2),ROUND(Z336+Y337,2)),0)</f>
        <v>0</v>
      </c>
      <c r="Y337" s="24">
        <f>IF(Z336&gt;0,ROUND(ROUND(Z336*100,0)*ROUND(X$7*10000,0)/12000000,0)/100,0)</f>
        <v>0</v>
      </c>
      <c r="Z337" s="24">
        <f>IF(Z336&gt;0,ROUND(Z336+Y337-X337,2),0)</f>
        <v>0</v>
      </c>
      <c r="AA337" s="24">
        <f>IF(AC336&gt;0,MIN(ROUND(AA$6+IF(AA$5=$C337,$E$5+$E337,0),2),ROUND(AC336+AB337,2)),0)</f>
        <v>0</v>
      </c>
      <c r="AB337" s="24">
        <f>IF(AC336&gt;0,ROUND(ROUND(AC336*100,0)*ROUND(AA$7*10000,0)/12000000,0)/100,0)</f>
        <v>0</v>
      </c>
      <c r="AC337" s="24">
        <f>IF(AC336&gt;0,ROUND(AC336+AB337-AA337,2),0)</f>
        <v>0</v>
      </c>
      <c r="AD337" s="24">
        <f>IF(AF336&gt;0,MIN(ROUND(AD$6+IF(AD$5=$C337,$E$5+$E337,0),2),ROUND(AF336+AE337,2)),0)</f>
        <v>0</v>
      </c>
      <c r="AE337" s="24">
        <f>IF(AF336&gt;0,ROUND(ROUND(AF336*100,0)*ROUND(AD$7*10000,0)/12000000,0)/100,0)</f>
        <v>0</v>
      </c>
      <c r="AF337" s="24">
        <f>IF(AF336&gt;0,ROUND(AF336+AE337-AD337,2),0)</f>
        <v>0</v>
      </c>
      <c r="AG337" s="24">
        <f>IF(AI336&gt;0,MIN(ROUND(AG$6+IF(AG$5=$C337,$E$5+$E337,0),2),ROUND(AI336+AH337,2)),0)</f>
        <v>0</v>
      </c>
      <c r="AH337" s="24">
        <f>IF(AI336&gt;0,ROUND(ROUND(AI336*100,0)*ROUND(AG$7*10000,0)/12000000,0)/100,0)</f>
        <v>0</v>
      </c>
      <c r="AI337" s="24">
        <f>IF(AI336&gt;0,ROUND(AI336+AH337-AG337,2),0)</f>
        <v>0</v>
      </c>
      <c r="AJ337" s="24">
        <f>IF(AL336&gt;0,MIN(ROUND(AJ$6+IF(AJ$5=$C337,$E$5+$E337,0),2),ROUND(AL336+AK337,2)),0)</f>
        <v>0</v>
      </c>
      <c r="AK337" s="24">
        <f>IF(AL336&gt;0,ROUND(ROUND(AL336*100,0)*ROUND(AJ$7*10000,0)/12000000,0)/100,0)</f>
        <v>0</v>
      </c>
      <c r="AL337" s="24">
        <f>IF(AL336&gt;0,ROUND(AL336+AK337-AJ337,2),0)</f>
        <v>0</v>
      </c>
    </row>
    <row r="338" spans="1:38" x14ac:dyDescent="0.25">
      <c r="A338" s="17" t="str">
        <f>IF(F338&gt;0,328,"")</f>
        <v/>
      </c>
      <c r="B338" s="18" t="str">
        <f>IF(F338&gt;0,EDATE($E$6,328),"")</f>
        <v/>
      </c>
      <c r="C338" s="21">
        <f>IF(H337&gt;0,MIN(IF(K337&gt;0,I$5,99),IF(N337&gt;0,L$5,99),IF(Q337&gt;0,O$5,99),IF(T337&gt;0,R$5,99),IF(W337&gt;0,U$5,99),IF(Z337&gt;0,X$5,99),IF(AC337&gt;0,AA$5,99),IF(AF337&gt;0,AD$5,99),IF(AI337&gt;0,AG$5,99),IF(AL337&gt;0,AJ$5,99)),0)</f>
        <v>0</v>
      </c>
      <c r="D338" t="str">
        <f>IF(C338&gt;0,INDEX($I$4:$AL$4,1,MATCH(C338,$I$5:$AL$5,0)),"")</f>
        <v/>
      </c>
      <c r="E338" s="24">
        <f>ROUND(IF(AND(I$8&gt;0,K337=0),I$6,0)+IF(AND(L$8&gt;0,N337=0),L$6,0)+IF(AND(O$8&gt;0,Q337=0),O$6,0)+IF(AND(R$8&gt;0,T337=0),R$6,0)+IF(AND(U$8&gt;0,W337=0),U$6,0)+IF(AND(X$8&gt;0,Z337=0),X$6,0)+IF(AND(AA$8&gt;0,AC337=0),AA$6,0)+IF(AND(AD$8&gt;0,AF337=0),AD$6,0)+IF(AND(AG$8&gt;0,AI337=0),AG$6,0)+IF(AND(AJ$8&gt;0,AL337=0),AJ$6,0),2)</f>
        <v>330</v>
      </c>
      <c r="F338" s="24">
        <f>ROUND(I338+L338+O338+R338+U338+X338+AA338+AD338+AG338+AJ338,2)</f>
        <v>0</v>
      </c>
      <c r="G338" s="24">
        <f>ROUND(J338+M338+P338+S338+V338+Y338+AB338+AE338+AH338+AK338,2)</f>
        <v>0</v>
      </c>
      <c r="H338" s="24">
        <f>ROUND(K338+N338+Q338+T338+W338+Z338+AC338+AF338+AI338+AL338,2)</f>
        <v>0</v>
      </c>
      <c r="I338" s="24">
        <f>IF(K337&gt;0,MIN(ROUND(I$6+IF(I$5=$C338,$E$5+$E338,0),2),ROUND(K337+J338,2)),0)</f>
        <v>0</v>
      </c>
      <c r="J338" s="24">
        <f>IF(K337&gt;0,ROUND(ROUND(K337*100,0)*ROUND(I$7*10000,0)/12000000,0)/100,0)</f>
        <v>0</v>
      </c>
      <c r="K338" s="24">
        <f>IF(K337&gt;0,ROUND(K337+J338-I338,2),0)</f>
        <v>0</v>
      </c>
      <c r="L338" s="24">
        <f>IF(N337&gt;0,MIN(ROUND(L$6+IF(L$5=$C338,$E$5+$E338,0),2),ROUND(N337+M338,2)),0)</f>
        <v>0</v>
      </c>
      <c r="M338" s="24">
        <f>IF(N337&gt;0,ROUND(ROUND(N337*100,0)*ROUND(L$7*10000,0)/12000000,0)/100,0)</f>
        <v>0</v>
      </c>
      <c r="N338" s="24">
        <f>IF(N337&gt;0,ROUND(N337+M338-L338,2),0)</f>
        <v>0</v>
      </c>
      <c r="O338" s="24">
        <f>IF(Q337&gt;0,MIN(ROUND(O$6+IF(O$5=$C338,$E$5+$E338,0),2),ROUND(Q337+P338,2)),0)</f>
        <v>0</v>
      </c>
      <c r="P338" s="24">
        <f>IF(Q337&gt;0,ROUND(ROUND(Q337*100,0)*ROUND(O$7*10000,0)/12000000,0)/100,0)</f>
        <v>0</v>
      </c>
      <c r="Q338" s="24">
        <f>IF(Q337&gt;0,ROUND(Q337+P338-O338,2),0)</f>
        <v>0</v>
      </c>
      <c r="R338" s="24">
        <f>IF(T337&gt;0,MIN(ROUND(R$6+IF(R$5=$C338,$E$5+$E338,0),2),ROUND(T337+S338,2)),0)</f>
        <v>0</v>
      </c>
      <c r="S338" s="24">
        <f>IF(T337&gt;0,ROUND(ROUND(T337*100,0)*ROUND(R$7*10000,0)/12000000,0)/100,0)</f>
        <v>0</v>
      </c>
      <c r="T338" s="24">
        <f>IF(T337&gt;0,ROUND(T337+S338-R338,2),0)</f>
        <v>0</v>
      </c>
      <c r="U338" s="24">
        <f>IF(W337&gt;0,MIN(ROUND(U$6+IF(U$5=$C338,$E$5+$E338,0),2),ROUND(W337+V338,2)),0)</f>
        <v>0</v>
      </c>
      <c r="V338" s="24">
        <f>IF(W337&gt;0,ROUND(ROUND(W337*100,0)*ROUND(U$7*10000,0)/12000000,0)/100,0)</f>
        <v>0</v>
      </c>
      <c r="W338" s="24">
        <f>IF(W337&gt;0,ROUND(W337+V338-U338,2),0)</f>
        <v>0</v>
      </c>
      <c r="X338" s="24">
        <f>IF(Z337&gt;0,MIN(ROUND(X$6+IF(X$5=$C338,$E$5+$E338,0),2),ROUND(Z337+Y338,2)),0)</f>
        <v>0</v>
      </c>
      <c r="Y338" s="24">
        <f>IF(Z337&gt;0,ROUND(ROUND(Z337*100,0)*ROUND(X$7*10000,0)/12000000,0)/100,0)</f>
        <v>0</v>
      </c>
      <c r="Z338" s="24">
        <f>IF(Z337&gt;0,ROUND(Z337+Y338-X338,2),0)</f>
        <v>0</v>
      </c>
      <c r="AA338" s="24">
        <f>IF(AC337&gt;0,MIN(ROUND(AA$6+IF(AA$5=$C338,$E$5+$E338,0),2),ROUND(AC337+AB338,2)),0)</f>
        <v>0</v>
      </c>
      <c r="AB338" s="24">
        <f>IF(AC337&gt;0,ROUND(ROUND(AC337*100,0)*ROUND(AA$7*10000,0)/12000000,0)/100,0)</f>
        <v>0</v>
      </c>
      <c r="AC338" s="24">
        <f>IF(AC337&gt;0,ROUND(AC337+AB338-AA338,2),0)</f>
        <v>0</v>
      </c>
      <c r="AD338" s="24">
        <f>IF(AF337&gt;0,MIN(ROUND(AD$6+IF(AD$5=$C338,$E$5+$E338,0),2),ROUND(AF337+AE338,2)),0)</f>
        <v>0</v>
      </c>
      <c r="AE338" s="24">
        <f>IF(AF337&gt;0,ROUND(ROUND(AF337*100,0)*ROUND(AD$7*10000,0)/12000000,0)/100,0)</f>
        <v>0</v>
      </c>
      <c r="AF338" s="24">
        <f>IF(AF337&gt;0,ROUND(AF337+AE338-AD338,2),0)</f>
        <v>0</v>
      </c>
      <c r="AG338" s="24">
        <f>IF(AI337&gt;0,MIN(ROUND(AG$6+IF(AG$5=$C338,$E$5+$E338,0),2),ROUND(AI337+AH338,2)),0)</f>
        <v>0</v>
      </c>
      <c r="AH338" s="24">
        <f>IF(AI337&gt;0,ROUND(ROUND(AI337*100,0)*ROUND(AG$7*10000,0)/12000000,0)/100,0)</f>
        <v>0</v>
      </c>
      <c r="AI338" s="24">
        <f>IF(AI337&gt;0,ROUND(AI337+AH338-AG338,2),0)</f>
        <v>0</v>
      </c>
      <c r="AJ338" s="24">
        <f>IF(AL337&gt;0,MIN(ROUND(AJ$6+IF(AJ$5=$C338,$E$5+$E338,0),2),ROUND(AL337+AK338,2)),0)</f>
        <v>0</v>
      </c>
      <c r="AK338" s="24">
        <f>IF(AL337&gt;0,ROUND(ROUND(AL337*100,0)*ROUND(AJ$7*10000,0)/12000000,0)/100,0)</f>
        <v>0</v>
      </c>
      <c r="AL338" s="24">
        <f>IF(AL337&gt;0,ROUND(AL337+AK338-AJ338,2),0)</f>
        <v>0</v>
      </c>
    </row>
    <row r="339" spans="1:38" x14ac:dyDescent="0.25">
      <c r="A339" s="17" t="str">
        <f>IF(F339&gt;0,329,"")</f>
        <v/>
      </c>
      <c r="B339" s="18" t="str">
        <f>IF(F339&gt;0,EDATE($E$6,329),"")</f>
        <v/>
      </c>
      <c r="C339" s="21">
        <f>IF(H338&gt;0,MIN(IF(K338&gt;0,I$5,99),IF(N338&gt;0,L$5,99),IF(Q338&gt;0,O$5,99),IF(T338&gt;0,R$5,99),IF(W338&gt;0,U$5,99),IF(Z338&gt;0,X$5,99),IF(AC338&gt;0,AA$5,99),IF(AF338&gt;0,AD$5,99),IF(AI338&gt;0,AG$5,99),IF(AL338&gt;0,AJ$5,99)),0)</f>
        <v>0</v>
      </c>
      <c r="D339" t="str">
        <f>IF(C339&gt;0,INDEX($I$4:$AL$4,1,MATCH(C339,$I$5:$AL$5,0)),"")</f>
        <v/>
      </c>
      <c r="E339" s="24">
        <f>ROUND(IF(AND(I$8&gt;0,K338=0),I$6,0)+IF(AND(L$8&gt;0,N338=0),L$6,0)+IF(AND(O$8&gt;0,Q338=0),O$6,0)+IF(AND(R$8&gt;0,T338=0),R$6,0)+IF(AND(U$8&gt;0,W338=0),U$6,0)+IF(AND(X$8&gt;0,Z338=0),X$6,0)+IF(AND(AA$8&gt;0,AC338=0),AA$6,0)+IF(AND(AD$8&gt;0,AF338=0),AD$6,0)+IF(AND(AG$8&gt;0,AI338=0),AG$6,0)+IF(AND(AJ$8&gt;0,AL338=0),AJ$6,0),2)</f>
        <v>330</v>
      </c>
      <c r="F339" s="24">
        <f>ROUND(I339+L339+O339+R339+U339+X339+AA339+AD339+AG339+AJ339,2)</f>
        <v>0</v>
      </c>
      <c r="G339" s="24">
        <f>ROUND(J339+M339+P339+S339+V339+Y339+AB339+AE339+AH339+AK339,2)</f>
        <v>0</v>
      </c>
      <c r="H339" s="24">
        <f>ROUND(K339+N339+Q339+T339+W339+Z339+AC339+AF339+AI339+AL339,2)</f>
        <v>0</v>
      </c>
      <c r="I339" s="24">
        <f>IF(K338&gt;0,MIN(ROUND(I$6+IF(I$5=$C339,$E$5+$E339,0),2),ROUND(K338+J339,2)),0)</f>
        <v>0</v>
      </c>
      <c r="J339" s="24">
        <f>IF(K338&gt;0,ROUND(ROUND(K338*100,0)*ROUND(I$7*10000,0)/12000000,0)/100,0)</f>
        <v>0</v>
      </c>
      <c r="K339" s="24">
        <f>IF(K338&gt;0,ROUND(K338+J339-I339,2),0)</f>
        <v>0</v>
      </c>
      <c r="L339" s="24">
        <f>IF(N338&gt;0,MIN(ROUND(L$6+IF(L$5=$C339,$E$5+$E339,0),2),ROUND(N338+M339,2)),0)</f>
        <v>0</v>
      </c>
      <c r="M339" s="24">
        <f>IF(N338&gt;0,ROUND(ROUND(N338*100,0)*ROUND(L$7*10000,0)/12000000,0)/100,0)</f>
        <v>0</v>
      </c>
      <c r="N339" s="24">
        <f>IF(N338&gt;0,ROUND(N338+M339-L339,2),0)</f>
        <v>0</v>
      </c>
      <c r="O339" s="24">
        <f>IF(Q338&gt;0,MIN(ROUND(O$6+IF(O$5=$C339,$E$5+$E339,0),2),ROUND(Q338+P339,2)),0)</f>
        <v>0</v>
      </c>
      <c r="P339" s="24">
        <f>IF(Q338&gt;0,ROUND(ROUND(Q338*100,0)*ROUND(O$7*10000,0)/12000000,0)/100,0)</f>
        <v>0</v>
      </c>
      <c r="Q339" s="24">
        <f>IF(Q338&gt;0,ROUND(Q338+P339-O339,2),0)</f>
        <v>0</v>
      </c>
      <c r="R339" s="24">
        <f>IF(T338&gt;0,MIN(ROUND(R$6+IF(R$5=$C339,$E$5+$E339,0),2),ROUND(T338+S339,2)),0)</f>
        <v>0</v>
      </c>
      <c r="S339" s="24">
        <f>IF(T338&gt;0,ROUND(ROUND(T338*100,0)*ROUND(R$7*10000,0)/12000000,0)/100,0)</f>
        <v>0</v>
      </c>
      <c r="T339" s="24">
        <f>IF(T338&gt;0,ROUND(T338+S339-R339,2),0)</f>
        <v>0</v>
      </c>
      <c r="U339" s="24">
        <f>IF(W338&gt;0,MIN(ROUND(U$6+IF(U$5=$C339,$E$5+$E339,0),2),ROUND(W338+V339,2)),0)</f>
        <v>0</v>
      </c>
      <c r="V339" s="24">
        <f>IF(W338&gt;0,ROUND(ROUND(W338*100,0)*ROUND(U$7*10000,0)/12000000,0)/100,0)</f>
        <v>0</v>
      </c>
      <c r="W339" s="24">
        <f>IF(W338&gt;0,ROUND(W338+V339-U339,2),0)</f>
        <v>0</v>
      </c>
      <c r="X339" s="24">
        <f>IF(Z338&gt;0,MIN(ROUND(X$6+IF(X$5=$C339,$E$5+$E339,0),2),ROUND(Z338+Y339,2)),0)</f>
        <v>0</v>
      </c>
      <c r="Y339" s="24">
        <f>IF(Z338&gt;0,ROUND(ROUND(Z338*100,0)*ROUND(X$7*10000,0)/12000000,0)/100,0)</f>
        <v>0</v>
      </c>
      <c r="Z339" s="24">
        <f>IF(Z338&gt;0,ROUND(Z338+Y339-X339,2),0)</f>
        <v>0</v>
      </c>
      <c r="AA339" s="24">
        <f>IF(AC338&gt;0,MIN(ROUND(AA$6+IF(AA$5=$C339,$E$5+$E339,0),2),ROUND(AC338+AB339,2)),0)</f>
        <v>0</v>
      </c>
      <c r="AB339" s="24">
        <f>IF(AC338&gt;0,ROUND(ROUND(AC338*100,0)*ROUND(AA$7*10000,0)/12000000,0)/100,0)</f>
        <v>0</v>
      </c>
      <c r="AC339" s="24">
        <f>IF(AC338&gt;0,ROUND(AC338+AB339-AA339,2),0)</f>
        <v>0</v>
      </c>
      <c r="AD339" s="24">
        <f>IF(AF338&gt;0,MIN(ROUND(AD$6+IF(AD$5=$C339,$E$5+$E339,0),2),ROUND(AF338+AE339,2)),0)</f>
        <v>0</v>
      </c>
      <c r="AE339" s="24">
        <f>IF(AF338&gt;0,ROUND(ROUND(AF338*100,0)*ROUND(AD$7*10000,0)/12000000,0)/100,0)</f>
        <v>0</v>
      </c>
      <c r="AF339" s="24">
        <f>IF(AF338&gt;0,ROUND(AF338+AE339-AD339,2),0)</f>
        <v>0</v>
      </c>
      <c r="AG339" s="24">
        <f>IF(AI338&gt;0,MIN(ROUND(AG$6+IF(AG$5=$C339,$E$5+$E339,0),2),ROUND(AI338+AH339,2)),0)</f>
        <v>0</v>
      </c>
      <c r="AH339" s="24">
        <f>IF(AI338&gt;0,ROUND(ROUND(AI338*100,0)*ROUND(AG$7*10000,0)/12000000,0)/100,0)</f>
        <v>0</v>
      </c>
      <c r="AI339" s="24">
        <f>IF(AI338&gt;0,ROUND(AI338+AH339-AG339,2),0)</f>
        <v>0</v>
      </c>
      <c r="AJ339" s="24">
        <f>IF(AL338&gt;0,MIN(ROUND(AJ$6+IF(AJ$5=$C339,$E$5+$E339,0),2),ROUND(AL338+AK339,2)),0)</f>
        <v>0</v>
      </c>
      <c r="AK339" s="24">
        <f>IF(AL338&gt;0,ROUND(ROUND(AL338*100,0)*ROUND(AJ$7*10000,0)/12000000,0)/100,0)</f>
        <v>0</v>
      </c>
      <c r="AL339" s="24">
        <f>IF(AL338&gt;0,ROUND(AL338+AK339-AJ339,2),0)</f>
        <v>0</v>
      </c>
    </row>
    <row r="340" spans="1:38" x14ac:dyDescent="0.25">
      <c r="A340" s="17" t="str">
        <f>IF(F340&gt;0,330,"")</f>
        <v/>
      </c>
      <c r="B340" s="18" t="str">
        <f>IF(F340&gt;0,EDATE($E$6,330),"")</f>
        <v/>
      </c>
      <c r="C340" s="21">
        <f>IF(H339&gt;0,MIN(IF(K339&gt;0,I$5,99),IF(N339&gt;0,L$5,99),IF(Q339&gt;0,O$5,99),IF(T339&gt;0,R$5,99),IF(W339&gt;0,U$5,99),IF(Z339&gt;0,X$5,99),IF(AC339&gt;0,AA$5,99),IF(AF339&gt;0,AD$5,99),IF(AI339&gt;0,AG$5,99),IF(AL339&gt;0,AJ$5,99)),0)</f>
        <v>0</v>
      </c>
      <c r="D340" t="str">
        <f>IF(C340&gt;0,INDEX($I$4:$AL$4,1,MATCH(C340,$I$5:$AL$5,0)),"")</f>
        <v/>
      </c>
      <c r="E340" s="24">
        <f>ROUND(IF(AND(I$8&gt;0,K339=0),I$6,0)+IF(AND(L$8&gt;0,N339=0),L$6,0)+IF(AND(O$8&gt;0,Q339=0),O$6,0)+IF(AND(R$8&gt;0,T339=0),R$6,0)+IF(AND(U$8&gt;0,W339=0),U$6,0)+IF(AND(X$8&gt;0,Z339=0),X$6,0)+IF(AND(AA$8&gt;0,AC339=0),AA$6,0)+IF(AND(AD$8&gt;0,AF339=0),AD$6,0)+IF(AND(AG$8&gt;0,AI339=0),AG$6,0)+IF(AND(AJ$8&gt;0,AL339=0),AJ$6,0),2)</f>
        <v>330</v>
      </c>
      <c r="F340" s="24">
        <f>ROUND(I340+L340+O340+R340+U340+X340+AA340+AD340+AG340+AJ340,2)</f>
        <v>0</v>
      </c>
      <c r="G340" s="24">
        <f>ROUND(J340+M340+P340+S340+V340+Y340+AB340+AE340+AH340+AK340,2)</f>
        <v>0</v>
      </c>
      <c r="H340" s="24">
        <f>ROUND(K340+N340+Q340+T340+W340+Z340+AC340+AF340+AI340+AL340,2)</f>
        <v>0</v>
      </c>
      <c r="I340" s="24">
        <f>IF(K339&gt;0,MIN(ROUND(I$6+IF(I$5=$C340,$E$5+$E340,0),2),ROUND(K339+J340,2)),0)</f>
        <v>0</v>
      </c>
      <c r="J340" s="24">
        <f>IF(K339&gt;0,ROUND(ROUND(K339*100,0)*ROUND(I$7*10000,0)/12000000,0)/100,0)</f>
        <v>0</v>
      </c>
      <c r="K340" s="24">
        <f>IF(K339&gt;0,ROUND(K339+J340-I340,2),0)</f>
        <v>0</v>
      </c>
      <c r="L340" s="24">
        <f>IF(N339&gt;0,MIN(ROUND(L$6+IF(L$5=$C340,$E$5+$E340,0),2),ROUND(N339+M340,2)),0)</f>
        <v>0</v>
      </c>
      <c r="M340" s="24">
        <f>IF(N339&gt;0,ROUND(ROUND(N339*100,0)*ROUND(L$7*10000,0)/12000000,0)/100,0)</f>
        <v>0</v>
      </c>
      <c r="N340" s="24">
        <f>IF(N339&gt;0,ROUND(N339+M340-L340,2),0)</f>
        <v>0</v>
      </c>
      <c r="O340" s="24">
        <f>IF(Q339&gt;0,MIN(ROUND(O$6+IF(O$5=$C340,$E$5+$E340,0),2),ROUND(Q339+P340,2)),0)</f>
        <v>0</v>
      </c>
      <c r="P340" s="24">
        <f>IF(Q339&gt;0,ROUND(ROUND(Q339*100,0)*ROUND(O$7*10000,0)/12000000,0)/100,0)</f>
        <v>0</v>
      </c>
      <c r="Q340" s="24">
        <f>IF(Q339&gt;0,ROUND(Q339+P340-O340,2),0)</f>
        <v>0</v>
      </c>
      <c r="R340" s="24">
        <f>IF(T339&gt;0,MIN(ROUND(R$6+IF(R$5=$C340,$E$5+$E340,0),2),ROUND(T339+S340,2)),0)</f>
        <v>0</v>
      </c>
      <c r="S340" s="24">
        <f>IF(T339&gt;0,ROUND(ROUND(T339*100,0)*ROUND(R$7*10000,0)/12000000,0)/100,0)</f>
        <v>0</v>
      </c>
      <c r="T340" s="24">
        <f>IF(T339&gt;0,ROUND(T339+S340-R340,2),0)</f>
        <v>0</v>
      </c>
      <c r="U340" s="24">
        <f>IF(W339&gt;0,MIN(ROUND(U$6+IF(U$5=$C340,$E$5+$E340,0),2),ROUND(W339+V340,2)),0)</f>
        <v>0</v>
      </c>
      <c r="V340" s="24">
        <f>IF(W339&gt;0,ROUND(ROUND(W339*100,0)*ROUND(U$7*10000,0)/12000000,0)/100,0)</f>
        <v>0</v>
      </c>
      <c r="W340" s="24">
        <f>IF(W339&gt;0,ROUND(W339+V340-U340,2),0)</f>
        <v>0</v>
      </c>
      <c r="X340" s="24">
        <f>IF(Z339&gt;0,MIN(ROUND(X$6+IF(X$5=$C340,$E$5+$E340,0),2),ROUND(Z339+Y340,2)),0)</f>
        <v>0</v>
      </c>
      <c r="Y340" s="24">
        <f>IF(Z339&gt;0,ROUND(ROUND(Z339*100,0)*ROUND(X$7*10000,0)/12000000,0)/100,0)</f>
        <v>0</v>
      </c>
      <c r="Z340" s="24">
        <f>IF(Z339&gt;0,ROUND(Z339+Y340-X340,2),0)</f>
        <v>0</v>
      </c>
      <c r="AA340" s="24">
        <f>IF(AC339&gt;0,MIN(ROUND(AA$6+IF(AA$5=$C340,$E$5+$E340,0),2),ROUND(AC339+AB340,2)),0)</f>
        <v>0</v>
      </c>
      <c r="AB340" s="24">
        <f>IF(AC339&gt;0,ROUND(ROUND(AC339*100,0)*ROUND(AA$7*10000,0)/12000000,0)/100,0)</f>
        <v>0</v>
      </c>
      <c r="AC340" s="24">
        <f>IF(AC339&gt;0,ROUND(AC339+AB340-AA340,2),0)</f>
        <v>0</v>
      </c>
      <c r="AD340" s="24">
        <f>IF(AF339&gt;0,MIN(ROUND(AD$6+IF(AD$5=$C340,$E$5+$E340,0),2),ROUND(AF339+AE340,2)),0)</f>
        <v>0</v>
      </c>
      <c r="AE340" s="24">
        <f>IF(AF339&gt;0,ROUND(ROUND(AF339*100,0)*ROUND(AD$7*10000,0)/12000000,0)/100,0)</f>
        <v>0</v>
      </c>
      <c r="AF340" s="24">
        <f>IF(AF339&gt;0,ROUND(AF339+AE340-AD340,2),0)</f>
        <v>0</v>
      </c>
      <c r="AG340" s="24">
        <f>IF(AI339&gt;0,MIN(ROUND(AG$6+IF(AG$5=$C340,$E$5+$E340,0),2),ROUND(AI339+AH340,2)),0)</f>
        <v>0</v>
      </c>
      <c r="AH340" s="24">
        <f>IF(AI339&gt;0,ROUND(ROUND(AI339*100,0)*ROUND(AG$7*10000,0)/12000000,0)/100,0)</f>
        <v>0</v>
      </c>
      <c r="AI340" s="24">
        <f>IF(AI339&gt;0,ROUND(AI339+AH340-AG340,2),0)</f>
        <v>0</v>
      </c>
      <c r="AJ340" s="24">
        <f>IF(AL339&gt;0,MIN(ROUND(AJ$6+IF(AJ$5=$C340,$E$5+$E340,0),2),ROUND(AL339+AK340,2)),0)</f>
        <v>0</v>
      </c>
      <c r="AK340" s="24">
        <f>IF(AL339&gt;0,ROUND(ROUND(AL339*100,0)*ROUND(AJ$7*10000,0)/12000000,0)/100,0)</f>
        <v>0</v>
      </c>
      <c r="AL340" s="24">
        <f>IF(AL339&gt;0,ROUND(AL339+AK340-AJ340,2),0)</f>
        <v>0</v>
      </c>
    </row>
    <row r="341" spans="1:38" x14ac:dyDescent="0.25">
      <c r="A341" s="17" t="str">
        <f>IF(F341&gt;0,331,"")</f>
        <v/>
      </c>
      <c r="B341" s="18" t="str">
        <f>IF(F341&gt;0,EDATE($E$6,331),"")</f>
        <v/>
      </c>
      <c r="C341" s="21">
        <f>IF(H340&gt;0,MIN(IF(K340&gt;0,I$5,99),IF(N340&gt;0,L$5,99),IF(Q340&gt;0,O$5,99),IF(T340&gt;0,R$5,99),IF(W340&gt;0,U$5,99),IF(Z340&gt;0,X$5,99),IF(AC340&gt;0,AA$5,99),IF(AF340&gt;0,AD$5,99),IF(AI340&gt;0,AG$5,99),IF(AL340&gt;0,AJ$5,99)),0)</f>
        <v>0</v>
      </c>
      <c r="D341" t="str">
        <f>IF(C341&gt;0,INDEX($I$4:$AL$4,1,MATCH(C341,$I$5:$AL$5,0)),"")</f>
        <v/>
      </c>
      <c r="E341" s="24">
        <f>ROUND(IF(AND(I$8&gt;0,K340=0),I$6,0)+IF(AND(L$8&gt;0,N340=0),L$6,0)+IF(AND(O$8&gt;0,Q340=0),O$6,0)+IF(AND(R$8&gt;0,T340=0),R$6,0)+IF(AND(U$8&gt;0,W340=0),U$6,0)+IF(AND(X$8&gt;0,Z340=0),X$6,0)+IF(AND(AA$8&gt;0,AC340=0),AA$6,0)+IF(AND(AD$8&gt;0,AF340=0),AD$6,0)+IF(AND(AG$8&gt;0,AI340=0),AG$6,0)+IF(AND(AJ$8&gt;0,AL340=0),AJ$6,0),2)</f>
        <v>330</v>
      </c>
      <c r="F341" s="24">
        <f>ROUND(I341+L341+O341+R341+U341+X341+AA341+AD341+AG341+AJ341,2)</f>
        <v>0</v>
      </c>
      <c r="G341" s="24">
        <f>ROUND(J341+M341+P341+S341+V341+Y341+AB341+AE341+AH341+AK341,2)</f>
        <v>0</v>
      </c>
      <c r="H341" s="24">
        <f>ROUND(K341+N341+Q341+T341+W341+Z341+AC341+AF341+AI341+AL341,2)</f>
        <v>0</v>
      </c>
      <c r="I341" s="24">
        <f>IF(K340&gt;0,MIN(ROUND(I$6+IF(I$5=$C341,$E$5+$E341,0),2),ROUND(K340+J341,2)),0)</f>
        <v>0</v>
      </c>
      <c r="J341" s="24">
        <f>IF(K340&gt;0,ROUND(ROUND(K340*100,0)*ROUND(I$7*10000,0)/12000000,0)/100,0)</f>
        <v>0</v>
      </c>
      <c r="K341" s="24">
        <f>IF(K340&gt;0,ROUND(K340+J341-I341,2),0)</f>
        <v>0</v>
      </c>
      <c r="L341" s="24">
        <f>IF(N340&gt;0,MIN(ROUND(L$6+IF(L$5=$C341,$E$5+$E341,0),2),ROUND(N340+M341,2)),0)</f>
        <v>0</v>
      </c>
      <c r="M341" s="24">
        <f>IF(N340&gt;0,ROUND(ROUND(N340*100,0)*ROUND(L$7*10000,0)/12000000,0)/100,0)</f>
        <v>0</v>
      </c>
      <c r="N341" s="24">
        <f>IF(N340&gt;0,ROUND(N340+M341-L341,2),0)</f>
        <v>0</v>
      </c>
      <c r="O341" s="24">
        <f>IF(Q340&gt;0,MIN(ROUND(O$6+IF(O$5=$C341,$E$5+$E341,0),2),ROUND(Q340+P341,2)),0)</f>
        <v>0</v>
      </c>
      <c r="P341" s="24">
        <f>IF(Q340&gt;0,ROUND(ROUND(Q340*100,0)*ROUND(O$7*10000,0)/12000000,0)/100,0)</f>
        <v>0</v>
      </c>
      <c r="Q341" s="24">
        <f>IF(Q340&gt;0,ROUND(Q340+P341-O341,2),0)</f>
        <v>0</v>
      </c>
      <c r="R341" s="24">
        <f>IF(T340&gt;0,MIN(ROUND(R$6+IF(R$5=$C341,$E$5+$E341,0),2),ROUND(T340+S341,2)),0)</f>
        <v>0</v>
      </c>
      <c r="S341" s="24">
        <f>IF(T340&gt;0,ROUND(ROUND(T340*100,0)*ROUND(R$7*10000,0)/12000000,0)/100,0)</f>
        <v>0</v>
      </c>
      <c r="T341" s="24">
        <f>IF(T340&gt;0,ROUND(T340+S341-R341,2),0)</f>
        <v>0</v>
      </c>
      <c r="U341" s="24">
        <f>IF(W340&gt;0,MIN(ROUND(U$6+IF(U$5=$C341,$E$5+$E341,0),2),ROUND(W340+V341,2)),0)</f>
        <v>0</v>
      </c>
      <c r="V341" s="24">
        <f>IF(W340&gt;0,ROUND(ROUND(W340*100,0)*ROUND(U$7*10000,0)/12000000,0)/100,0)</f>
        <v>0</v>
      </c>
      <c r="W341" s="24">
        <f>IF(W340&gt;0,ROUND(W340+V341-U341,2),0)</f>
        <v>0</v>
      </c>
      <c r="X341" s="24">
        <f>IF(Z340&gt;0,MIN(ROUND(X$6+IF(X$5=$C341,$E$5+$E341,0),2),ROUND(Z340+Y341,2)),0)</f>
        <v>0</v>
      </c>
      <c r="Y341" s="24">
        <f>IF(Z340&gt;0,ROUND(ROUND(Z340*100,0)*ROUND(X$7*10000,0)/12000000,0)/100,0)</f>
        <v>0</v>
      </c>
      <c r="Z341" s="24">
        <f>IF(Z340&gt;0,ROUND(Z340+Y341-X341,2),0)</f>
        <v>0</v>
      </c>
      <c r="AA341" s="24">
        <f>IF(AC340&gt;0,MIN(ROUND(AA$6+IF(AA$5=$C341,$E$5+$E341,0),2),ROUND(AC340+AB341,2)),0)</f>
        <v>0</v>
      </c>
      <c r="AB341" s="24">
        <f>IF(AC340&gt;0,ROUND(ROUND(AC340*100,0)*ROUND(AA$7*10000,0)/12000000,0)/100,0)</f>
        <v>0</v>
      </c>
      <c r="AC341" s="24">
        <f>IF(AC340&gt;0,ROUND(AC340+AB341-AA341,2),0)</f>
        <v>0</v>
      </c>
      <c r="AD341" s="24">
        <f>IF(AF340&gt;0,MIN(ROUND(AD$6+IF(AD$5=$C341,$E$5+$E341,0),2),ROUND(AF340+AE341,2)),0)</f>
        <v>0</v>
      </c>
      <c r="AE341" s="24">
        <f>IF(AF340&gt;0,ROUND(ROUND(AF340*100,0)*ROUND(AD$7*10000,0)/12000000,0)/100,0)</f>
        <v>0</v>
      </c>
      <c r="AF341" s="24">
        <f>IF(AF340&gt;0,ROUND(AF340+AE341-AD341,2),0)</f>
        <v>0</v>
      </c>
      <c r="AG341" s="24">
        <f>IF(AI340&gt;0,MIN(ROUND(AG$6+IF(AG$5=$C341,$E$5+$E341,0),2),ROUND(AI340+AH341,2)),0)</f>
        <v>0</v>
      </c>
      <c r="AH341" s="24">
        <f>IF(AI340&gt;0,ROUND(ROUND(AI340*100,0)*ROUND(AG$7*10000,0)/12000000,0)/100,0)</f>
        <v>0</v>
      </c>
      <c r="AI341" s="24">
        <f>IF(AI340&gt;0,ROUND(AI340+AH341-AG341,2),0)</f>
        <v>0</v>
      </c>
      <c r="AJ341" s="24">
        <f>IF(AL340&gt;0,MIN(ROUND(AJ$6+IF(AJ$5=$C341,$E$5+$E341,0),2),ROUND(AL340+AK341,2)),0)</f>
        <v>0</v>
      </c>
      <c r="AK341" s="24">
        <f>IF(AL340&gt;0,ROUND(ROUND(AL340*100,0)*ROUND(AJ$7*10000,0)/12000000,0)/100,0)</f>
        <v>0</v>
      </c>
      <c r="AL341" s="24">
        <f>IF(AL340&gt;0,ROUND(AL340+AK341-AJ341,2),0)</f>
        <v>0</v>
      </c>
    </row>
    <row r="342" spans="1:38" x14ac:dyDescent="0.25">
      <c r="A342" s="17" t="str">
        <f>IF(F342&gt;0,332,"")</f>
        <v/>
      </c>
      <c r="B342" s="18" t="str">
        <f>IF(F342&gt;0,EDATE($E$6,332),"")</f>
        <v/>
      </c>
      <c r="C342" s="21">
        <f>IF(H341&gt;0,MIN(IF(K341&gt;0,I$5,99),IF(N341&gt;0,L$5,99),IF(Q341&gt;0,O$5,99),IF(T341&gt;0,R$5,99),IF(W341&gt;0,U$5,99),IF(Z341&gt;0,X$5,99),IF(AC341&gt;0,AA$5,99),IF(AF341&gt;0,AD$5,99),IF(AI341&gt;0,AG$5,99),IF(AL341&gt;0,AJ$5,99)),0)</f>
        <v>0</v>
      </c>
      <c r="D342" t="str">
        <f>IF(C342&gt;0,INDEX($I$4:$AL$4,1,MATCH(C342,$I$5:$AL$5,0)),"")</f>
        <v/>
      </c>
      <c r="E342" s="24">
        <f>ROUND(IF(AND(I$8&gt;0,K341=0),I$6,0)+IF(AND(L$8&gt;0,N341=0),L$6,0)+IF(AND(O$8&gt;0,Q341=0),O$6,0)+IF(AND(R$8&gt;0,T341=0),R$6,0)+IF(AND(U$8&gt;0,W341=0),U$6,0)+IF(AND(X$8&gt;0,Z341=0),X$6,0)+IF(AND(AA$8&gt;0,AC341=0),AA$6,0)+IF(AND(AD$8&gt;0,AF341=0),AD$6,0)+IF(AND(AG$8&gt;0,AI341=0),AG$6,0)+IF(AND(AJ$8&gt;0,AL341=0),AJ$6,0),2)</f>
        <v>330</v>
      </c>
      <c r="F342" s="24">
        <f>ROUND(I342+L342+O342+R342+U342+X342+AA342+AD342+AG342+AJ342,2)</f>
        <v>0</v>
      </c>
      <c r="G342" s="24">
        <f>ROUND(J342+M342+P342+S342+V342+Y342+AB342+AE342+AH342+AK342,2)</f>
        <v>0</v>
      </c>
      <c r="H342" s="24">
        <f>ROUND(K342+N342+Q342+T342+W342+Z342+AC342+AF342+AI342+AL342,2)</f>
        <v>0</v>
      </c>
      <c r="I342" s="24">
        <f>IF(K341&gt;0,MIN(ROUND(I$6+IF(I$5=$C342,$E$5+$E342,0),2),ROUND(K341+J342,2)),0)</f>
        <v>0</v>
      </c>
      <c r="J342" s="24">
        <f>IF(K341&gt;0,ROUND(ROUND(K341*100,0)*ROUND(I$7*10000,0)/12000000,0)/100,0)</f>
        <v>0</v>
      </c>
      <c r="K342" s="24">
        <f>IF(K341&gt;0,ROUND(K341+J342-I342,2),0)</f>
        <v>0</v>
      </c>
      <c r="L342" s="24">
        <f>IF(N341&gt;0,MIN(ROUND(L$6+IF(L$5=$C342,$E$5+$E342,0),2),ROUND(N341+M342,2)),0)</f>
        <v>0</v>
      </c>
      <c r="M342" s="24">
        <f>IF(N341&gt;0,ROUND(ROUND(N341*100,0)*ROUND(L$7*10000,0)/12000000,0)/100,0)</f>
        <v>0</v>
      </c>
      <c r="N342" s="24">
        <f>IF(N341&gt;0,ROUND(N341+M342-L342,2),0)</f>
        <v>0</v>
      </c>
      <c r="O342" s="24">
        <f>IF(Q341&gt;0,MIN(ROUND(O$6+IF(O$5=$C342,$E$5+$E342,0),2),ROUND(Q341+P342,2)),0)</f>
        <v>0</v>
      </c>
      <c r="P342" s="24">
        <f>IF(Q341&gt;0,ROUND(ROUND(Q341*100,0)*ROUND(O$7*10000,0)/12000000,0)/100,0)</f>
        <v>0</v>
      </c>
      <c r="Q342" s="24">
        <f>IF(Q341&gt;0,ROUND(Q341+P342-O342,2),0)</f>
        <v>0</v>
      </c>
      <c r="R342" s="24">
        <f>IF(T341&gt;0,MIN(ROUND(R$6+IF(R$5=$C342,$E$5+$E342,0),2),ROUND(T341+S342,2)),0)</f>
        <v>0</v>
      </c>
      <c r="S342" s="24">
        <f>IF(T341&gt;0,ROUND(ROUND(T341*100,0)*ROUND(R$7*10000,0)/12000000,0)/100,0)</f>
        <v>0</v>
      </c>
      <c r="T342" s="24">
        <f>IF(T341&gt;0,ROUND(T341+S342-R342,2),0)</f>
        <v>0</v>
      </c>
      <c r="U342" s="24">
        <f>IF(W341&gt;0,MIN(ROUND(U$6+IF(U$5=$C342,$E$5+$E342,0),2),ROUND(W341+V342,2)),0)</f>
        <v>0</v>
      </c>
      <c r="V342" s="24">
        <f>IF(W341&gt;0,ROUND(ROUND(W341*100,0)*ROUND(U$7*10000,0)/12000000,0)/100,0)</f>
        <v>0</v>
      </c>
      <c r="W342" s="24">
        <f>IF(W341&gt;0,ROUND(W341+V342-U342,2),0)</f>
        <v>0</v>
      </c>
      <c r="X342" s="24">
        <f>IF(Z341&gt;0,MIN(ROUND(X$6+IF(X$5=$C342,$E$5+$E342,0),2),ROUND(Z341+Y342,2)),0)</f>
        <v>0</v>
      </c>
      <c r="Y342" s="24">
        <f>IF(Z341&gt;0,ROUND(ROUND(Z341*100,0)*ROUND(X$7*10000,0)/12000000,0)/100,0)</f>
        <v>0</v>
      </c>
      <c r="Z342" s="24">
        <f>IF(Z341&gt;0,ROUND(Z341+Y342-X342,2),0)</f>
        <v>0</v>
      </c>
      <c r="AA342" s="24">
        <f>IF(AC341&gt;0,MIN(ROUND(AA$6+IF(AA$5=$C342,$E$5+$E342,0),2),ROUND(AC341+AB342,2)),0)</f>
        <v>0</v>
      </c>
      <c r="AB342" s="24">
        <f>IF(AC341&gt;0,ROUND(ROUND(AC341*100,0)*ROUND(AA$7*10000,0)/12000000,0)/100,0)</f>
        <v>0</v>
      </c>
      <c r="AC342" s="24">
        <f>IF(AC341&gt;0,ROUND(AC341+AB342-AA342,2),0)</f>
        <v>0</v>
      </c>
      <c r="AD342" s="24">
        <f>IF(AF341&gt;0,MIN(ROUND(AD$6+IF(AD$5=$C342,$E$5+$E342,0),2),ROUND(AF341+AE342,2)),0)</f>
        <v>0</v>
      </c>
      <c r="AE342" s="24">
        <f>IF(AF341&gt;0,ROUND(ROUND(AF341*100,0)*ROUND(AD$7*10000,0)/12000000,0)/100,0)</f>
        <v>0</v>
      </c>
      <c r="AF342" s="24">
        <f>IF(AF341&gt;0,ROUND(AF341+AE342-AD342,2),0)</f>
        <v>0</v>
      </c>
      <c r="AG342" s="24">
        <f>IF(AI341&gt;0,MIN(ROUND(AG$6+IF(AG$5=$C342,$E$5+$E342,0),2),ROUND(AI341+AH342,2)),0)</f>
        <v>0</v>
      </c>
      <c r="AH342" s="24">
        <f>IF(AI341&gt;0,ROUND(ROUND(AI341*100,0)*ROUND(AG$7*10000,0)/12000000,0)/100,0)</f>
        <v>0</v>
      </c>
      <c r="AI342" s="24">
        <f>IF(AI341&gt;0,ROUND(AI341+AH342-AG342,2),0)</f>
        <v>0</v>
      </c>
      <c r="AJ342" s="24">
        <f>IF(AL341&gt;0,MIN(ROUND(AJ$6+IF(AJ$5=$C342,$E$5+$E342,0),2),ROUND(AL341+AK342,2)),0)</f>
        <v>0</v>
      </c>
      <c r="AK342" s="24">
        <f>IF(AL341&gt;0,ROUND(ROUND(AL341*100,0)*ROUND(AJ$7*10000,0)/12000000,0)/100,0)</f>
        <v>0</v>
      </c>
      <c r="AL342" s="24">
        <f>IF(AL341&gt;0,ROUND(AL341+AK342-AJ342,2),0)</f>
        <v>0</v>
      </c>
    </row>
    <row r="343" spans="1:38" x14ac:dyDescent="0.25">
      <c r="A343" s="17" t="str">
        <f>IF(F343&gt;0,333,"")</f>
        <v/>
      </c>
      <c r="B343" s="18" t="str">
        <f>IF(F343&gt;0,EDATE($E$6,333),"")</f>
        <v/>
      </c>
      <c r="C343" s="21">
        <f>IF(H342&gt;0,MIN(IF(K342&gt;0,I$5,99),IF(N342&gt;0,L$5,99),IF(Q342&gt;0,O$5,99),IF(T342&gt;0,R$5,99),IF(W342&gt;0,U$5,99),IF(Z342&gt;0,X$5,99),IF(AC342&gt;0,AA$5,99),IF(AF342&gt;0,AD$5,99),IF(AI342&gt;0,AG$5,99),IF(AL342&gt;0,AJ$5,99)),0)</f>
        <v>0</v>
      </c>
      <c r="D343" t="str">
        <f>IF(C343&gt;0,INDEX($I$4:$AL$4,1,MATCH(C343,$I$5:$AL$5,0)),"")</f>
        <v/>
      </c>
      <c r="E343" s="24">
        <f>ROUND(IF(AND(I$8&gt;0,K342=0),I$6,0)+IF(AND(L$8&gt;0,N342=0),L$6,0)+IF(AND(O$8&gt;0,Q342=0),O$6,0)+IF(AND(R$8&gt;0,T342=0),R$6,0)+IF(AND(U$8&gt;0,W342=0),U$6,0)+IF(AND(X$8&gt;0,Z342=0),X$6,0)+IF(AND(AA$8&gt;0,AC342=0),AA$6,0)+IF(AND(AD$8&gt;0,AF342=0),AD$6,0)+IF(AND(AG$8&gt;0,AI342=0),AG$6,0)+IF(AND(AJ$8&gt;0,AL342=0),AJ$6,0),2)</f>
        <v>330</v>
      </c>
      <c r="F343" s="24">
        <f>ROUND(I343+L343+O343+R343+U343+X343+AA343+AD343+AG343+AJ343,2)</f>
        <v>0</v>
      </c>
      <c r="G343" s="24">
        <f>ROUND(J343+M343+P343+S343+V343+Y343+AB343+AE343+AH343+AK343,2)</f>
        <v>0</v>
      </c>
      <c r="H343" s="24">
        <f>ROUND(K343+N343+Q343+T343+W343+Z343+AC343+AF343+AI343+AL343,2)</f>
        <v>0</v>
      </c>
      <c r="I343" s="24">
        <f>IF(K342&gt;0,MIN(ROUND(I$6+IF(I$5=$C343,$E$5+$E343,0),2),ROUND(K342+J343,2)),0)</f>
        <v>0</v>
      </c>
      <c r="J343" s="24">
        <f>IF(K342&gt;0,ROUND(ROUND(K342*100,0)*ROUND(I$7*10000,0)/12000000,0)/100,0)</f>
        <v>0</v>
      </c>
      <c r="K343" s="24">
        <f>IF(K342&gt;0,ROUND(K342+J343-I343,2),0)</f>
        <v>0</v>
      </c>
      <c r="L343" s="24">
        <f>IF(N342&gt;0,MIN(ROUND(L$6+IF(L$5=$C343,$E$5+$E343,0),2),ROUND(N342+M343,2)),0)</f>
        <v>0</v>
      </c>
      <c r="M343" s="24">
        <f>IF(N342&gt;0,ROUND(ROUND(N342*100,0)*ROUND(L$7*10000,0)/12000000,0)/100,0)</f>
        <v>0</v>
      </c>
      <c r="N343" s="24">
        <f>IF(N342&gt;0,ROUND(N342+M343-L343,2),0)</f>
        <v>0</v>
      </c>
      <c r="O343" s="24">
        <f>IF(Q342&gt;0,MIN(ROUND(O$6+IF(O$5=$C343,$E$5+$E343,0),2),ROUND(Q342+P343,2)),0)</f>
        <v>0</v>
      </c>
      <c r="P343" s="24">
        <f>IF(Q342&gt;0,ROUND(ROUND(Q342*100,0)*ROUND(O$7*10000,0)/12000000,0)/100,0)</f>
        <v>0</v>
      </c>
      <c r="Q343" s="24">
        <f>IF(Q342&gt;0,ROUND(Q342+P343-O343,2),0)</f>
        <v>0</v>
      </c>
      <c r="R343" s="24">
        <f>IF(T342&gt;0,MIN(ROUND(R$6+IF(R$5=$C343,$E$5+$E343,0),2),ROUND(T342+S343,2)),0)</f>
        <v>0</v>
      </c>
      <c r="S343" s="24">
        <f>IF(T342&gt;0,ROUND(ROUND(T342*100,0)*ROUND(R$7*10000,0)/12000000,0)/100,0)</f>
        <v>0</v>
      </c>
      <c r="T343" s="24">
        <f>IF(T342&gt;0,ROUND(T342+S343-R343,2),0)</f>
        <v>0</v>
      </c>
      <c r="U343" s="24">
        <f>IF(W342&gt;0,MIN(ROUND(U$6+IF(U$5=$C343,$E$5+$E343,0),2),ROUND(W342+V343,2)),0)</f>
        <v>0</v>
      </c>
      <c r="V343" s="24">
        <f>IF(W342&gt;0,ROUND(ROUND(W342*100,0)*ROUND(U$7*10000,0)/12000000,0)/100,0)</f>
        <v>0</v>
      </c>
      <c r="W343" s="24">
        <f>IF(W342&gt;0,ROUND(W342+V343-U343,2),0)</f>
        <v>0</v>
      </c>
      <c r="X343" s="24">
        <f>IF(Z342&gt;0,MIN(ROUND(X$6+IF(X$5=$C343,$E$5+$E343,0),2),ROUND(Z342+Y343,2)),0)</f>
        <v>0</v>
      </c>
      <c r="Y343" s="24">
        <f>IF(Z342&gt;0,ROUND(ROUND(Z342*100,0)*ROUND(X$7*10000,0)/12000000,0)/100,0)</f>
        <v>0</v>
      </c>
      <c r="Z343" s="24">
        <f>IF(Z342&gt;0,ROUND(Z342+Y343-X343,2),0)</f>
        <v>0</v>
      </c>
      <c r="AA343" s="24">
        <f>IF(AC342&gt;0,MIN(ROUND(AA$6+IF(AA$5=$C343,$E$5+$E343,0),2),ROUND(AC342+AB343,2)),0)</f>
        <v>0</v>
      </c>
      <c r="AB343" s="24">
        <f>IF(AC342&gt;0,ROUND(ROUND(AC342*100,0)*ROUND(AA$7*10000,0)/12000000,0)/100,0)</f>
        <v>0</v>
      </c>
      <c r="AC343" s="24">
        <f>IF(AC342&gt;0,ROUND(AC342+AB343-AA343,2),0)</f>
        <v>0</v>
      </c>
      <c r="AD343" s="24">
        <f>IF(AF342&gt;0,MIN(ROUND(AD$6+IF(AD$5=$C343,$E$5+$E343,0),2),ROUND(AF342+AE343,2)),0)</f>
        <v>0</v>
      </c>
      <c r="AE343" s="24">
        <f>IF(AF342&gt;0,ROUND(ROUND(AF342*100,0)*ROUND(AD$7*10000,0)/12000000,0)/100,0)</f>
        <v>0</v>
      </c>
      <c r="AF343" s="24">
        <f>IF(AF342&gt;0,ROUND(AF342+AE343-AD343,2),0)</f>
        <v>0</v>
      </c>
      <c r="AG343" s="24">
        <f>IF(AI342&gt;0,MIN(ROUND(AG$6+IF(AG$5=$C343,$E$5+$E343,0),2),ROUND(AI342+AH343,2)),0)</f>
        <v>0</v>
      </c>
      <c r="AH343" s="24">
        <f>IF(AI342&gt;0,ROUND(ROUND(AI342*100,0)*ROUND(AG$7*10000,0)/12000000,0)/100,0)</f>
        <v>0</v>
      </c>
      <c r="AI343" s="24">
        <f>IF(AI342&gt;0,ROUND(AI342+AH343-AG343,2),0)</f>
        <v>0</v>
      </c>
      <c r="AJ343" s="24">
        <f>IF(AL342&gt;0,MIN(ROUND(AJ$6+IF(AJ$5=$C343,$E$5+$E343,0),2),ROUND(AL342+AK343,2)),0)</f>
        <v>0</v>
      </c>
      <c r="AK343" s="24">
        <f>IF(AL342&gt;0,ROUND(ROUND(AL342*100,0)*ROUND(AJ$7*10000,0)/12000000,0)/100,0)</f>
        <v>0</v>
      </c>
      <c r="AL343" s="24">
        <f>IF(AL342&gt;0,ROUND(AL342+AK343-AJ343,2),0)</f>
        <v>0</v>
      </c>
    </row>
    <row r="344" spans="1:38" x14ac:dyDescent="0.25">
      <c r="A344" s="17" t="str">
        <f>IF(F344&gt;0,334,"")</f>
        <v/>
      </c>
      <c r="B344" s="18" t="str">
        <f>IF(F344&gt;0,EDATE($E$6,334),"")</f>
        <v/>
      </c>
      <c r="C344" s="21">
        <f>IF(H343&gt;0,MIN(IF(K343&gt;0,I$5,99),IF(N343&gt;0,L$5,99),IF(Q343&gt;0,O$5,99),IF(T343&gt;0,R$5,99),IF(W343&gt;0,U$5,99),IF(Z343&gt;0,X$5,99),IF(AC343&gt;0,AA$5,99),IF(AF343&gt;0,AD$5,99),IF(AI343&gt;0,AG$5,99),IF(AL343&gt;0,AJ$5,99)),0)</f>
        <v>0</v>
      </c>
      <c r="D344" t="str">
        <f>IF(C344&gt;0,INDEX($I$4:$AL$4,1,MATCH(C344,$I$5:$AL$5,0)),"")</f>
        <v/>
      </c>
      <c r="E344" s="24">
        <f>ROUND(IF(AND(I$8&gt;0,K343=0),I$6,0)+IF(AND(L$8&gt;0,N343=0),L$6,0)+IF(AND(O$8&gt;0,Q343=0),O$6,0)+IF(AND(R$8&gt;0,T343=0),R$6,0)+IF(AND(U$8&gt;0,W343=0),U$6,0)+IF(AND(X$8&gt;0,Z343=0),X$6,0)+IF(AND(AA$8&gt;0,AC343=0),AA$6,0)+IF(AND(AD$8&gt;0,AF343=0),AD$6,0)+IF(AND(AG$8&gt;0,AI343=0),AG$6,0)+IF(AND(AJ$8&gt;0,AL343=0),AJ$6,0),2)</f>
        <v>330</v>
      </c>
      <c r="F344" s="24">
        <f>ROUND(I344+L344+O344+R344+U344+X344+AA344+AD344+AG344+AJ344,2)</f>
        <v>0</v>
      </c>
      <c r="G344" s="24">
        <f>ROUND(J344+M344+P344+S344+V344+Y344+AB344+AE344+AH344+AK344,2)</f>
        <v>0</v>
      </c>
      <c r="H344" s="24">
        <f>ROUND(K344+N344+Q344+T344+W344+Z344+AC344+AF344+AI344+AL344,2)</f>
        <v>0</v>
      </c>
      <c r="I344" s="24">
        <f>IF(K343&gt;0,MIN(ROUND(I$6+IF(I$5=$C344,$E$5+$E344,0),2),ROUND(K343+J344,2)),0)</f>
        <v>0</v>
      </c>
      <c r="J344" s="24">
        <f>IF(K343&gt;0,ROUND(ROUND(K343*100,0)*ROUND(I$7*10000,0)/12000000,0)/100,0)</f>
        <v>0</v>
      </c>
      <c r="K344" s="24">
        <f>IF(K343&gt;0,ROUND(K343+J344-I344,2),0)</f>
        <v>0</v>
      </c>
      <c r="L344" s="24">
        <f>IF(N343&gt;0,MIN(ROUND(L$6+IF(L$5=$C344,$E$5+$E344,0),2),ROUND(N343+M344,2)),0)</f>
        <v>0</v>
      </c>
      <c r="M344" s="24">
        <f>IF(N343&gt;0,ROUND(ROUND(N343*100,0)*ROUND(L$7*10000,0)/12000000,0)/100,0)</f>
        <v>0</v>
      </c>
      <c r="N344" s="24">
        <f>IF(N343&gt;0,ROUND(N343+M344-L344,2),0)</f>
        <v>0</v>
      </c>
      <c r="O344" s="24">
        <f>IF(Q343&gt;0,MIN(ROUND(O$6+IF(O$5=$C344,$E$5+$E344,0),2),ROUND(Q343+P344,2)),0)</f>
        <v>0</v>
      </c>
      <c r="P344" s="24">
        <f>IF(Q343&gt;0,ROUND(ROUND(Q343*100,0)*ROUND(O$7*10000,0)/12000000,0)/100,0)</f>
        <v>0</v>
      </c>
      <c r="Q344" s="24">
        <f>IF(Q343&gt;0,ROUND(Q343+P344-O344,2),0)</f>
        <v>0</v>
      </c>
      <c r="R344" s="24">
        <f>IF(T343&gt;0,MIN(ROUND(R$6+IF(R$5=$C344,$E$5+$E344,0),2),ROUND(T343+S344,2)),0)</f>
        <v>0</v>
      </c>
      <c r="S344" s="24">
        <f>IF(T343&gt;0,ROUND(ROUND(T343*100,0)*ROUND(R$7*10000,0)/12000000,0)/100,0)</f>
        <v>0</v>
      </c>
      <c r="T344" s="24">
        <f>IF(T343&gt;0,ROUND(T343+S344-R344,2),0)</f>
        <v>0</v>
      </c>
      <c r="U344" s="24">
        <f>IF(W343&gt;0,MIN(ROUND(U$6+IF(U$5=$C344,$E$5+$E344,0),2),ROUND(W343+V344,2)),0)</f>
        <v>0</v>
      </c>
      <c r="V344" s="24">
        <f>IF(W343&gt;0,ROUND(ROUND(W343*100,0)*ROUND(U$7*10000,0)/12000000,0)/100,0)</f>
        <v>0</v>
      </c>
      <c r="W344" s="24">
        <f>IF(W343&gt;0,ROUND(W343+V344-U344,2),0)</f>
        <v>0</v>
      </c>
      <c r="X344" s="24">
        <f>IF(Z343&gt;0,MIN(ROUND(X$6+IF(X$5=$C344,$E$5+$E344,0),2),ROUND(Z343+Y344,2)),0)</f>
        <v>0</v>
      </c>
      <c r="Y344" s="24">
        <f>IF(Z343&gt;0,ROUND(ROUND(Z343*100,0)*ROUND(X$7*10000,0)/12000000,0)/100,0)</f>
        <v>0</v>
      </c>
      <c r="Z344" s="24">
        <f>IF(Z343&gt;0,ROUND(Z343+Y344-X344,2),0)</f>
        <v>0</v>
      </c>
      <c r="AA344" s="24">
        <f>IF(AC343&gt;0,MIN(ROUND(AA$6+IF(AA$5=$C344,$E$5+$E344,0),2),ROUND(AC343+AB344,2)),0)</f>
        <v>0</v>
      </c>
      <c r="AB344" s="24">
        <f>IF(AC343&gt;0,ROUND(ROUND(AC343*100,0)*ROUND(AA$7*10000,0)/12000000,0)/100,0)</f>
        <v>0</v>
      </c>
      <c r="AC344" s="24">
        <f>IF(AC343&gt;0,ROUND(AC343+AB344-AA344,2),0)</f>
        <v>0</v>
      </c>
      <c r="AD344" s="24">
        <f>IF(AF343&gt;0,MIN(ROUND(AD$6+IF(AD$5=$C344,$E$5+$E344,0),2),ROUND(AF343+AE344,2)),0)</f>
        <v>0</v>
      </c>
      <c r="AE344" s="24">
        <f>IF(AF343&gt;0,ROUND(ROUND(AF343*100,0)*ROUND(AD$7*10000,0)/12000000,0)/100,0)</f>
        <v>0</v>
      </c>
      <c r="AF344" s="24">
        <f>IF(AF343&gt;0,ROUND(AF343+AE344-AD344,2),0)</f>
        <v>0</v>
      </c>
      <c r="AG344" s="24">
        <f>IF(AI343&gt;0,MIN(ROUND(AG$6+IF(AG$5=$C344,$E$5+$E344,0),2),ROUND(AI343+AH344,2)),0)</f>
        <v>0</v>
      </c>
      <c r="AH344" s="24">
        <f>IF(AI343&gt;0,ROUND(ROUND(AI343*100,0)*ROUND(AG$7*10000,0)/12000000,0)/100,0)</f>
        <v>0</v>
      </c>
      <c r="AI344" s="24">
        <f>IF(AI343&gt;0,ROUND(AI343+AH344-AG344,2),0)</f>
        <v>0</v>
      </c>
      <c r="AJ344" s="24">
        <f>IF(AL343&gt;0,MIN(ROUND(AJ$6+IF(AJ$5=$C344,$E$5+$E344,0),2),ROUND(AL343+AK344,2)),0)</f>
        <v>0</v>
      </c>
      <c r="AK344" s="24">
        <f>IF(AL343&gt;0,ROUND(ROUND(AL343*100,0)*ROUND(AJ$7*10000,0)/12000000,0)/100,0)</f>
        <v>0</v>
      </c>
      <c r="AL344" s="24">
        <f>IF(AL343&gt;0,ROUND(AL343+AK344-AJ344,2),0)</f>
        <v>0</v>
      </c>
    </row>
    <row r="345" spans="1:38" x14ac:dyDescent="0.25">
      <c r="A345" s="17" t="str">
        <f>IF(F345&gt;0,335,"")</f>
        <v/>
      </c>
      <c r="B345" s="18" t="str">
        <f>IF(F345&gt;0,EDATE($E$6,335),"")</f>
        <v/>
      </c>
      <c r="C345" s="21">
        <f>IF(H344&gt;0,MIN(IF(K344&gt;0,I$5,99),IF(N344&gt;0,L$5,99),IF(Q344&gt;0,O$5,99),IF(T344&gt;0,R$5,99),IF(W344&gt;0,U$5,99),IF(Z344&gt;0,X$5,99),IF(AC344&gt;0,AA$5,99),IF(AF344&gt;0,AD$5,99),IF(AI344&gt;0,AG$5,99),IF(AL344&gt;0,AJ$5,99)),0)</f>
        <v>0</v>
      </c>
      <c r="D345" t="str">
        <f>IF(C345&gt;0,INDEX($I$4:$AL$4,1,MATCH(C345,$I$5:$AL$5,0)),"")</f>
        <v/>
      </c>
      <c r="E345" s="24">
        <f>ROUND(IF(AND(I$8&gt;0,K344=0),I$6,0)+IF(AND(L$8&gt;0,N344=0),L$6,0)+IF(AND(O$8&gt;0,Q344=0),O$6,0)+IF(AND(R$8&gt;0,T344=0),R$6,0)+IF(AND(U$8&gt;0,W344=0),U$6,0)+IF(AND(X$8&gt;0,Z344=0),X$6,0)+IF(AND(AA$8&gt;0,AC344=0),AA$6,0)+IF(AND(AD$8&gt;0,AF344=0),AD$6,0)+IF(AND(AG$8&gt;0,AI344=0),AG$6,0)+IF(AND(AJ$8&gt;0,AL344=0),AJ$6,0),2)</f>
        <v>330</v>
      </c>
      <c r="F345" s="24">
        <f>ROUND(I345+L345+O345+R345+U345+X345+AA345+AD345+AG345+AJ345,2)</f>
        <v>0</v>
      </c>
      <c r="G345" s="24">
        <f>ROUND(J345+M345+P345+S345+V345+Y345+AB345+AE345+AH345+AK345,2)</f>
        <v>0</v>
      </c>
      <c r="H345" s="24">
        <f>ROUND(K345+N345+Q345+T345+W345+Z345+AC345+AF345+AI345+AL345,2)</f>
        <v>0</v>
      </c>
      <c r="I345" s="24">
        <f>IF(K344&gt;0,MIN(ROUND(I$6+IF(I$5=$C345,$E$5+$E345,0),2),ROUND(K344+J345,2)),0)</f>
        <v>0</v>
      </c>
      <c r="J345" s="24">
        <f>IF(K344&gt;0,ROUND(ROUND(K344*100,0)*ROUND(I$7*10000,0)/12000000,0)/100,0)</f>
        <v>0</v>
      </c>
      <c r="K345" s="24">
        <f>IF(K344&gt;0,ROUND(K344+J345-I345,2),0)</f>
        <v>0</v>
      </c>
      <c r="L345" s="24">
        <f>IF(N344&gt;0,MIN(ROUND(L$6+IF(L$5=$C345,$E$5+$E345,0),2),ROUND(N344+M345,2)),0)</f>
        <v>0</v>
      </c>
      <c r="M345" s="24">
        <f>IF(N344&gt;0,ROUND(ROUND(N344*100,0)*ROUND(L$7*10000,0)/12000000,0)/100,0)</f>
        <v>0</v>
      </c>
      <c r="N345" s="24">
        <f>IF(N344&gt;0,ROUND(N344+M345-L345,2),0)</f>
        <v>0</v>
      </c>
      <c r="O345" s="24">
        <f>IF(Q344&gt;0,MIN(ROUND(O$6+IF(O$5=$C345,$E$5+$E345,0),2),ROUND(Q344+P345,2)),0)</f>
        <v>0</v>
      </c>
      <c r="P345" s="24">
        <f>IF(Q344&gt;0,ROUND(ROUND(Q344*100,0)*ROUND(O$7*10000,0)/12000000,0)/100,0)</f>
        <v>0</v>
      </c>
      <c r="Q345" s="24">
        <f>IF(Q344&gt;0,ROUND(Q344+P345-O345,2),0)</f>
        <v>0</v>
      </c>
      <c r="R345" s="24">
        <f>IF(T344&gt;0,MIN(ROUND(R$6+IF(R$5=$C345,$E$5+$E345,0),2),ROUND(T344+S345,2)),0)</f>
        <v>0</v>
      </c>
      <c r="S345" s="24">
        <f>IF(T344&gt;0,ROUND(ROUND(T344*100,0)*ROUND(R$7*10000,0)/12000000,0)/100,0)</f>
        <v>0</v>
      </c>
      <c r="T345" s="24">
        <f>IF(T344&gt;0,ROUND(T344+S345-R345,2),0)</f>
        <v>0</v>
      </c>
      <c r="U345" s="24">
        <f>IF(W344&gt;0,MIN(ROUND(U$6+IF(U$5=$C345,$E$5+$E345,0),2),ROUND(W344+V345,2)),0)</f>
        <v>0</v>
      </c>
      <c r="V345" s="24">
        <f>IF(W344&gt;0,ROUND(ROUND(W344*100,0)*ROUND(U$7*10000,0)/12000000,0)/100,0)</f>
        <v>0</v>
      </c>
      <c r="W345" s="24">
        <f>IF(W344&gt;0,ROUND(W344+V345-U345,2),0)</f>
        <v>0</v>
      </c>
      <c r="X345" s="24">
        <f>IF(Z344&gt;0,MIN(ROUND(X$6+IF(X$5=$C345,$E$5+$E345,0),2),ROUND(Z344+Y345,2)),0)</f>
        <v>0</v>
      </c>
      <c r="Y345" s="24">
        <f>IF(Z344&gt;0,ROUND(ROUND(Z344*100,0)*ROUND(X$7*10000,0)/12000000,0)/100,0)</f>
        <v>0</v>
      </c>
      <c r="Z345" s="24">
        <f>IF(Z344&gt;0,ROUND(Z344+Y345-X345,2),0)</f>
        <v>0</v>
      </c>
      <c r="AA345" s="24">
        <f>IF(AC344&gt;0,MIN(ROUND(AA$6+IF(AA$5=$C345,$E$5+$E345,0),2),ROUND(AC344+AB345,2)),0)</f>
        <v>0</v>
      </c>
      <c r="AB345" s="24">
        <f>IF(AC344&gt;0,ROUND(ROUND(AC344*100,0)*ROUND(AA$7*10000,0)/12000000,0)/100,0)</f>
        <v>0</v>
      </c>
      <c r="AC345" s="24">
        <f>IF(AC344&gt;0,ROUND(AC344+AB345-AA345,2),0)</f>
        <v>0</v>
      </c>
      <c r="AD345" s="24">
        <f>IF(AF344&gt;0,MIN(ROUND(AD$6+IF(AD$5=$C345,$E$5+$E345,0),2),ROUND(AF344+AE345,2)),0)</f>
        <v>0</v>
      </c>
      <c r="AE345" s="24">
        <f>IF(AF344&gt;0,ROUND(ROUND(AF344*100,0)*ROUND(AD$7*10000,0)/12000000,0)/100,0)</f>
        <v>0</v>
      </c>
      <c r="AF345" s="24">
        <f>IF(AF344&gt;0,ROUND(AF344+AE345-AD345,2),0)</f>
        <v>0</v>
      </c>
      <c r="AG345" s="24">
        <f>IF(AI344&gt;0,MIN(ROUND(AG$6+IF(AG$5=$C345,$E$5+$E345,0),2),ROUND(AI344+AH345,2)),0)</f>
        <v>0</v>
      </c>
      <c r="AH345" s="24">
        <f>IF(AI344&gt;0,ROUND(ROUND(AI344*100,0)*ROUND(AG$7*10000,0)/12000000,0)/100,0)</f>
        <v>0</v>
      </c>
      <c r="AI345" s="24">
        <f>IF(AI344&gt;0,ROUND(AI344+AH345-AG345,2),0)</f>
        <v>0</v>
      </c>
      <c r="AJ345" s="24">
        <f>IF(AL344&gt;0,MIN(ROUND(AJ$6+IF(AJ$5=$C345,$E$5+$E345,0),2),ROUND(AL344+AK345,2)),0)</f>
        <v>0</v>
      </c>
      <c r="AK345" s="24">
        <f>IF(AL344&gt;0,ROUND(ROUND(AL344*100,0)*ROUND(AJ$7*10000,0)/12000000,0)/100,0)</f>
        <v>0</v>
      </c>
      <c r="AL345" s="24">
        <f>IF(AL344&gt;0,ROUND(AL344+AK345-AJ345,2),0)</f>
        <v>0</v>
      </c>
    </row>
    <row r="346" spans="1:38" x14ac:dyDescent="0.25">
      <c r="A346" s="17" t="str">
        <f>IF(F346&gt;0,336,"")</f>
        <v/>
      </c>
      <c r="B346" s="18" t="str">
        <f>IF(F346&gt;0,EDATE($E$6,336),"")</f>
        <v/>
      </c>
      <c r="C346" s="21">
        <f>IF(H345&gt;0,MIN(IF(K345&gt;0,I$5,99),IF(N345&gt;0,L$5,99),IF(Q345&gt;0,O$5,99),IF(T345&gt;0,R$5,99),IF(W345&gt;0,U$5,99),IF(Z345&gt;0,X$5,99),IF(AC345&gt;0,AA$5,99),IF(AF345&gt;0,AD$5,99),IF(AI345&gt;0,AG$5,99),IF(AL345&gt;0,AJ$5,99)),0)</f>
        <v>0</v>
      </c>
      <c r="D346" t="str">
        <f>IF(C346&gt;0,INDEX($I$4:$AL$4,1,MATCH(C346,$I$5:$AL$5,0)),"")</f>
        <v/>
      </c>
      <c r="E346" s="24">
        <f>ROUND(IF(AND(I$8&gt;0,K345=0),I$6,0)+IF(AND(L$8&gt;0,N345=0),L$6,0)+IF(AND(O$8&gt;0,Q345=0),O$6,0)+IF(AND(R$8&gt;0,T345=0),R$6,0)+IF(AND(U$8&gt;0,W345=0),U$6,0)+IF(AND(X$8&gt;0,Z345=0),X$6,0)+IF(AND(AA$8&gt;0,AC345=0),AA$6,0)+IF(AND(AD$8&gt;0,AF345=0),AD$6,0)+IF(AND(AG$8&gt;0,AI345=0),AG$6,0)+IF(AND(AJ$8&gt;0,AL345=0),AJ$6,0),2)</f>
        <v>330</v>
      </c>
      <c r="F346" s="24">
        <f>ROUND(I346+L346+O346+R346+U346+X346+AA346+AD346+AG346+AJ346,2)</f>
        <v>0</v>
      </c>
      <c r="G346" s="24">
        <f>ROUND(J346+M346+P346+S346+V346+Y346+AB346+AE346+AH346+AK346,2)</f>
        <v>0</v>
      </c>
      <c r="H346" s="24">
        <f>ROUND(K346+N346+Q346+T346+W346+Z346+AC346+AF346+AI346+AL346,2)</f>
        <v>0</v>
      </c>
      <c r="I346" s="24">
        <f>IF(K345&gt;0,MIN(ROUND(I$6+IF(I$5=$C346,$E$5+$E346,0),2),ROUND(K345+J346,2)),0)</f>
        <v>0</v>
      </c>
      <c r="J346" s="24">
        <f>IF(K345&gt;0,ROUND(ROUND(K345*100,0)*ROUND(I$7*10000,0)/12000000,0)/100,0)</f>
        <v>0</v>
      </c>
      <c r="K346" s="24">
        <f>IF(K345&gt;0,ROUND(K345+J346-I346,2),0)</f>
        <v>0</v>
      </c>
      <c r="L346" s="24">
        <f>IF(N345&gt;0,MIN(ROUND(L$6+IF(L$5=$C346,$E$5+$E346,0),2),ROUND(N345+M346,2)),0)</f>
        <v>0</v>
      </c>
      <c r="M346" s="24">
        <f>IF(N345&gt;0,ROUND(ROUND(N345*100,0)*ROUND(L$7*10000,0)/12000000,0)/100,0)</f>
        <v>0</v>
      </c>
      <c r="N346" s="24">
        <f>IF(N345&gt;0,ROUND(N345+M346-L346,2),0)</f>
        <v>0</v>
      </c>
      <c r="O346" s="24">
        <f>IF(Q345&gt;0,MIN(ROUND(O$6+IF(O$5=$C346,$E$5+$E346,0),2),ROUND(Q345+P346,2)),0)</f>
        <v>0</v>
      </c>
      <c r="P346" s="24">
        <f>IF(Q345&gt;0,ROUND(ROUND(Q345*100,0)*ROUND(O$7*10000,0)/12000000,0)/100,0)</f>
        <v>0</v>
      </c>
      <c r="Q346" s="24">
        <f>IF(Q345&gt;0,ROUND(Q345+P346-O346,2),0)</f>
        <v>0</v>
      </c>
      <c r="R346" s="24">
        <f>IF(T345&gt;0,MIN(ROUND(R$6+IF(R$5=$C346,$E$5+$E346,0),2),ROUND(T345+S346,2)),0)</f>
        <v>0</v>
      </c>
      <c r="S346" s="24">
        <f>IF(T345&gt;0,ROUND(ROUND(T345*100,0)*ROUND(R$7*10000,0)/12000000,0)/100,0)</f>
        <v>0</v>
      </c>
      <c r="T346" s="24">
        <f>IF(T345&gt;0,ROUND(T345+S346-R346,2),0)</f>
        <v>0</v>
      </c>
      <c r="U346" s="24">
        <f>IF(W345&gt;0,MIN(ROUND(U$6+IF(U$5=$C346,$E$5+$E346,0),2),ROUND(W345+V346,2)),0)</f>
        <v>0</v>
      </c>
      <c r="V346" s="24">
        <f>IF(W345&gt;0,ROUND(ROUND(W345*100,0)*ROUND(U$7*10000,0)/12000000,0)/100,0)</f>
        <v>0</v>
      </c>
      <c r="W346" s="24">
        <f>IF(W345&gt;0,ROUND(W345+V346-U346,2),0)</f>
        <v>0</v>
      </c>
      <c r="X346" s="24">
        <f>IF(Z345&gt;0,MIN(ROUND(X$6+IF(X$5=$C346,$E$5+$E346,0),2),ROUND(Z345+Y346,2)),0)</f>
        <v>0</v>
      </c>
      <c r="Y346" s="24">
        <f>IF(Z345&gt;0,ROUND(ROUND(Z345*100,0)*ROUND(X$7*10000,0)/12000000,0)/100,0)</f>
        <v>0</v>
      </c>
      <c r="Z346" s="24">
        <f>IF(Z345&gt;0,ROUND(Z345+Y346-X346,2),0)</f>
        <v>0</v>
      </c>
      <c r="AA346" s="24">
        <f>IF(AC345&gt;0,MIN(ROUND(AA$6+IF(AA$5=$C346,$E$5+$E346,0),2),ROUND(AC345+AB346,2)),0)</f>
        <v>0</v>
      </c>
      <c r="AB346" s="24">
        <f>IF(AC345&gt;0,ROUND(ROUND(AC345*100,0)*ROUND(AA$7*10000,0)/12000000,0)/100,0)</f>
        <v>0</v>
      </c>
      <c r="AC346" s="24">
        <f>IF(AC345&gt;0,ROUND(AC345+AB346-AA346,2),0)</f>
        <v>0</v>
      </c>
      <c r="AD346" s="24">
        <f>IF(AF345&gt;0,MIN(ROUND(AD$6+IF(AD$5=$C346,$E$5+$E346,0),2),ROUND(AF345+AE346,2)),0)</f>
        <v>0</v>
      </c>
      <c r="AE346" s="24">
        <f>IF(AF345&gt;0,ROUND(ROUND(AF345*100,0)*ROUND(AD$7*10000,0)/12000000,0)/100,0)</f>
        <v>0</v>
      </c>
      <c r="AF346" s="24">
        <f>IF(AF345&gt;0,ROUND(AF345+AE346-AD346,2),0)</f>
        <v>0</v>
      </c>
      <c r="AG346" s="24">
        <f>IF(AI345&gt;0,MIN(ROUND(AG$6+IF(AG$5=$C346,$E$5+$E346,0),2),ROUND(AI345+AH346,2)),0)</f>
        <v>0</v>
      </c>
      <c r="AH346" s="24">
        <f>IF(AI345&gt;0,ROUND(ROUND(AI345*100,0)*ROUND(AG$7*10000,0)/12000000,0)/100,0)</f>
        <v>0</v>
      </c>
      <c r="AI346" s="24">
        <f>IF(AI345&gt;0,ROUND(AI345+AH346-AG346,2),0)</f>
        <v>0</v>
      </c>
      <c r="AJ346" s="24">
        <f>IF(AL345&gt;0,MIN(ROUND(AJ$6+IF(AJ$5=$C346,$E$5+$E346,0),2),ROUND(AL345+AK346,2)),0)</f>
        <v>0</v>
      </c>
      <c r="AK346" s="24">
        <f>IF(AL345&gt;0,ROUND(ROUND(AL345*100,0)*ROUND(AJ$7*10000,0)/12000000,0)/100,0)</f>
        <v>0</v>
      </c>
      <c r="AL346" s="24">
        <f>IF(AL345&gt;0,ROUND(AL345+AK346-AJ346,2),0)</f>
        <v>0</v>
      </c>
    </row>
    <row r="347" spans="1:38" x14ac:dyDescent="0.25">
      <c r="A347" s="17" t="str">
        <f>IF(F347&gt;0,337,"")</f>
        <v/>
      </c>
      <c r="B347" s="18" t="str">
        <f>IF(F347&gt;0,EDATE($E$6,337),"")</f>
        <v/>
      </c>
      <c r="C347" s="21">
        <f>IF(H346&gt;0,MIN(IF(K346&gt;0,I$5,99),IF(N346&gt;0,L$5,99),IF(Q346&gt;0,O$5,99),IF(T346&gt;0,R$5,99),IF(W346&gt;0,U$5,99),IF(Z346&gt;0,X$5,99),IF(AC346&gt;0,AA$5,99),IF(AF346&gt;0,AD$5,99),IF(AI346&gt;0,AG$5,99),IF(AL346&gt;0,AJ$5,99)),0)</f>
        <v>0</v>
      </c>
      <c r="D347" t="str">
        <f>IF(C347&gt;0,INDEX($I$4:$AL$4,1,MATCH(C347,$I$5:$AL$5,0)),"")</f>
        <v/>
      </c>
      <c r="E347" s="24">
        <f>ROUND(IF(AND(I$8&gt;0,K346=0),I$6,0)+IF(AND(L$8&gt;0,N346=0),L$6,0)+IF(AND(O$8&gt;0,Q346=0),O$6,0)+IF(AND(R$8&gt;0,T346=0),R$6,0)+IF(AND(U$8&gt;0,W346=0),U$6,0)+IF(AND(X$8&gt;0,Z346=0),X$6,0)+IF(AND(AA$8&gt;0,AC346=0),AA$6,0)+IF(AND(AD$8&gt;0,AF346=0),AD$6,0)+IF(AND(AG$8&gt;0,AI346=0),AG$6,0)+IF(AND(AJ$8&gt;0,AL346=0),AJ$6,0),2)</f>
        <v>330</v>
      </c>
      <c r="F347" s="24">
        <f>ROUND(I347+L347+O347+R347+U347+X347+AA347+AD347+AG347+AJ347,2)</f>
        <v>0</v>
      </c>
      <c r="G347" s="24">
        <f>ROUND(J347+M347+P347+S347+V347+Y347+AB347+AE347+AH347+AK347,2)</f>
        <v>0</v>
      </c>
      <c r="H347" s="24">
        <f>ROUND(K347+N347+Q347+T347+W347+Z347+AC347+AF347+AI347+AL347,2)</f>
        <v>0</v>
      </c>
      <c r="I347" s="24">
        <f>IF(K346&gt;0,MIN(ROUND(I$6+IF(I$5=$C347,$E$5+$E347,0),2),ROUND(K346+J347,2)),0)</f>
        <v>0</v>
      </c>
      <c r="J347" s="24">
        <f>IF(K346&gt;0,ROUND(ROUND(K346*100,0)*ROUND(I$7*10000,0)/12000000,0)/100,0)</f>
        <v>0</v>
      </c>
      <c r="K347" s="24">
        <f>IF(K346&gt;0,ROUND(K346+J347-I347,2),0)</f>
        <v>0</v>
      </c>
      <c r="L347" s="24">
        <f>IF(N346&gt;0,MIN(ROUND(L$6+IF(L$5=$C347,$E$5+$E347,0),2),ROUND(N346+M347,2)),0)</f>
        <v>0</v>
      </c>
      <c r="M347" s="24">
        <f>IF(N346&gt;0,ROUND(ROUND(N346*100,0)*ROUND(L$7*10000,0)/12000000,0)/100,0)</f>
        <v>0</v>
      </c>
      <c r="N347" s="24">
        <f>IF(N346&gt;0,ROUND(N346+M347-L347,2),0)</f>
        <v>0</v>
      </c>
      <c r="O347" s="24">
        <f>IF(Q346&gt;0,MIN(ROUND(O$6+IF(O$5=$C347,$E$5+$E347,0),2),ROUND(Q346+P347,2)),0)</f>
        <v>0</v>
      </c>
      <c r="P347" s="24">
        <f>IF(Q346&gt;0,ROUND(ROUND(Q346*100,0)*ROUND(O$7*10000,0)/12000000,0)/100,0)</f>
        <v>0</v>
      </c>
      <c r="Q347" s="24">
        <f>IF(Q346&gt;0,ROUND(Q346+P347-O347,2),0)</f>
        <v>0</v>
      </c>
      <c r="R347" s="24">
        <f>IF(T346&gt;0,MIN(ROUND(R$6+IF(R$5=$C347,$E$5+$E347,0),2),ROUND(T346+S347,2)),0)</f>
        <v>0</v>
      </c>
      <c r="S347" s="24">
        <f>IF(T346&gt;0,ROUND(ROUND(T346*100,0)*ROUND(R$7*10000,0)/12000000,0)/100,0)</f>
        <v>0</v>
      </c>
      <c r="T347" s="24">
        <f>IF(T346&gt;0,ROUND(T346+S347-R347,2),0)</f>
        <v>0</v>
      </c>
      <c r="U347" s="24">
        <f>IF(W346&gt;0,MIN(ROUND(U$6+IF(U$5=$C347,$E$5+$E347,0),2),ROUND(W346+V347,2)),0)</f>
        <v>0</v>
      </c>
      <c r="V347" s="24">
        <f>IF(W346&gt;0,ROUND(ROUND(W346*100,0)*ROUND(U$7*10000,0)/12000000,0)/100,0)</f>
        <v>0</v>
      </c>
      <c r="W347" s="24">
        <f>IF(W346&gt;0,ROUND(W346+V347-U347,2),0)</f>
        <v>0</v>
      </c>
      <c r="X347" s="24">
        <f>IF(Z346&gt;0,MIN(ROUND(X$6+IF(X$5=$C347,$E$5+$E347,0),2),ROUND(Z346+Y347,2)),0)</f>
        <v>0</v>
      </c>
      <c r="Y347" s="24">
        <f>IF(Z346&gt;0,ROUND(ROUND(Z346*100,0)*ROUND(X$7*10000,0)/12000000,0)/100,0)</f>
        <v>0</v>
      </c>
      <c r="Z347" s="24">
        <f>IF(Z346&gt;0,ROUND(Z346+Y347-X347,2),0)</f>
        <v>0</v>
      </c>
      <c r="AA347" s="24">
        <f>IF(AC346&gt;0,MIN(ROUND(AA$6+IF(AA$5=$C347,$E$5+$E347,0),2),ROUND(AC346+AB347,2)),0)</f>
        <v>0</v>
      </c>
      <c r="AB347" s="24">
        <f>IF(AC346&gt;0,ROUND(ROUND(AC346*100,0)*ROUND(AA$7*10000,0)/12000000,0)/100,0)</f>
        <v>0</v>
      </c>
      <c r="AC347" s="24">
        <f>IF(AC346&gt;0,ROUND(AC346+AB347-AA347,2),0)</f>
        <v>0</v>
      </c>
      <c r="AD347" s="24">
        <f>IF(AF346&gt;0,MIN(ROUND(AD$6+IF(AD$5=$C347,$E$5+$E347,0),2),ROUND(AF346+AE347,2)),0)</f>
        <v>0</v>
      </c>
      <c r="AE347" s="24">
        <f>IF(AF346&gt;0,ROUND(ROUND(AF346*100,0)*ROUND(AD$7*10000,0)/12000000,0)/100,0)</f>
        <v>0</v>
      </c>
      <c r="AF347" s="24">
        <f>IF(AF346&gt;0,ROUND(AF346+AE347-AD347,2),0)</f>
        <v>0</v>
      </c>
      <c r="AG347" s="24">
        <f>IF(AI346&gt;0,MIN(ROUND(AG$6+IF(AG$5=$C347,$E$5+$E347,0),2),ROUND(AI346+AH347,2)),0)</f>
        <v>0</v>
      </c>
      <c r="AH347" s="24">
        <f>IF(AI346&gt;0,ROUND(ROUND(AI346*100,0)*ROUND(AG$7*10000,0)/12000000,0)/100,0)</f>
        <v>0</v>
      </c>
      <c r="AI347" s="24">
        <f>IF(AI346&gt;0,ROUND(AI346+AH347-AG347,2),0)</f>
        <v>0</v>
      </c>
      <c r="AJ347" s="24">
        <f>IF(AL346&gt;0,MIN(ROUND(AJ$6+IF(AJ$5=$C347,$E$5+$E347,0),2),ROUND(AL346+AK347,2)),0)</f>
        <v>0</v>
      </c>
      <c r="AK347" s="24">
        <f>IF(AL346&gt;0,ROUND(ROUND(AL346*100,0)*ROUND(AJ$7*10000,0)/12000000,0)/100,0)</f>
        <v>0</v>
      </c>
      <c r="AL347" s="24">
        <f>IF(AL346&gt;0,ROUND(AL346+AK347-AJ347,2),0)</f>
        <v>0</v>
      </c>
    </row>
    <row r="348" spans="1:38" x14ac:dyDescent="0.25">
      <c r="A348" s="17" t="str">
        <f>IF(F348&gt;0,338,"")</f>
        <v/>
      </c>
      <c r="B348" s="18" t="str">
        <f>IF(F348&gt;0,EDATE($E$6,338),"")</f>
        <v/>
      </c>
      <c r="C348" s="21">
        <f>IF(H347&gt;0,MIN(IF(K347&gt;0,I$5,99),IF(N347&gt;0,L$5,99),IF(Q347&gt;0,O$5,99),IF(T347&gt;0,R$5,99),IF(W347&gt;0,U$5,99),IF(Z347&gt;0,X$5,99),IF(AC347&gt;0,AA$5,99),IF(AF347&gt;0,AD$5,99),IF(AI347&gt;0,AG$5,99),IF(AL347&gt;0,AJ$5,99)),0)</f>
        <v>0</v>
      </c>
      <c r="D348" t="str">
        <f>IF(C348&gt;0,INDEX($I$4:$AL$4,1,MATCH(C348,$I$5:$AL$5,0)),"")</f>
        <v/>
      </c>
      <c r="E348" s="24">
        <f>ROUND(IF(AND(I$8&gt;0,K347=0),I$6,0)+IF(AND(L$8&gt;0,N347=0),L$6,0)+IF(AND(O$8&gt;0,Q347=0),O$6,0)+IF(AND(R$8&gt;0,T347=0),R$6,0)+IF(AND(U$8&gt;0,W347=0),U$6,0)+IF(AND(X$8&gt;0,Z347=0),X$6,0)+IF(AND(AA$8&gt;0,AC347=0),AA$6,0)+IF(AND(AD$8&gt;0,AF347=0),AD$6,0)+IF(AND(AG$8&gt;0,AI347=0),AG$6,0)+IF(AND(AJ$8&gt;0,AL347=0),AJ$6,0),2)</f>
        <v>330</v>
      </c>
      <c r="F348" s="24">
        <f>ROUND(I348+L348+O348+R348+U348+X348+AA348+AD348+AG348+AJ348,2)</f>
        <v>0</v>
      </c>
      <c r="G348" s="24">
        <f>ROUND(J348+M348+P348+S348+V348+Y348+AB348+AE348+AH348+AK348,2)</f>
        <v>0</v>
      </c>
      <c r="H348" s="24">
        <f>ROUND(K348+N348+Q348+T348+W348+Z348+AC348+AF348+AI348+AL348,2)</f>
        <v>0</v>
      </c>
      <c r="I348" s="24">
        <f>IF(K347&gt;0,MIN(ROUND(I$6+IF(I$5=$C348,$E$5+$E348,0),2),ROUND(K347+J348,2)),0)</f>
        <v>0</v>
      </c>
      <c r="J348" s="24">
        <f>IF(K347&gt;0,ROUND(ROUND(K347*100,0)*ROUND(I$7*10000,0)/12000000,0)/100,0)</f>
        <v>0</v>
      </c>
      <c r="K348" s="24">
        <f>IF(K347&gt;0,ROUND(K347+J348-I348,2),0)</f>
        <v>0</v>
      </c>
      <c r="L348" s="24">
        <f>IF(N347&gt;0,MIN(ROUND(L$6+IF(L$5=$C348,$E$5+$E348,0),2),ROUND(N347+M348,2)),0)</f>
        <v>0</v>
      </c>
      <c r="M348" s="24">
        <f>IF(N347&gt;0,ROUND(ROUND(N347*100,0)*ROUND(L$7*10000,0)/12000000,0)/100,0)</f>
        <v>0</v>
      </c>
      <c r="N348" s="24">
        <f>IF(N347&gt;0,ROUND(N347+M348-L348,2),0)</f>
        <v>0</v>
      </c>
      <c r="O348" s="24">
        <f>IF(Q347&gt;0,MIN(ROUND(O$6+IF(O$5=$C348,$E$5+$E348,0),2),ROUND(Q347+P348,2)),0)</f>
        <v>0</v>
      </c>
      <c r="P348" s="24">
        <f>IF(Q347&gt;0,ROUND(ROUND(Q347*100,0)*ROUND(O$7*10000,0)/12000000,0)/100,0)</f>
        <v>0</v>
      </c>
      <c r="Q348" s="24">
        <f>IF(Q347&gt;0,ROUND(Q347+P348-O348,2),0)</f>
        <v>0</v>
      </c>
      <c r="R348" s="24">
        <f>IF(T347&gt;0,MIN(ROUND(R$6+IF(R$5=$C348,$E$5+$E348,0),2),ROUND(T347+S348,2)),0)</f>
        <v>0</v>
      </c>
      <c r="S348" s="24">
        <f>IF(T347&gt;0,ROUND(ROUND(T347*100,0)*ROUND(R$7*10000,0)/12000000,0)/100,0)</f>
        <v>0</v>
      </c>
      <c r="T348" s="24">
        <f>IF(T347&gt;0,ROUND(T347+S348-R348,2),0)</f>
        <v>0</v>
      </c>
      <c r="U348" s="24">
        <f>IF(W347&gt;0,MIN(ROUND(U$6+IF(U$5=$C348,$E$5+$E348,0),2),ROUND(W347+V348,2)),0)</f>
        <v>0</v>
      </c>
      <c r="V348" s="24">
        <f>IF(W347&gt;0,ROUND(ROUND(W347*100,0)*ROUND(U$7*10000,0)/12000000,0)/100,0)</f>
        <v>0</v>
      </c>
      <c r="W348" s="24">
        <f>IF(W347&gt;0,ROUND(W347+V348-U348,2),0)</f>
        <v>0</v>
      </c>
      <c r="X348" s="24">
        <f>IF(Z347&gt;0,MIN(ROUND(X$6+IF(X$5=$C348,$E$5+$E348,0),2),ROUND(Z347+Y348,2)),0)</f>
        <v>0</v>
      </c>
      <c r="Y348" s="24">
        <f>IF(Z347&gt;0,ROUND(ROUND(Z347*100,0)*ROUND(X$7*10000,0)/12000000,0)/100,0)</f>
        <v>0</v>
      </c>
      <c r="Z348" s="24">
        <f>IF(Z347&gt;0,ROUND(Z347+Y348-X348,2),0)</f>
        <v>0</v>
      </c>
      <c r="AA348" s="24">
        <f>IF(AC347&gt;0,MIN(ROUND(AA$6+IF(AA$5=$C348,$E$5+$E348,0),2),ROUND(AC347+AB348,2)),0)</f>
        <v>0</v>
      </c>
      <c r="AB348" s="24">
        <f>IF(AC347&gt;0,ROUND(ROUND(AC347*100,0)*ROUND(AA$7*10000,0)/12000000,0)/100,0)</f>
        <v>0</v>
      </c>
      <c r="AC348" s="24">
        <f>IF(AC347&gt;0,ROUND(AC347+AB348-AA348,2),0)</f>
        <v>0</v>
      </c>
      <c r="AD348" s="24">
        <f>IF(AF347&gt;0,MIN(ROUND(AD$6+IF(AD$5=$C348,$E$5+$E348,0),2),ROUND(AF347+AE348,2)),0)</f>
        <v>0</v>
      </c>
      <c r="AE348" s="24">
        <f>IF(AF347&gt;0,ROUND(ROUND(AF347*100,0)*ROUND(AD$7*10000,0)/12000000,0)/100,0)</f>
        <v>0</v>
      </c>
      <c r="AF348" s="24">
        <f>IF(AF347&gt;0,ROUND(AF347+AE348-AD348,2),0)</f>
        <v>0</v>
      </c>
      <c r="AG348" s="24">
        <f>IF(AI347&gt;0,MIN(ROUND(AG$6+IF(AG$5=$C348,$E$5+$E348,0),2),ROUND(AI347+AH348,2)),0)</f>
        <v>0</v>
      </c>
      <c r="AH348" s="24">
        <f>IF(AI347&gt;0,ROUND(ROUND(AI347*100,0)*ROUND(AG$7*10000,0)/12000000,0)/100,0)</f>
        <v>0</v>
      </c>
      <c r="AI348" s="24">
        <f>IF(AI347&gt;0,ROUND(AI347+AH348-AG348,2),0)</f>
        <v>0</v>
      </c>
      <c r="AJ348" s="24">
        <f>IF(AL347&gt;0,MIN(ROUND(AJ$6+IF(AJ$5=$C348,$E$5+$E348,0),2),ROUND(AL347+AK348,2)),0)</f>
        <v>0</v>
      </c>
      <c r="AK348" s="24">
        <f>IF(AL347&gt;0,ROUND(ROUND(AL347*100,0)*ROUND(AJ$7*10000,0)/12000000,0)/100,0)</f>
        <v>0</v>
      </c>
      <c r="AL348" s="24">
        <f>IF(AL347&gt;0,ROUND(AL347+AK348-AJ348,2),0)</f>
        <v>0</v>
      </c>
    </row>
    <row r="349" spans="1:38" x14ac:dyDescent="0.25">
      <c r="A349" s="17" t="str">
        <f>IF(F349&gt;0,339,"")</f>
        <v/>
      </c>
      <c r="B349" s="18" t="str">
        <f>IF(F349&gt;0,EDATE($E$6,339),"")</f>
        <v/>
      </c>
      <c r="C349" s="21">
        <f>IF(H348&gt;0,MIN(IF(K348&gt;0,I$5,99),IF(N348&gt;0,L$5,99),IF(Q348&gt;0,O$5,99),IF(T348&gt;0,R$5,99),IF(W348&gt;0,U$5,99),IF(Z348&gt;0,X$5,99),IF(AC348&gt;0,AA$5,99),IF(AF348&gt;0,AD$5,99),IF(AI348&gt;0,AG$5,99),IF(AL348&gt;0,AJ$5,99)),0)</f>
        <v>0</v>
      </c>
      <c r="D349" t="str">
        <f>IF(C349&gt;0,INDEX($I$4:$AL$4,1,MATCH(C349,$I$5:$AL$5,0)),"")</f>
        <v/>
      </c>
      <c r="E349" s="24">
        <f>ROUND(IF(AND(I$8&gt;0,K348=0),I$6,0)+IF(AND(L$8&gt;0,N348=0),L$6,0)+IF(AND(O$8&gt;0,Q348=0),O$6,0)+IF(AND(R$8&gt;0,T348=0),R$6,0)+IF(AND(U$8&gt;0,W348=0),U$6,0)+IF(AND(X$8&gt;0,Z348=0),X$6,0)+IF(AND(AA$8&gt;0,AC348=0),AA$6,0)+IF(AND(AD$8&gt;0,AF348=0),AD$6,0)+IF(AND(AG$8&gt;0,AI348=0),AG$6,0)+IF(AND(AJ$8&gt;0,AL348=0),AJ$6,0),2)</f>
        <v>330</v>
      </c>
      <c r="F349" s="24">
        <f>ROUND(I349+L349+O349+R349+U349+X349+AA349+AD349+AG349+AJ349,2)</f>
        <v>0</v>
      </c>
      <c r="G349" s="24">
        <f>ROUND(J349+M349+P349+S349+V349+Y349+AB349+AE349+AH349+AK349,2)</f>
        <v>0</v>
      </c>
      <c r="H349" s="24">
        <f>ROUND(K349+N349+Q349+T349+W349+Z349+AC349+AF349+AI349+AL349,2)</f>
        <v>0</v>
      </c>
      <c r="I349" s="24">
        <f>IF(K348&gt;0,MIN(ROUND(I$6+IF(I$5=$C349,$E$5+$E349,0),2),ROUND(K348+J349,2)),0)</f>
        <v>0</v>
      </c>
      <c r="J349" s="24">
        <f>IF(K348&gt;0,ROUND(ROUND(K348*100,0)*ROUND(I$7*10000,0)/12000000,0)/100,0)</f>
        <v>0</v>
      </c>
      <c r="K349" s="24">
        <f>IF(K348&gt;0,ROUND(K348+J349-I349,2),0)</f>
        <v>0</v>
      </c>
      <c r="L349" s="24">
        <f>IF(N348&gt;0,MIN(ROUND(L$6+IF(L$5=$C349,$E$5+$E349,0),2),ROUND(N348+M349,2)),0)</f>
        <v>0</v>
      </c>
      <c r="M349" s="24">
        <f>IF(N348&gt;0,ROUND(ROUND(N348*100,0)*ROUND(L$7*10000,0)/12000000,0)/100,0)</f>
        <v>0</v>
      </c>
      <c r="N349" s="24">
        <f>IF(N348&gt;0,ROUND(N348+M349-L349,2),0)</f>
        <v>0</v>
      </c>
      <c r="O349" s="24">
        <f>IF(Q348&gt;0,MIN(ROUND(O$6+IF(O$5=$C349,$E$5+$E349,0),2),ROUND(Q348+P349,2)),0)</f>
        <v>0</v>
      </c>
      <c r="P349" s="24">
        <f>IF(Q348&gt;0,ROUND(ROUND(Q348*100,0)*ROUND(O$7*10000,0)/12000000,0)/100,0)</f>
        <v>0</v>
      </c>
      <c r="Q349" s="24">
        <f>IF(Q348&gt;0,ROUND(Q348+P349-O349,2),0)</f>
        <v>0</v>
      </c>
      <c r="R349" s="24">
        <f>IF(T348&gt;0,MIN(ROUND(R$6+IF(R$5=$C349,$E$5+$E349,0),2),ROUND(T348+S349,2)),0)</f>
        <v>0</v>
      </c>
      <c r="S349" s="24">
        <f>IF(T348&gt;0,ROUND(ROUND(T348*100,0)*ROUND(R$7*10000,0)/12000000,0)/100,0)</f>
        <v>0</v>
      </c>
      <c r="T349" s="24">
        <f>IF(T348&gt;0,ROUND(T348+S349-R349,2),0)</f>
        <v>0</v>
      </c>
      <c r="U349" s="24">
        <f>IF(W348&gt;0,MIN(ROUND(U$6+IF(U$5=$C349,$E$5+$E349,0),2),ROUND(W348+V349,2)),0)</f>
        <v>0</v>
      </c>
      <c r="V349" s="24">
        <f>IF(W348&gt;0,ROUND(ROUND(W348*100,0)*ROUND(U$7*10000,0)/12000000,0)/100,0)</f>
        <v>0</v>
      </c>
      <c r="W349" s="24">
        <f>IF(W348&gt;0,ROUND(W348+V349-U349,2),0)</f>
        <v>0</v>
      </c>
      <c r="X349" s="24">
        <f>IF(Z348&gt;0,MIN(ROUND(X$6+IF(X$5=$C349,$E$5+$E349,0),2),ROUND(Z348+Y349,2)),0)</f>
        <v>0</v>
      </c>
      <c r="Y349" s="24">
        <f>IF(Z348&gt;0,ROUND(ROUND(Z348*100,0)*ROUND(X$7*10000,0)/12000000,0)/100,0)</f>
        <v>0</v>
      </c>
      <c r="Z349" s="24">
        <f>IF(Z348&gt;0,ROUND(Z348+Y349-X349,2),0)</f>
        <v>0</v>
      </c>
      <c r="AA349" s="24">
        <f>IF(AC348&gt;0,MIN(ROUND(AA$6+IF(AA$5=$C349,$E$5+$E349,0),2),ROUND(AC348+AB349,2)),0)</f>
        <v>0</v>
      </c>
      <c r="AB349" s="24">
        <f>IF(AC348&gt;0,ROUND(ROUND(AC348*100,0)*ROUND(AA$7*10000,0)/12000000,0)/100,0)</f>
        <v>0</v>
      </c>
      <c r="AC349" s="24">
        <f>IF(AC348&gt;0,ROUND(AC348+AB349-AA349,2),0)</f>
        <v>0</v>
      </c>
      <c r="AD349" s="24">
        <f>IF(AF348&gt;0,MIN(ROUND(AD$6+IF(AD$5=$C349,$E$5+$E349,0),2),ROUND(AF348+AE349,2)),0)</f>
        <v>0</v>
      </c>
      <c r="AE349" s="24">
        <f>IF(AF348&gt;0,ROUND(ROUND(AF348*100,0)*ROUND(AD$7*10000,0)/12000000,0)/100,0)</f>
        <v>0</v>
      </c>
      <c r="AF349" s="24">
        <f>IF(AF348&gt;0,ROUND(AF348+AE349-AD349,2),0)</f>
        <v>0</v>
      </c>
      <c r="AG349" s="24">
        <f>IF(AI348&gt;0,MIN(ROUND(AG$6+IF(AG$5=$C349,$E$5+$E349,0),2),ROUND(AI348+AH349,2)),0)</f>
        <v>0</v>
      </c>
      <c r="AH349" s="24">
        <f>IF(AI348&gt;0,ROUND(ROUND(AI348*100,0)*ROUND(AG$7*10000,0)/12000000,0)/100,0)</f>
        <v>0</v>
      </c>
      <c r="AI349" s="24">
        <f>IF(AI348&gt;0,ROUND(AI348+AH349-AG349,2),0)</f>
        <v>0</v>
      </c>
      <c r="AJ349" s="24">
        <f>IF(AL348&gt;0,MIN(ROUND(AJ$6+IF(AJ$5=$C349,$E$5+$E349,0),2),ROUND(AL348+AK349,2)),0)</f>
        <v>0</v>
      </c>
      <c r="AK349" s="24">
        <f>IF(AL348&gt;0,ROUND(ROUND(AL348*100,0)*ROUND(AJ$7*10000,0)/12000000,0)/100,0)</f>
        <v>0</v>
      </c>
      <c r="AL349" s="24">
        <f>IF(AL348&gt;0,ROUND(AL348+AK349-AJ349,2),0)</f>
        <v>0</v>
      </c>
    </row>
    <row r="350" spans="1:38" x14ac:dyDescent="0.25">
      <c r="A350" s="17" t="str">
        <f>IF(F350&gt;0,340,"")</f>
        <v/>
      </c>
      <c r="B350" s="18" t="str">
        <f>IF(F350&gt;0,EDATE($E$6,340),"")</f>
        <v/>
      </c>
      <c r="C350" s="21">
        <f>IF(H349&gt;0,MIN(IF(K349&gt;0,I$5,99),IF(N349&gt;0,L$5,99),IF(Q349&gt;0,O$5,99),IF(T349&gt;0,R$5,99),IF(W349&gt;0,U$5,99),IF(Z349&gt;0,X$5,99),IF(AC349&gt;0,AA$5,99),IF(AF349&gt;0,AD$5,99),IF(AI349&gt;0,AG$5,99),IF(AL349&gt;0,AJ$5,99)),0)</f>
        <v>0</v>
      </c>
      <c r="D350" t="str">
        <f>IF(C350&gt;0,INDEX($I$4:$AL$4,1,MATCH(C350,$I$5:$AL$5,0)),"")</f>
        <v/>
      </c>
      <c r="E350" s="24">
        <f>ROUND(IF(AND(I$8&gt;0,K349=0),I$6,0)+IF(AND(L$8&gt;0,N349=0),L$6,0)+IF(AND(O$8&gt;0,Q349=0),O$6,0)+IF(AND(R$8&gt;0,T349=0),R$6,0)+IF(AND(U$8&gt;0,W349=0),U$6,0)+IF(AND(X$8&gt;0,Z349=0),X$6,0)+IF(AND(AA$8&gt;0,AC349=0),AA$6,0)+IF(AND(AD$8&gt;0,AF349=0),AD$6,0)+IF(AND(AG$8&gt;0,AI349=0),AG$6,0)+IF(AND(AJ$8&gt;0,AL349=0),AJ$6,0),2)</f>
        <v>330</v>
      </c>
      <c r="F350" s="24">
        <f>ROUND(I350+L350+O350+R350+U350+X350+AA350+AD350+AG350+AJ350,2)</f>
        <v>0</v>
      </c>
      <c r="G350" s="24">
        <f>ROUND(J350+M350+P350+S350+V350+Y350+AB350+AE350+AH350+AK350,2)</f>
        <v>0</v>
      </c>
      <c r="H350" s="24">
        <f>ROUND(K350+N350+Q350+T350+W350+Z350+AC350+AF350+AI350+AL350,2)</f>
        <v>0</v>
      </c>
      <c r="I350" s="24">
        <f>IF(K349&gt;0,MIN(ROUND(I$6+IF(I$5=$C350,$E$5+$E350,0),2),ROUND(K349+J350,2)),0)</f>
        <v>0</v>
      </c>
      <c r="J350" s="24">
        <f>IF(K349&gt;0,ROUND(ROUND(K349*100,0)*ROUND(I$7*10000,0)/12000000,0)/100,0)</f>
        <v>0</v>
      </c>
      <c r="K350" s="24">
        <f>IF(K349&gt;0,ROUND(K349+J350-I350,2),0)</f>
        <v>0</v>
      </c>
      <c r="L350" s="24">
        <f>IF(N349&gt;0,MIN(ROUND(L$6+IF(L$5=$C350,$E$5+$E350,0),2),ROUND(N349+M350,2)),0)</f>
        <v>0</v>
      </c>
      <c r="M350" s="24">
        <f>IF(N349&gt;0,ROUND(ROUND(N349*100,0)*ROUND(L$7*10000,0)/12000000,0)/100,0)</f>
        <v>0</v>
      </c>
      <c r="N350" s="24">
        <f>IF(N349&gt;0,ROUND(N349+M350-L350,2),0)</f>
        <v>0</v>
      </c>
      <c r="O350" s="24">
        <f>IF(Q349&gt;0,MIN(ROUND(O$6+IF(O$5=$C350,$E$5+$E350,0),2),ROUND(Q349+P350,2)),0)</f>
        <v>0</v>
      </c>
      <c r="P350" s="24">
        <f>IF(Q349&gt;0,ROUND(ROUND(Q349*100,0)*ROUND(O$7*10000,0)/12000000,0)/100,0)</f>
        <v>0</v>
      </c>
      <c r="Q350" s="24">
        <f>IF(Q349&gt;0,ROUND(Q349+P350-O350,2),0)</f>
        <v>0</v>
      </c>
      <c r="R350" s="24">
        <f>IF(T349&gt;0,MIN(ROUND(R$6+IF(R$5=$C350,$E$5+$E350,0),2),ROUND(T349+S350,2)),0)</f>
        <v>0</v>
      </c>
      <c r="S350" s="24">
        <f>IF(T349&gt;0,ROUND(ROUND(T349*100,0)*ROUND(R$7*10000,0)/12000000,0)/100,0)</f>
        <v>0</v>
      </c>
      <c r="T350" s="24">
        <f>IF(T349&gt;0,ROUND(T349+S350-R350,2),0)</f>
        <v>0</v>
      </c>
      <c r="U350" s="24">
        <f>IF(W349&gt;0,MIN(ROUND(U$6+IF(U$5=$C350,$E$5+$E350,0),2),ROUND(W349+V350,2)),0)</f>
        <v>0</v>
      </c>
      <c r="V350" s="24">
        <f>IF(W349&gt;0,ROUND(ROUND(W349*100,0)*ROUND(U$7*10000,0)/12000000,0)/100,0)</f>
        <v>0</v>
      </c>
      <c r="W350" s="24">
        <f>IF(W349&gt;0,ROUND(W349+V350-U350,2),0)</f>
        <v>0</v>
      </c>
      <c r="X350" s="24">
        <f>IF(Z349&gt;0,MIN(ROUND(X$6+IF(X$5=$C350,$E$5+$E350,0),2),ROUND(Z349+Y350,2)),0)</f>
        <v>0</v>
      </c>
      <c r="Y350" s="24">
        <f>IF(Z349&gt;0,ROUND(ROUND(Z349*100,0)*ROUND(X$7*10000,0)/12000000,0)/100,0)</f>
        <v>0</v>
      </c>
      <c r="Z350" s="24">
        <f>IF(Z349&gt;0,ROUND(Z349+Y350-X350,2),0)</f>
        <v>0</v>
      </c>
      <c r="AA350" s="24">
        <f>IF(AC349&gt;0,MIN(ROUND(AA$6+IF(AA$5=$C350,$E$5+$E350,0),2),ROUND(AC349+AB350,2)),0)</f>
        <v>0</v>
      </c>
      <c r="AB350" s="24">
        <f>IF(AC349&gt;0,ROUND(ROUND(AC349*100,0)*ROUND(AA$7*10000,0)/12000000,0)/100,0)</f>
        <v>0</v>
      </c>
      <c r="AC350" s="24">
        <f>IF(AC349&gt;0,ROUND(AC349+AB350-AA350,2),0)</f>
        <v>0</v>
      </c>
      <c r="AD350" s="24">
        <f>IF(AF349&gt;0,MIN(ROUND(AD$6+IF(AD$5=$C350,$E$5+$E350,0),2),ROUND(AF349+AE350,2)),0)</f>
        <v>0</v>
      </c>
      <c r="AE350" s="24">
        <f>IF(AF349&gt;0,ROUND(ROUND(AF349*100,0)*ROUND(AD$7*10000,0)/12000000,0)/100,0)</f>
        <v>0</v>
      </c>
      <c r="AF350" s="24">
        <f>IF(AF349&gt;0,ROUND(AF349+AE350-AD350,2),0)</f>
        <v>0</v>
      </c>
      <c r="AG350" s="24">
        <f>IF(AI349&gt;0,MIN(ROUND(AG$6+IF(AG$5=$C350,$E$5+$E350,0),2),ROUND(AI349+AH350,2)),0)</f>
        <v>0</v>
      </c>
      <c r="AH350" s="24">
        <f>IF(AI349&gt;0,ROUND(ROUND(AI349*100,0)*ROUND(AG$7*10000,0)/12000000,0)/100,0)</f>
        <v>0</v>
      </c>
      <c r="AI350" s="24">
        <f>IF(AI349&gt;0,ROUND(AI349+AH350-AG350,2),0)</f>
        <v>0</v>
      </c>
      <c r="AJ350" s="24">
        <f>IF(AL349&gt;0,MIN(ROUND(AJ$6+IF(AJ$5=$C350,$E$5+$E350,0),2),ROUND(AL349+AK350,2)),0)</f>
        <v>0</v>
      </c>
      <c r="AK350" s="24">
        <f>IF(AL349&gt;0,ROUND(ROUND(AL349*100,0)*ROUND(AJ$7*10000,0)/12000000,0)/100,0)</f>
        <v>0</v>
      </c>
      <c r="AL350" s="24">
        <f>IF(AL349&gt;0,ROUND(AL349+AK350-AJ350,2),0)</f>
        <v>0</v>
      </c>
    </row>
    <row r="351" spans="1:38" x14ac:dyDescent="0.25">
      <c r="A351" s="17" t="str">
        <f>IF(F351&gt;0,341,"")</f>
        <v/>
      </c>
      <c r="B351" s="18" t="str">
        <f>IF(F351&gt;0,EDATE($E$6,341),"")</f>
        <v/>
      </c>
      <c r="C351" s="21">
        <f>IF(H350&gt;0,MIN(IF(K350&gt;0,I$5,99),IF(N350&gt;0,L$5,99),IF(Q350&gt;0,O$5,99),IF(T350&gt;0,R$5,99),IF(W350&gt;0,U$5,99),IF(Z350&gt;0,X$5,99),IF(AC350&gt;0,AA$5,99),IF(AF350&gt;0,AD$5,99),IF(AI350&gt;0,AG$5,99),IF(AL350&gt;0,AJ$5,99)),0)</f>
        <v>0</v>
      </c>
      <c r="D351" t="str">
        <f>IF(C351&gt;0,INDEX($I$4:$AL$4,1,MATCH(C351,$I$5:$AL$5,0)),"")</f>
        <v/>
      </c>
      <c r="E351" s="24">
        <f>ROUND(IF(AND(I$8&gt;0,K350=0),I$6,0)+IF(AND(L$8&gt;0,N350=0),L$6,0)+IF(AND(O$8&gt;0,Q350=0),O$6,0)+IF(AND(R$8&gt;0,T350=0),R$6,0)+IF(AND(U$8&gt;0,W350=0),U$6,0)+IF(AND(X$8&gt;0,Z350=0),X$6,0)+IF(AND(AA$8&gt;0,AC350=0),AA$6,0)+IF(AND(AD$8&gt;0,AF350=0),AD$6,0)+IF(AND(AG$8&gt;0,AI350=0),AG$6,0)+IF(AND(AJ$8&gt;0,AL350=0),AJ$6,0),2)</f>
        <v>330</v>
      </c>
      <c r="F351" s="24">
        <f>ROUND(I351+L351+O351+R351+U351+X351+AA351+AD351+AG351+AJ351,2)</f>
        <v>0</v>
      </c>
      <c r="G351" s="24">
        <f>ROUND(J351+M351+P351+S351+V351+Y351+AB351+AE351+AH351+AK351,2)</f>
        <v>0</v>
      </c>
      <c r="H351" s="24">
        <f>ROUND(K351+N351+Q351+T351+W351+Z351+AC351+AF351+AI351+AL351,2)</f>
        <v>0</v>
      </c>
      <c r="I351" s="24">
        <f>IF(K350&gt;0,MIN(ROUND(I$6+IF(I$5=$C351,$E$5+$E351,0),2),ROUND(K350+J351,2)),0)</f>
        <v>0</v>
      </c>
      <c r="J351" s="24">
        <f>IF(K350&gt;0,ROUND(ROUND(K350*100,0)*ROUND(I$7*10000,0)/12000000,0)/100,0)</f>
        <v>0</v>
      </c>
      <c r="K351" s="24">
        <f>IF(K350&gt;0,ROUND(K350+J351-I351,2),0)</f>
        <v>0</v>
      </c>
      <c r="L351" s="24">
        <f>IF(N350&gt;0,MIN(ROUND(L$6+IF(L$5=$C351,$E$5+$E351,0),2),ROUND(N350+M351,2)),0)</f>
        <v>0</v>
      </c>
      <c r="M351" s="24">
        <f>IF(N350&gt;0,ROUND(ROUND(N350*100,0)*ROUND(L$7*10000,0)/12000000,0)/100,0)</f>
        <v>0</v>
      </c>
      <c r="N351" s="24">
        <f>IF(N350&gt;0,ROUND(N350+M351-L351,2),0)</f>
        <v>0</v>
      </c>
      <c r="O351" s="24">
        <f>IF(Q350&gt;0,MIN(ROUND(O$6+IF(O$5=$C351,$E$5+$E351,0),2),ROUND(Q350+P351,2)),0)</f>
        <v>0</v>
      </c>
      <c r="P351" s="24">
        <f>IF(Q350&gt;0,ROUND(ROUND(Q350*100,0)*ROUND(O$7*10000,0)/12000000,0)/100,0)</f>
        <v>0</v>
      </c>
      <c r="Q351" s="24">
        <f>IF(Q350&gt;0,ROUND(Q350+P351-O351,2),0)</f>
        <v>0</v>
      </c>
      <c r="R351" s="24">
        <f>IF(T350&gt;0,MIN(ROUND(R$6+IF(R$5=$C351,$E$5+$E351,0),2),ROUND(T350+S351,2)),0)</f>
        <v>0</v>
      </c>
      <c r="S351" s="24">
        <f>IF(T350&gt;0,ROUND(ROUND(T350*100,0)*ROUND(R$7*10000,0)/12000000,0)/100,0)</f>
        <v>0</v>
      </c>
      <c r="T351" s="24">
        <f>IF(T350&gt;0,ROUND(T350+S351-R351,2),0)</f>
        <v>0</v>
      </c>
      <c r="U351" s="24">
        <f>IF(W350&gt;0,MIN(ROUND(U$6+IF(U$5=$C351,$E$5+$E351,0),2),ROUND(W350+V351,2)),0)</f>
        <v>0</v>
      </c>
      <c r="V351" s="24">
        <f>IF(W350&gt;0,ROUND(ROUND(W350*100,0)*ROUND(U$7*10000,0)/12000000,0)/100,0)</f>
        <v>0</v>
      </c>
      <c r="W351" s="24">
        <f>IF(W350&gt;0,ROUND(W350+V351-U351,2),0)</f>
        <v>0</v>
      </c>
      <c r="X351" s="24">
        <f>IF(Z350&gt;0,MIN(ROUND(X$6+IF(X$5=$C351,$E$5+$E351,0),2),ROUND(Z350+Y351,2)),0)</f>
        <v>0</v>
      </c>
      <c r="Y351" s="24">
        <f>IF(Z350&gt;0,ROUND(ROUND(Z350*100,0)*ROUND(X$7*10000,0)/12000000,0)/100,0)</f>
        <v>0</v>
      </c>
      <c r="Z351" s="24">
        <f>IF(Z350&gt;0,ROUND(Z350+Y351-X351,2),0)</f>
        <v>0</v>
      </c>
      <c r="AA351" s="24">
        <f>IF(AC350&gt;0,MIN(ROUND(AA$6+IF(AA$5=$C351,$E$5+$E351,0),2),ROUND(AC350+AB351,2)),0)</f>
        <v>0</v>
      </c>
      <c r="AB351" s="24">
        <f>IF(AC350&gt;0,ROUND(ROUND(AC350*100,0)*ROUND(AA$7*10000,0)/12000000,0)/100,0)</f>
        <v>0</v>
      </c>
      <c r="AC351" s="24">
        <f>IF(AC350&gt;0,ROUND(AC350+AB351-AA351,2),0)</f>
        <v>0</v>
      </c>
      <c r="AD351" s="24">
        <f>IF(AF350&gt;0,MIN(ROUND(AD$6+IF(AD$5=$C351,$E$5+$E351,0),2),ROUND(AF350+AE351,2)),0)</f>
        <v>0</v>
      </c>
      <c r="AE351" s="24">
        <f>IF(AF350&gt;0,ROUND(ROUND(AF350*100,0)*ROUND(AD$7*10000,0)/12000000,0)/100,0)</f>
        <v>0</v>
      </c>
      <c r="AF351" s="24">
        <f>IF(AF350&gt;0,ROUND(AF350+AE351-AD351,2),0)</f>
        <v>0</v>
      </c>
      <c r="AG351" s="24">
        <f>IF(AI350&gt;0,MIN(ROUND(AG$6+IF(AG$5=$C351,$E$5+$E351,0),2),ROUND(AI350+AH351,2)),0)</f>
        <v>0</v>
      </c>
      <c r="AH351" s="24">
        <f>IF(AI350&gt;0,ROUND(ROUND(AI350*100,0)*ROUND(AG$7*10000,0)/12000000,0)/100,0)</f>
        <v>0</v>
      </c>
      <c r="AI351" s="24">
        <f>IF(AI350&gt;0,ROUND(AI350+AH351-AG351,2),0)</f>
        <v>0</v>
      </c>
      <c r="AJ351" s="24">
        <f>IF(AL350&gt;0,MIN(ROUND(AJ$6+IF(AJ$5=$C351,$E$5+$E351,0),2),ROUND(AL350+AK351,2)),0)</f>
        <v>0</v>
      </c>
      <c r="AK351" s="24">
        <f>IF(AL350&gt;0,ROUND(ROUND(AL350*100,0)*ROUND(AJ$7*10000,0)/12000000,0)/100,0)</f>
        <v>0</v>
      </c>
      <c r="AL351" s="24">
        <f>IF(AL350&gt;0,ROUND(AL350+AK351-AJ351,2),0)</f>
        <v>0</v>
      </c>
    </row>
    <row r="352" spans="1:38" x14ac:dyDescent="0.25">
      <c r="A352" s="17" t="str">
        <f>IF(F352&gt;0,342,"")</f>
        <v/>
      </c>
      <c r="B352" s="18" t="str">
        <f>IF(F352&gt;0,EDATE($E$6,342),"")</f>
        <v/>
      </c>
      <c r="C352" s="21">
        <f>IF(H351&gt;0,MIN(IF(K351&gt;0,I$5,99),IF(N351&gt;0,L$5,99),IF(Q351&gt;0,O$5,99),IF(T351&gt;0,R$5,99),IF(W351&gt;0,U$5,99),IF(Z351&gt;0,X$5,99),IF(AC351&gt;0,AA$5,99),IF(AF351&gt;0,AD$5,99),IF(AI351&gt;0,AG$5,99),IF(AL351&gt;0,AJ$5,99)),0)</f>
        <v>0</v>
      </c>
      <c r="D352" t="str">
        <f>IF(C352&gt;0,INDEX($I$4:$AL$4,1,MATCH(C352,$I$5:$AL$5,0)),"")</f>
        <v/>
      </c>
      <c r="E352" s="24">
        <f>ROUND(IF(AND(I$8&gt;0,K351=0),I$6,0)+IF(AND(L$8&gt;0,N351=0),L$6,0)+IF(AND(O$8&gt;0,Q351=0),O$6,0)+IF(AND(R$8&gt;0,T351=0),R$6,0)+IF(AND(U$8&gt;0,W351=0),U$6,0)+IF(AND(X$8&gt;0,Z351=0),X$6,0)+IF(AND(AA$8&gt;0,AC351=0),AA$6,0)+IF(AND(AD$8&gt;0,AF351=0),AD$6,0)+IF(AND(AG$8&gt;0,AI351=0),AG$6,0)+IF(AND(AJ$8&gt;0,AL351=0),AJ$6,0),2)</f>
        <v>330</v>
      </c>
      <c r="F352" s="24">
        <f>ROUND(I352+L352+O352+R352+U352+X352+AA352+AD352+AG352+AJ352,2)</f>
        <v>0</v>
      </c>
      <c r="G352" s="24">
        <f>ROUND(J352+M352+P352+S352+V352+Y352+AB352+AE352+AH352+AK352,2)</f>
        <v>0</v>
      </c>
      <c r="H352" s="24">
        <f>ROUND(K352+N352+Q352+T352+W352+Z352+AC352+AF352+AI352+AL352,2)</f>
        <v>0</v>
      </c>
      <c r="I352" s="24">
        <f>IF(K351&gt;0,MIN(ROUND(I$6+IF(I$5=$C352,$E$5+$E352,0),2),ROUND(K351+J352,2)),0)</f>
        <v>0</v>
      </c>
      <c r="J352" s="24">
        <f>IF(K351&gt;0,ROUND(ROUND(K351*100,0)*ROUND(I$7*10000,0)/12000000,0)/100,0)</f>
        <v>0</v>
      </c>
      <c r="K352" s="24">
        <f>IF(K351&gt;0,ROUND(K351+J352-I352,2),0)</f>
        <v>0</v>
      </c>
      <c r="L352" s="24">
        <f>IF(N351&gt;0,MIN(ROUND(L$6+IF(L$5=$C352,$E$5+$E352,0),2),ROUND(N351+M352,2)),0)</f>
        <v>0</v>
      </c>
      <c r="M352" s="24">
        <f>IF(N351&gt;0,ROUND(ROUND(N351*100,0)*ROUND(L$7*10000,0)/12000000,0)/100,0)</f>
        <v>0</v>
      </c>
      <c r="N352" s="24">
        <f>IF(N351&gt;0,ROUND(N351+M352-L352,2),0)</f>
        <v>0</v>
      </c>
      <c r="O352" s="24">
        <f>IF(Q351&gt;0,MIN(ROUND(O$6+IF(O$5=$C352,$E$5+$E352,0),2),ROUND(Q351+P352,2)),0)</f>
        <v>0</v>
      </c>
      <c r="P352" s="24">
        <f>IF(Q351&gt;0,ROUND(ROUND(Q351*100,0)*ROUND(O$7*10000,0)/12000000,0)/100,0)</f>
        <v>0</v>
      </c>
      <c r="Q352" s="24">
        <f>IF(Q351&gt;0,ROUND(Q351+P352-O352,2),0)</f>
        <v>0</v>
      </c>
      <c r="R352" s="24">
        <f>IF(T351&gt;0,MIN(ROUND(R$6+IF(R$5=$C352,$E$5+$E352,0),2),ROUND(T351+S352,2)),0)</f>
        <v>0</v>
      </c>
      <c r="S352" s="24">
        <f>IF(T351&gt;0,ROUND(ROUND(T351*100,0)*ROUND(R$7*10000,0)/12000000,0)/100,0)</f>
        <v>0</v>
      </c>
      <c r="T352" s="24">
        <f>IF(T351&gt;0,ROUND(T351+S352-R352,2),0)</f>
        <v>0</v>
      </c>
      <c r="U352" s="24">
        <f>IF(W351&gt;0,MIN(ROUND(U$6+IF(U$5=$C352,$E$5+$E352,0),2),ROUND(W351+V352,2)),0)</f>
        <v>0</v>
      </c>
      <c r="V352" s="24">
        <f>IF(W351&gt;0,ROUND(ROUND(W351*100,0)*ROUND(U$7*10000,0)/12000000,0)/100,0)</f>
        <v>0</v>
      </c>
      <c r="W352" s="24">
        <f>IF(W351&gt;0,ROUND(W351+V352-U352,2),0)</f>
        <v>0</v>
      </c>
      <c r="X352" s="24">
        <f>IF(Z351&gt;0,MIN(ROUND(X$6+IF(X$5=$C352,$E$5+$E352,0),2),ROUND(Z351+Y352,2)),0)</f>
        <v>0</v>
      </c>
      <c r="Y352" s="24">
        <f>IF(Z351&gt;0,ROUND(ROUND(Z351*100,0)*ROUND(X$7*10000,0)/12000000,0)/100,0)</f>
        <v>0</v>
      </c>
      <c r="Z352" s="24">
        <f>IF(Z351&gt;0,ROUND(Z351+Y352-X352,2),0)</f>
        <v>0</v>
      </c>
      <c r="AA352" s="24">
        <f>IF(AC351&gt;0,MIN(ROUND(AA$6+IF(AA$5=$C352,$E$5+$E352,0),2),ROUND(AC351+AB352,2)),0)</f>
        <v>0</v>
      </c>
      <c r="AB352" s="24">
        <f>IF(AC351&gt;0,ROUND(ROUND(AC351*100,0)*ROUND(AA$7*10000,0)/12000000,0)/100,0)</f>
        <v>0</v>
      </c>
      <c r="AC352" s="24">
        <f>IF(AC351&gt;0,ROUND(AC351+AB352-AA352,2),0)</f>
        <v>0</v>
      </c>
      <c r="AD352" s="24">
        <f>IF(AF351&gt;0,MIN(ROUND(AD$6+IF(AD$5=$C352,$E$5+$E352,0),2),ROUND(AF351+AE352,2)),0)</f>
        <v>0</v>
      </c>
      <c r="AE352" s="24">
        <f>IF(AF351&gt;0,ROUND(ROUND(AF351*100,0)*ROUND(AD$7*10000,0)/12000000,0)/100,0)</f>
        <v>0</v>
      </c>
      <c r="AF352" s="24">
        <f>IF(AF351&gt;0,ROUND(AF351+AE352-AD352,2),0)</f>
        <v>0</v>
      </c>
      <c r="AG352" s="24">
        <f>IF(AI351&gt;0,MIN(ROUND(AG$6+IF(AG$5=$C352,$E$5+$E352,0),2),ROUND(AI351+AH352,2)),0)</f>
        <v>0</v>
      </c>
      <c r="AH352" s="24">
        <f>IF(AI351&gt;0,ROUND(ROUND(AI351*100,0)*ROUND(AG$7*10000,0)/12000000,0)/100,0)</f>
        <v>0</v>
      </c>
      <c r="AI352" s="24">
        <f>IF(AI351&gt;0,ROUND(AI351+AH352-AG352,2),0)</f>
        <v>0</v>
      </c>
      <c r="AJ352" s="24">
        <f>IF(AL351&gt;0,MIN(ROUND(AJ$6+IF(AJ$5=$C352,$E$5+$E352,0),2),ROUND(AL351+AK352,2)),0)</f>
        <v>0</v>
      </c>
      <c r="AK352" s="24">
        <f>IF(AL351&gt;0,ROUND(ROUND(AL351*100,0)*ROUND(AJ$7*10000,0)/12000000,0)/100,0)</f>
        <v>0</v>
      </c>
      <c r="AL352" s="24">
        <f>IF(AL351&gt;0,ROUND(AL351+AK352-AJ352,2),0)</f>
        <v>0</v>
      </c>
    </row>
    <row r="353" spans="1:38" x14ac:dyDescent="0.25">
      <c r="A353" s="17" t="str">
        <f>IF(F353&gt;0,343,"")</f>
        <v/>
      </c>
      <c r="B353" s="18" t="str">
        <f>IF(F353&gt;0,EDATE($E$6,343),"")</f>
        <v/>
      </c>
      <c r="C353" s="21">
        <f>IF(H352&gt;0,MIN(IF(K352&gt;0,I$5,99),IF(N352&gt;0,L$5,99),IF(Q352&gt;0,O$5,99),IF(T352&gt;0,R$5,99),IF(W352&gt;0,U$5,99),IF(Z352&gt;0,X$5,99),IF(AC352&gt;0,AA$5,99),IF(AF352&gt;0,AD$5,99),IF(AI352&gt;0,AG$5,99),IF(AL352&gt;0,AJ$5,99)),0)</f>
        <v>0</v>
      </c>
      <c r="D353" t="str">
        <f>IF(C353&gt;0,INDEX($I$4:$AL$4,1,MATCH(C353,$I$5:$AL$5,0)),"")</f>
        <v/>
      </c>
      <c r="E353" s="24">
        <f>ROUND(IF(AND(I$8&gt;0,K352=0),I$6,0)+IF(AND(L$8&gt;0,N352=0),L$6,0)+IF(AND(O$8&gt;0,Q352=0),O$6,0)+IF(AND(R$8&gt;0,T352=0),R$6,0)+IF(AND(U$8&gt;0,W352=0),U$6,0)+IF(AND(X$8&gt;0,Z352=0),X$6,0)+IF(AND(AA$8&gt;0,AC352=0),AA$6,0)+IF(AND(AD$8&gt;0,AF352=0),AD$6,0)+IF(AND(AG$8&gt;0,AI352=0),AG$6,0)+IF(AND(AJ$8&gt;0,AL352=0),AJ$6,0),2)</f>
        <v>330</v>
      </c>
      <c r="F353" s="24">
        <f>ROUND(I353+L353+O353+R353+U353+X353+AA353+AD353+AG353+AJ353,2)</f>
        <v>0</v>
      </c>
      <c r="G353" s="24">
        <f>ROUND(J353+M353+P353+S353+V353+Y353+AB353+AE353+AH353+AK353,2)</f>
        <v>0</v>
      </c>
      <c r="H353" s="24">
        <f>ROUND(K353+N353+Q353+T353+W353+Z353+AC353+AF353+AI353+AL353,2)</f>
        <v>0</v>
      </c>
      <c r="I353" s="24">
        <f>IF(K352&gt;0,MIN(ROUND(I$6+IF(I$5=$C353,$E$5+$E353,0),2),ROUND(K352+J353,2)),0)</f>
        <v>0</v>
      </c>
      <c r="J353" s="24">
        <f>IF(K352&gt;0,ROUND(ROUND(K352*100,0)*ROUND(I$7*10000,0)/12000000,0)/100,0)</f>
        <v>0</v>
      </c>
      <c r="K353" s="24">
        <f>IF(K352&gt;0,ROUND(K352+J353-I353,2),0)</f>
        <v>0</v>
      </c>
      <c r="L353" s="24">
        <f>IF(N352&gt;0,MIN(ROUND(L$6+IF(L$5=$C353,$E$5+$E353,0),2),ROUND(N352+M353,2)),0)</f>
        <v>0</v>
      </c>
      <c r="M353" s="24">
        <f>IF(N352&gt;0,ROUND(ROUND(N352*100,0)*ROUND(L$7*10000,0)/12000000,0)/100,0)</f>
        <v>0</v>
      </c>
      <c r="N353" s="24">
        <f>IF(N352&gt;0,ROUND(N352+M353-L353,2),0)</f>
        <v>0</v>
      </c>
      <c r="O353" s="24">
        <f>IF(Q352&gt;0,MIN(ROUND(O$6+IF(O$5=$C353,$E$5+$E353,0),2),ROUND(Q352+P353,2)),0)</f>
        <v>0</v>
      </c>
      <c r="P353" s="24">
        <f>IF(Q352&gt;0,ROUND(ROUND(Q352*100,0)*ROUND(O$7*10000,0)/12000000,0)/100,0)</f>
        <v>0</v>
      </c>
      <c r="Q353" s="24">
        <f>IF(Q352&gt;0,ROUND(Q352+P353-O353,2),0)</f>
        <v>0</v>
      </c>
      <c r="R353" s="24">
        <f>IF(T352&gt;0,MIN(ROUND(R$6+IF(R$5=$C353,$E$5+$E353,0),2),ROUND(T352+S353,2)),0)</f>
        <v>0</v>
      </c>
      <c r="S353" s="24">
        <f>IF(T352&gt;0,ROUND(ROUND(T352*100,0)*ROUND(R$7*10000,0)/12000000,0)/100,0)</f>
        <v>0</v>
      </c>
      <c r="T353" s="24">
        <f>IF(T352&gt;0,ROUND(T352+S353-R353,2),0)</f>
        <v>0</v>
      </c>
      <c r="U353" s="24">
        <f>IF(W352&gt;0,MIN(ROUND(U$6+IF(U$5=$C353,$E$5+$E353,0),2),ROUND(W352+V353,2)),0)</f>
        <v>0</v>
      </c>
      <c r="V353" s="24">
        <f>IF(W352&gt;0,ROUND(ROUND(W352*100,0)*ROUND(U$7*10000,0)/12000000,0)/100,0)</f>
        <v>0</v>
      </c>
      <c r="W353" s="24">
        <f>IF(W352&gt;0,ROUND(W352+V353-U353,2),0)</f>
        <v>0</v>
      </c>
      <c r="X353" s="24">
        <f>IF(Z352&gt;0,MIN(ROUND(X$6+IF(X$5=$C353,$E$5+$E353,0),2),ROUND(Z352+Y353,2)),0)</f>
        <v>0</v>
      </c>
      <c r="Y353" s="24">
        <f>IF(Z352&gt;0,ROUND(ROUND(Z352*100,0)*ROUND(X$7*10000,0)/12000000,0)/100,0)</f>
        <v>0</v>
      </c>
      <c r="Z353" s="24">
        <f>IF(Z352&gt;0,ROUND(Z352+Y353-X353,2),0)</f>
        <v>0</v>
      </c>
      <c r="AA353" s="24">
        <f>IF(AC352&gt;0,MIN(ROUND(AA$6+IF(AA$5=$C353,$E$5+$E353,0),2),ROUND(AC352+AB353,2)),0)</f>
        <v>0</v>
      </c>
      <c r="AB353" s="24">
        <f>IF(AC352&gt;0,ROUND(ROUND(AC352*100,0)*ROUND(AA$7*10000,0)/12000000,0)/100,0)</f>
        <v>0</v>
      </c>
      <c r="AC353" s="24">
        <f>IF(AC352&gt;0,ROUND(AC352+AB353-AA353,2),0)</f>
        <v>0</v>
      </c>
      <c r="AD353" s="24">
        <f>IF(AF352&gt;0,MIN(ROUND(AD$6+IF(AD$5=$C353,$E$5+$E353,0),2),ROUND(AF352+AE353,2)),0)</f>
        <v>0</v>
      </c>
      <c r="AE353" s="24">
        <f>IF(AF352&gt;0,ROUND(ROUND(AF352*100,0)*ROUND(AD$7*10000,0)/12000000,0)/100,0)</f>
        <v>0</v>
      </c>
      <c r="AF353" s="24">
        <f>IF(AF352&gt;0,ROUND(AF352+AE353-AD353,2),0)</f>
        <v>0</v>
      </c>
      <c r="AG353" s="24">
        <f>IF(AI352&gt;0,MIN(ROUND(AG$6+IF(AG$5=$C353,$E$5+$E353,0),2),ROUND(AI352+AH353,2)),0)</f>
        <v>0</v>
      </c>
      <c r="AH353" s="24">
        <f>IF(AI352&gt;0,ROUND(ROUND(AI352*100,0)*ROUND(AG$7*10000,0)/12000000,0)/100,0)</f>
        <v>0</v>
      </c>
      <c r="AI353" s="24">
        <f>IF(AI352&gt;0,ROUND(AI352+AH353-AG353,2),0)</f>
        <v>0</v>
      </c>
      <c r="AJ353" s="24">
        <f>IF(AL352&gt;0,MIN(ROUND(AJ$6+IF(AJ$5=$C353,$E$5+$E353,0),2),ROUND(AL352+AK353,2)),0)</f>
        <v>0</v>
      </c>
      <c r="AK353" s="24">
        <f>IF(AL352&gt;0,ROUND(ROUND(AL352*100,0)*ROUND(AJ$7*10000,0)/12000000,0)/100,0)</f>
        <v>0</v>
      </c>
      <c r="AL353" s="24">
        <f>IF(AL352&gt;0,ROUND(AL352+AK353-AJ353,2),0)</f>
        <v>0</v>
      </c>
    </row>
    <row r="354" spans="1:38" x14ac:dyDescent="0.25">
      <c r="A354" s="17" t="str">
        <f>IF(F354&gt;0,344,"")</f>
        <v/>
      </c>
      <c r="B354" s="18" t="str">
        <f>IF(F354&gt;0,EDATE($E$6,344),"")</f>
        <v/>
      </c>
      <c r="C354" s="21">
        <f>IF(H353&gt;0,MIN(IF(K353&gt;0,I$5,99),IF(N353&gt;0,L$5,99),IF(Q353&gt;0,O$5,99),IF(T353&gt;0,R$5,99),IF(W353&gt;0,U$5,99),IF(Z353&gt;0,X$5,99),IF(AC353&gt;0,AA$5,99),IF(AF353&gt;0,AD$5,99),IF(AI353&gt;0,AG$5,99),IF(AL353&gt;0,AJ$5,99)),0)</f>
        <v>0</v>
      </c>
      <c r="D354" t="str">
        <f>IF(C354&gt;0,INDEX($I$4:$AL$4,1,MATCH(C354,$I$5:$AL$5,0)),"")</f>
        <v/>
      </c>
      <c r="E354" s="24">
        <f>ROUND(IF(AND(I$8&gt;0,K353=0),I$6,0)+IF(AND(L$8&gt;0,N353=0),L$6,0)+IF(AND(O$8&gt;0,Q353=0),O$6,0)+IF(AND(R$8&gt;0,T353=0),R$6,0)+IF(AND(U$8&gt;0,W353=0),U$6,0)+IF(AND(X$8&gt;0,Z353=0),X$6,0)+IF(AND(AA$8&gt;0,AC353=0),AA$6,0)+IF(AND(AD$8&gt;0,AF353=0),AD$6,0)+IF(AND(AG$8&gt;0,AI353=0),AG$6,0)+IF(AND(AJ$8&gt;0,AL353=0),AJ$6,0),2)</f>
        <v>330</v>
      </c>
      <c r="F354" s="24">
        <f>ROUND(I354+L354+O354+R354+U354+X354+AA354+AD354+AG354+AJ354,2)</f>
        <v>0</v>
      </c>
      <c r="G354" s="24">
        <f>ROUND(J354+M354+P354+S354+V354+Y354+AB354+AE354+AH354+AK354,2)</f>
        <v>0</v>
      </c>
      <c r="H354" s="24">
        <f>ROUND(K354+N354+Q354+T354+W354+Z354+AC354+AF354+AI354+AL354,2)</f>
        <v>0</v>
      </c>
      <c r="I354" s="24">
        <f>IF(K353&gt;0,MIN(ROUND(I$6+IF(I$5=$C354,$E$5+$E354,0),2),ROUND(K353+J354,2)),0)</f>
        <v>0</v>
      </c>
      <c r="J354" s="24">
        <f>IF(K353&gt;0,ROUND(ROUND(K353*100,0)*ROUND(I$7*10000,0)/12000000,0)/100,0)</f>
        <v>0</v>
      </c>
      <c r="K354" s="24">
        <f>IF(K353&gt;0,ROUND(K353+J354-I354,2),0)</f>
        <v>0</v>
      </c>
      <c r="L354" s="24">
        <f>IF(N353&gt;0,MIN(ROUND(L$6+IF(L$5=$C354,$E$5+$E354,0),2),ROUND(N353+M354,2)),0)</f>
        <v>0</v>
      </c>
      <c r="M354" s="24">
        <f>IF(N353&gt;0,ROUND(ROUND(N353*100,0)*ROUND(L$7*10000,0)/12000000,0)/100,0)</f>
        <v>0</v>
      </c>
      <c r="N354" s="24">
        <f>IF(N353&gt;0,ROUND(N353+M354-L354,2),0)</f>
        <v>0</v>
      </c>
      <c r="O354" s="24">
        <f>IF(Q353&gt;0,MIN(ROUND(O$6+IF(O$5=$C354,$E$5+$E354,0),2),ROUND(Q353+P354,2)),0)</f>
        <v>0</v>
      </c>
      <c r="P354" s="24">
        <f>IF(Q353&gt;0,ROUND(ROUND(Q353*100,0)*ROUND(O$7*10000,0)/12000000,0)/100,0)</f>
        <v>0</v>
      </c>
      <c r="Q354" s="24">
        <f>IF(Q353&gt;0,ROUND(Q353+P354-O354,2),0)</f>
        <v>0</v>
      </c>
      <c r="R354" s="24">
        <f>IF(T353&gt;0,MIN(ROUND(R$6+IF(R$5=$C354,$E$5+$E354,0),2),ROUND(T353+S354,2)),0)</f>
        <v>0</v>
      </c>
      <c r="S354" s="24">
        <f>IF(T353&gt;0,ROUND(ROUND(T353*100,0)*ROUND(R$7*10000,0)/12000000,0)/100,0)</f>
        <v>0</v>
      </c>
      <c r="T354" s="24">
        <f>IF(T353&gt;0,ROUND(T353+S354-R354,2),0)</f>
        <v>0</v>
      </c>
      <c r="U354" s="24">
        <f>IF(W353&gt;0,MIN(ROUND(U$6+IF(U$5=$C354,$E$5+$E354,0),2),ROUND(W353+V354,2)),0)</f>
        <v>0</v>
      </c>
      <c r="V354" s="24">
        <f>IF(W353&gt;0,ROUND(ROUND(W353*100,0)*ROUND(U$7*10000,0)/12000000,0)/100,0)</f>
        <v>0</v>
      </c>
      <c r="W354" s="24">
        <f>IF(W353&gt;0,ROUND(W353+V354-U354,2),0)</f>
        <v>0</v>
      </c>
      <c r="X354" s="24">
        <f>IF(Z353&gt;0,MIN(ROUND(X$6+IF(X$5=$C354,$E$5+$E354,0),2),ROUND(Z353+Y354,2)),0)</f>
        <v>0</v>
      </c>
      <c r="Y354" s="24">
        <f>IF(Z353&gt;0,ROUND(ROUND(Z353*100,0)*ROUND(X$7*10000,0)/12000000,0)/100,0)</f>
        <v>0</v>
      </c>
      <c r="Z354" s="24">
        <f>IF(Z353&gt;0,ROUND(Z353+Y354-X354,2),0)</f>
        <v>0</v>
      </c>
      <c r="AA354" s="24">
        <f>IF(AC353&gt;0,MIN(ROUND(AA$6+IF(AA$5=$C354,$E$5+$E354,0),2),ROUND(AC353+AB354,2)),0)</f>
        <v>0</v>
      </c>
      <c r="AB354" s="24">
        <f>IF(AC353&gt;0,ROUND(ROUND(AC353*100,0)*ROUND(AA$7*10000,0)/12000000,0)/100,0)</f>
        <v>0</v>
      </c>
      <c r="AC354" s="24">
        <f>IF(AC353&gt;0,ROUND(AC353+AB354-AA354,2),0)</f>
        <v>0</v>
      </c>
      <c r="AD354" s="24">
        <f>IF(AF353&gt;0,MIN(ROUND(AD$6+IF(AD$5=$C354,$E$5+$E354,0),2),ROUND(AF353+AE354,2)),0)</f>
        <v>0</v>
      </c>
      <c r="AE354" s="24">
        <f>IF(AF353&gt;0,ROUND(ROUND(AF353*100,0)*ROUND(AD$7*10000,0)/12000000,0)/100,0)</f>
        <v>0</v>
      </c>
      <c r="AF354" s="24">
        <f>IF(AF353&gt;0,ROUND(AF353+AE354-AD354,2),0)</f>
        <v>0</v>
      </c>
      <c r="AG354" s="24">
        <f>IF(AI353&gt;0,MIN(ROUND(AG$6+IF(AG$5=$C354,$E$5+$E354,0),2),ROUND(AI353+AH354,2)),0)</f>
        <v>0</v>
      </c>
      <c r="AH354" s="24">
        <f>IF(AI353&gt;0,ROUND(ROUND(AI353*100,0)*ROUND(AG$7*10000,0)/12000000,0)/100,0)</f>
        <v>0</v>
      </c>
      <c r="AI354" s="24">
        <f>IF(AI353&gt;0,ROUND(AI353+AH354-AG354,2),0)</f>
        <v>0</v>
      </c>
      <c r="AJ354" s="24">
        <f>IF(AL353&gt;0,MIN(ROUND(AJ$6+IF(AJ$5=$C354,$E$5+$E354,0),2),ROUND(AL353+AK354,2)),0)</f>
        <v>0</v>
      </c>
      <c r="AK354" s="24">
        <f>IF(AL353&gt;0,ROUND(ROUND(AL353*100,0)*ROUND(AJ$7*10000,0)/12000000,0)/100,0)</f>
        <v>0</v>
      </c>
      <c r="AL354" s="24">
        <f>IF(AL353&gt;0,ROUND(AL353+AK354-AJ354,2),0)</f>
        <v>0</v>
      </c>
    </row>
    <row r="355" spans="1:38" x14ac:dyDescent="0.25">
      <c r="A355" s="17" t="str">
        <f>IF(F355&gt;0,345,"")</f>
        <v/>
      </c>
      <c r="B355" s="18" t="str">
        <f>IF(F355&gt;0,EDATE($E$6,345),"")</f>
        <v/>
      </c>
      <c r="C355" s="21">
        <f>IF(H354&gt;0,MIN(IF(K354&gt;0,I$5,99),IF(N354&gt;0,L$5,99),IF(Q354&gt;0,O$5,99),IF(T354&gt;0,R$5,99),IF(W354&gt;0,U$5,99),IF(Z354&gt;0,X$5,99),IF(AC354&gt;0,AA$5,99),IF(AF354&gt;0,AD$5,99),IF(AI354&gt;0,AG$5,99),IF(AL354&gt;0,AJ$5,99)),0)</f>
        <v>0</v>
      </c>
      <c r="D355" t="str">
        <f>IF(C355&gt;0,INDEX($I$4:$AL$4,1,MATCH(C355,$I$5:$AL$5,0)),"")</f>
        <v/>
      </c>
      <c r="E355" s="24">
        <f>ROUND(IF(AND(I$8&gt;0,K354=0),I$6,0)+IF(AND(L$8&gt;0,N354=0),L$6,0)+IF(AND(O$8&gt;0,Q354=0),O$6,0)+IF(AND(R$8&gt;0,T354=0),R$6,0)+IF(AND(U$8&gt;0,W354=0),U$6,0)+IF(AND(X$8&gt;0,Z354=0),X$6,0)+IF(AND(AA$8&gt;0,AC354=0),AA$6,0)+IF(AND(AD$8&gt;0,AF354=0),AD$6,0)+IF(AND(AG$8&gt;0,AI354=0),AG$6,0)+IF(AND(AJ$8&gt;0,AL354=0),AJ$6,0),2)</f>
        <v>330</v>
      </c>
      <c r="F355" s="24">
        <f>ROUND(I355+L355+O355+R355+U355+X355+AA355+AD355+AG355+AJ355,2)</f>
        <v>0</v>
      </c>
      <c r="G355" s="24">
        <f>ROUND(J355+M355+P355+S355+V355+Y355+AB355+AE355+AH355+AK355,2)</f>
        <v>0</v>
      </c>
      <c r="H355" s="24">
        <f>ROUND(K355+N355+Q355+T355+W355+Z355+AC355+AF355+AI355+AL355,2)</f>
        <v>0</v>
      </c>
      <c r="I355" s="24">
        <f>IF(K354&gt;0,MIN(ROUND(I$6+IF(I$5=$C355,$E$5+$E355,0),2),ROUND(K354+J355,2)),0)</f>
        <v>0</v>
      </c>
      <c r="J355" s="24">
        <f>IF(K354&gt;0,ROUND(ROUND(K354*100,0)*ROUND(I$7*10000,0)/12000000,0)/100,0)</f>
        <v>0</v>
      </c>
      <c r="K355" s="24">
        <f>IF(K354&gt;0,ROUND(K354+J355-I355,2),0)</f>
        <v>0</v>
      </c>
      <c r="L355" s="24">
        <f>IF(N354&gt;0,MIN(ROUND(L$6+IF(L$5=$C355,$E$5+$E355,0),2),ROUND(N354+M355,2)),0)</f>
        <v>0</v>
      </c>
      <c r="M355" s="24">
        <f>IF(N354&gt;0,ROUND(ROUND(N354*100,0)*ROUND(L$7*10000,0)/12000000,0)/100,0)</f>
        <v>0</v>
      </c>
      <c r="N355" s="24">
        <f>IF(N354&gt;0,ROUND(N354+M355-L355,2),0)</f>
        <v>0</v>
      </c>
      <c r="O355" s="24">
        <f>IF(Q354&gt;0,MIN(ROUND(O$6+IF(O$5=$C355,$E$5+$E355,0),2),ROUND(Q354+P355,2)),0)</f>
        <v>0</v>
      </c>
      <c r="P355" s="24">
        <f>IF(Q354&gt;0,ROUND(ROUND(Q354*100,0)*ROUND(O$7*10000,0)/12000000,0)/100,0)</f>
        <v>0</v>
      </c>
      <c r="Q355" s="24">
        <f>IF(Q354&gt;0,ROUND(Q354+P355-O355,2),0)</f>
        <v>0</v>
      </c>
      <c r="R355" s="24">
        <f>IF(T354&gt;0,MIN(ROUND(R$6+IF(R$5=$C355,$E$5+$E355,0),2),ROUND(T354+S355,2)),0)</f>
        <v>0</v>
      </c>
      <c r="S355" s="24">
        <f>IF(T354&gt;0,ROUND(ROUND(T354*100,0)*ROUND(R$7*10000,0)/12000000,0)/100,0)</f>
        <v>0</v>
      </c>
      <c r="T355" s="24">
        <f>IF(T354&gt;0,ROUND(T354+S355-R355,2),0)</f>
        <v>0</v>
      </c>
      <c r="U355" s="24">
        <f>IF(W354&gt;0,MIN(ROUND(U$6+IF(U$5=$C355,$E$5+$E355,0),2),ROUND(W354+V355,2)),0)</f>
        <v>0</v>
      </c>
      <c r="V355" s="24">
        <f>IF(W354&gt;0,ROUND(ROUND(W354*100,0)*ROUND(U$7*10000,0)/12000000,0)/100,0)</f>
        <v>0</v>
      </c>
      <c r="W355" s="24">
        <f>IF(W354&gt;0,ROUND(W354+V355-U355,2),0)</f>
        <v>0</v>
      </c>
      <c r="X355" s="24">
        <f>IF(Z354&gt;0,MIN(ROUND(X$6+IF(X$5=$C355,$E$5+$E355,0),2),ROUND(Z354+Y355,2)),0)</f>
        <v>0</v>
      </c>
      <c r="Y355" s="24">
        <f>IF(Z354&gt;0,ROUND(ROUND(Z354*100,0)*ROUND(X$7*10000,0)/12000000,0)/100,0)</f>
        <v>0</v>
      </c>
      <c r="Z355" s="24">
        <f>IF(Z354&gt;0,ROUND(Z354+Y355-X355,2),0)</f>
        <v>0</v>
      </c>
      <c r="AA355" s="24">
        <f>IF(AC354&gt;0,MIN(ROUND(AA$6+IF(AA$5=$C355,$E$5+$E355,0),2),ROUND(AC354+AB355,2)),0)</f>
        <v>0</v>
      </c>
      <c r="AB355" s="24">
        <f>IF(AC354&gt;0,ROUND(ROUND(AC354*100,0)*ROUND(AA$7*10000,0)/12000000,0)/100,0)</f>
        <v>0</v>
      </c>
      <c r="AC355" s="24">
        <f>IF(AC354&gt;0,ROUND(AC354+AB355-AA355,2),0)</f>
        <v>0</v>
      </c>
      <c r="AD355" s="24">
        <f>IF(AF354&gt;0,MIN(ROUND(AD$6+IF(AD$5=$C355,$E$5+$E355,0),2),ROUND(AF354+AE355,2)),0)</f>
        <v>0</v>
      </c>
      <c r="AE355" s="24">
        <f>IF(AF354&gt;0,ROUND(ROUND(AF354*100,0)*ROUND(AD$7*10000,0)/12000000,0)/100,0)</f>
        <v>0</v>
      </c>
      <c r="AF355" s="24">
        <f>IF(AF354&gt;0,ROUND(AF354+AE355-AD355,2),0)</f>
        <v>0</v>
      </c>
      <c r="AG355" s="24">
        <f>IF(AI354&gt;0,MIN(ROUND(AG$6+IF(AG$5=$C355,$E$5+$E355,0),2),ROUND(AI354+AH355,2)),0)</f>
        <v>0</v>
      </c>
      <c r="AH355" s="24">
        <f>IF(AI354&gt;0,ROUND(ROUND(AI354*100,0)*ROUND(AG$7*10000,0)/12000000,0)/100,0)</f>
        <v>0</v>
      </c>
      <c r="AI355" s="24">
        <f>IF(AI354&gt;0,ROUND(AI354+AH355-AG355,2),0)</f>
        <v>0</v>
      </c>
      <c r="AJ355" s="24">
        <f>IF(AL354&gt;0,MIN(ROUND(AJ$6+IF(AJ$5=$C355,$E$5+$E355,0),2),ROUND(AL354+AK355,2)),0)</f>
        <v>0</v>
      </c>
      <c r="AK355" s="24">
        <f>IF(AL354&gt;0,ROUND(ROUND(AL354*100,0)*ROUND(AJ$7*10000,0)/12000000,0)/100,0)</f>
        <v>0</v>
      </c>
      <c r="AL355" s="24">
        <f>IF(AL354&gt;0,ROUND(AL354+AK355-AJ355,2),0)</f>
        <v>0</v>
      </c>
    </row>
    <row r="356" spans="1:38" x14ac:dyDescent="0.25">
      <c r="A356" s="17" t="str">
        <f>IF(F356&gt;0,346,"")</f>
        <v/>
      </c>
      <c r="B356" s="18" t="str">
        <f>IF(F356&gt;0,EDATE($E$6,346),"")</f>
        <v/>
      </c>
      <c r="C356" s="21">
        <f>IF(H355&gt;0,MIN(IF(K355&gt;0,I$5,99),IF(N355&gt;0,L$5,99),IF(Q355&gt;0,O$5,99),IF(T355&gt;0,R$5,99),IF(W355&gt;0,U$5,99),IF(Z355&gt;0,X$5,99),IF(AC355&gt;0,AA$5,99),IF(AF355&gt;0,AD$5,99),IF(AI355&gt;0,AG$5,99),IF(AL355&gt;0,AJ$5,99)),0)</f>
        <v>0</v>
      </c>
      <c r="D356" t="str">
        <f>IF(C356&gt;0,INDEX($I$4:$AL$4,1,MATCH(C356,$I$5:$AL$5,0)),"")</f>
        <v/>
      </c>
      <c r="E356" s="24">
        <f>ROUND(IF(AND(I$8&gt;0,K355=0),I$6,0)+IF(AND(L$8&gt;0,N355=0),L$6,0)+IF(AND(O$8&gt;0,Q355=0),O$6,0)+IF(AND(R$8&gt;0,T355=0),R$6,0)+IF(AND(U$8&gt;0,W355=0),U$6,0)+IF(AND(X$8&gt;0,Z355=0),X$6,0)+IF(AND(AA$8&gt;0,AC355=0),AA$6,0)+IF(AND(AD$8&gt;0,AF355=0),AD$6,0)+IF(AND(AG$8&gt;0,AI355=0),AG$6,0)+IF(AND(AJ$8&gt;0,AL355=0),AJ$6,0),2)</f>
        <v>330</v>
      </c>
      <c r="F356" s="24">
        <f>ROUND(I356+L356+O356+R356+U356+X356+AA356+AD356+AG356+AJ356,2)</f>
        <v>0</v>
      </c>
      <c r="G356" s="24">
        <f>ROUND(J356+M356+P356+S356+V356+Y356+AB356+AE356+AH356+AK356,2)</f>
        <v>0</v>
      </c>
      <c r="H356" s="24">
        <f>ROUND(K356+N356+Q356+T356+W356+Z356+AC356+AF356+AI356+AL356,2)</f>
        <v>0</v>
      </c>
      <c r="I356" s="24">
        <f>IF(K355&gt;0,MIN(ROUND(I$6+IF(I$5=$C356,$E$5+$E356,0),2),ROUND(K355+J356,2)),0)</f>
        <v>0</v>
      </c>
      <c r="J356" s="24">
        <f>IF(K355&gt;0,ROUND(ROUND(K355*100,0)*ROUND(I$7*10000,0)/12000000,0)/100,0)</f>
        <v>0</v>
      </c>
      <c r="K356" s="24">
        <f>IF(K355&gt;0,ROUND(K355+J356-I356,2),0)</f>
        <v>0</v>
      </c>
      <c r="L356" s="24">
        <f>IF(N355&gt;0,MIN(ROUND(L$6+IF(L$5=$C356,$E$5+$E356,0),2),ROUND(N355+M356,2)),0)</f>
        <v>0</v>
      </c>
      <c r="M356" s="24">
        <f>IF(N355&gt;0,ROUND(ROUND(N355*100,0)*ROUND(L$7*10000,0)/12000000,0)/100,0)</f>
        <v>0</v>
      </c>
      <c r="N356" s="24">
        <f>IF(N355&gt;0,ROUND(N355+M356-L356,2),0)</f>
        <v>0</v>
      </c>
      <c r="O356" s="24">
        <f>IF(Q355&gt;0,MIN(ROUND(O$6+IF(O$5=$C356,$E$5+$E356,0),2),ROUND(Q355+P356,2)),0)</f>
        <v>0</v>
      </c>
      <c r="P356" s="24">
        <f>IF(Q355&gt;0,ROUND(ROUND(Q355*100,0)*ROUND(O$7*10000,0)/12000000,0)/100,0)</f>
        <v>0</v>
      </c>
      <c r="Q356" s="24">
        <f>IF(Q355&gt;0,ROUND(Q355+P356-O356,2),0)</f>
        <v>0</v>
      </c>
      <c r="R356" s="24">
        <f>IF(T355&gt;0,MIN(ROUND(R$6+IF(R$5=$C356,$E$5+$E356,0),2),ROUND(T355+S356,2)),0)</f>
        <v>0</v>
      </c>
      <c r="S356" s="24">
        <f>IF(T355&gt;0,ROUND(ROUND(T355*100,0)*ROUND(R$7*10000,0)/12000000,0)/100,0)</f>
        <v>0</v>
      </c>
      <c r="T356" s="24">
        <f>IF(T355&gt;0,ROUND(T355+S356-R356,2),0)</f>
        <v>0</v>
      </c>
      <c r="U356" s="24">
        <f>IF(W355&gt;0,MIN(ROUND(U$6+IF(U$5=$C356,$E$5+$E356,0),2),ROUND(W355+V356,2)),0)</f>
        <v>0</v>
      </c>
      <c r="V356" s="24">
        <f>IF(W355&gt;0,ROUND(ROUND(W355*100,0)*ROUND(U$7*10000,0)/12000000,0)/100,0)</f>
        <v>0</v>
      </c>
      <c r="W356" s="24">
        <f>IF(W355&gt;0,ROUND(W355+V356-U356,2),0)</f>
        <v>0</v>
      </c>
      <c r="X356" s="24">
        <f>IF(Z355&gt;0,MIN(ROUND(X$6+IF(X$5=$C356,$E$5+$E356,0),2),ROUND(Z355+Y356,2)),0)</f>
        <v>0</v>
      </c>
      <c r="Y356" s="24">
        <f>IF(Z355&gt;0,ROUND(ROUND(Z355*100,0)*ROUND(X$7*10000,0)/12000000,0)/100,0)</f>
        <v>0</v>
      </c>
      <c r="Z356" s="24">
        <f>IF(Z355&gt;0,ROUND(Z355+Y356-X356,2),0)</f>
        <v>0</v>
      </c>
      <c r="AA356" s="24">
        <f>IF(AC355&gt;0,MIN(ROUND(AA$6+IF(AA$5=$C356,$E$5+$E356,0),2),ROUND(AC355+AB356,2)),0)</f>
        <v>0</v>
      </c>
      <c r="AB356" s="24">
        <f>IF(AC355&gt;0,ROUND(ROUND(AC355*100,0)*ROUND(AA$7*10000,0)/12000000,0)/100,0)</f>
        <v>0</v>
      </c>
      <c r="AC356" s="24">
        <f>IF(AC355&gt;0,ROUND(AC355+AB356-AA356,2),0)</f>
        <v>0</v>
      </c>
      <c r="AD356" s="24">
        <f>IF(AF355&gt;0,MIN(ROUND(AD$6+IF(AD$5=$C356,$E$5+$E356,0),2),ROUND(AF355+AE356,2)),0)</f>
        <v>0</v>
      </c>
      <c r="AE356" s="24">
        <f>IF(AF355&gt;0,ROUND(ROUND(AF355*100,0)*ROUND(AD$7*10000,0)/12000000,0)/100,0)</f>
        <v>0</v>
      </c>
      <c r="AF356" s="24">
        <f>IF(AF355&gt;0,ROUND(AF355+AE356-AD356,2),0)</f>
        <v>0</v>
      </c>
      <c r="AG356" s="24">
        <f>IF(AI355&gt;0,MIN(ROUND(AG$6+IF(AG$5=$C356,$E$5+$E356,0),2),ROUND(AI355+AH356,2)),0)</f>
        <v>0</v>
      </c>
      <c r="AH356" s="24">
        <f>IF(AI355&gt;0,ROUND(ROUND(AI355*100,0)*ROUND(AG$7*10000,0)/12000000,0)/100,0)</f>
        <v>0</v>
      </c>
      <c r="AI356" s="24">
        <f>IF(AI355&gt;0,ROUND(AI355+AH356-AG356,2),0)</f>
        <v>0</v>
      </c>
      <c r="AJ356" s="24">
        <f>IF(AL355&gt;0,MIN(ROUND(AJ$6+IF(AJ$5=$C356,$E$5+$E356,0),2),ROUND(AL355+AK356,2)),0)</f>
        <v>0</v>
      </c>
      <c r="AK356" s="24">
        <f>IF(AL355&gt;0,ROUND(ROUND(AL355*100,0)*ROUND(AJ$7*10000,0)/12000000,0)/100,0)</f>
        <v>0</v>
      </c>
      <c r="AL356" s="24">
        <f>IF(AL355&gt;0,ROUND(AL355+AK356-AJ356,2),0)</f>
        <v>0</v>
      </c>
    </row>
    <row r="357" spans="1:38" x14ac:dyDescent="0.25">
      <c r="A357" s="17" t="str">
        <f>IF(F357&gt;0,347,"")</f>
        <v/>
      </c>
      <c r="B357" s="18" t="str">
        <f>IF(F357&gt;0,EDATE($E$6,347),"")</f>
        <v/>
      </c>
      <c r="C357" s="21">
        <f>IF(H356&gt;0,MIN(IF(K356&gt;0,I$5,99),IF(N356&gt;0,L$5,99),IF(Q356&gt;0,O$5,99),IF(T356&gt;0,R$5,99),IF(W356&gt;0,U$5,99),IF(Z356&gt;0,X$5,99),IF(AC356&gt;0,AA$5,99),IF(AF356&gt;0,AD$5,99),IF(AI356&gt;0,AG$5,99),IF(AL356&gt;0,AJ$5,99)),0)</f>
        <v>0</v>
      </c>
      <c r="D357" t="str">
        <f>IF(C357&gt;0,INDEX($I$4:$AL$4,1,MATCH(C357,$I$5:$AL$5,0)),"")</f>
        <v/>
      </c>
      <c r="E357" s="24">
        <f>ROUND(IF(AND(I$8&gt;0,K356=0),I$6,0)+IF(AND(L$8&gt;0,N356=0),L$6,0)+IF(AND(O$8&gt;0,Q356=0),O$6,0)+IF(AND(R$8&gt;0,T356=0),R$6,0)+IF(AND(U$8&gt;0,W356=0),U$6,0)+IF(AND(X$8&gt;0,Z356=0),X$6,0)+IF(AND(AA$8&gt;0,AC356=0),AA$6,0)+IF(AND(AD$8&gt;0,AF356=0),AD$6,0)+IF(AND(AG$8&gt;0,AI356=0),AG$6,0)+IF(AND(AJ$8&gt;0,AL356=0),AJ$6,0),2)</f>
        <v>330</v>
      </c>
      <c r="F357" s="24">
        <f>ROUND(I357+L357+O357+R357+U357+X357+AA357+AD357+AG357+AJ357,2)</f>
        <v>0</v>
      </c>
      <c r="G357" s="24">
        <f>ROUND(J357+M357+P357+S357+V357+Y357+AB357+AE357+AH357+AK357,2)</f>
        <v>0</v>
      </c>
      <c r="H357" s="24">
        <f>ROUND(K357+N357+Q357+T357+W357+Z357+AC357+AF357+AI357+AL357,2)</f>
        <v>0</v>
      </c>
      <c r="I357" s="24">
        <f>IF(K356&gt;0,MIN(ROUND(I$6+IF(I$5=$C357,$E$5+$E357,0),2),ROUND(K356+J357,2)),0)</f>
        <v>0</v>
      </c>
      <c r="J357" s="24">
        <f>IF(K356&gt;0,ROUND(ROUND(K356*100,0)*ROUND(I$7*10000,0)/12000000,0)/100,0)</f>
        <v>0</v>
      </c>
      <c r="K357" s="24">
        <f>IF(K356&gt;0,ROUND(K356+J357-I357,2),0)</f>
        <v>0</v>
      </c>
      <c r="L357" s="24">
        <f>IF(N356&gt;0,MIN(ROUND(L$6+IF(L$5=$C357,$E$5+$E357,0),2),ROUND(N356+M357,2)),0)</f>
        <v>0</v>
      </c>
      <c r="M357" s="24">
        <f>IF(N356&gt;0,ROUND(ROUND(N356*100,0)*ROUND(L$7*10000,0)/12000000,0)/100,0)</f>
        <v>0</v>
      </c>
      <c r="N357" s="24">
        <f>IF(N356&gt;0,ROUND(N356+M357-L357,2),0)</f>
        <v>0</v>
      </c>
      <c r="O357" s="24">
        <f>IF(Q356&gt;0,MIN(ROUND(O$6+IF(O$5=$C357,$E$5+$E357,0),2),ROUND(Q356+P357,2)),0)</f>
        <v>0</v>
      </c>
      <c r="P357" s="24">
        <f>IF(Q356&gt;0,ROUND(ROUND(Q356*100,0)*ROUND(O$7*10000,0)/12000000,0)/100,0)</f>
        <v>0</v>
      </c>
      <c r="Q357" s="24">
        <f>IF(Q356&gt;0,ROUND(Q356+P357-O357,2),0)</f>
        <v>0</v>
      </c>
      <c r="R357" s="24">
        <f>IF(T356&gt;0,MIN(ROUND(R$6+IF(R$5=$C357,$E$5+$E357,0),2),ROUND(T356+S357,2)),0)</f>
        <v>0</v>
      </c>
      <c r="S357" s="24">
        <f>IF(T356&gt;0,ROUND(ROUND(T356*100,0)*ROUND(R$7*10000,0)/12000000,0)/100,0)</f>
        <v>0</v>
      </c>
      <c r="T357" s="24">
        <f>IF(T356&gt;0,ROUND(T356+S357-R357,2),0)</f>
        <v>0</v>
      </c>
      <c r="U357" s="24">
        <f>IF(W356&gt;0,MIN(ROUND(U$6+IF(U$5=$C357,$E$5+$E357,0),2),ROUND(W356+V357,2)),0)</f>
        <v>0</v>
      </c>
      <c r="V357" s="24">
        <f>IF(W356&gt;0,ROUND(ROUND(W356*100,0)*ROUND(U$7*10000,0)/12000000,0)/100,0)</f>
        <v>0</v>
      </c>
      <c r="W357" s="24">
        <f>IF(W356&gt;0,ROUND(W356+V357-U357,2),0)</f>
        <v>0</v>
      </c>
      <c r="X357" s="24">
        <f>IF(Z356&gt;0,MIN(ROUND(X$6+IF(X$5=$C357,$E$5+$E357,0),2),ROUND(Z356+Y357,2)),0)</f>
        <v>0</v>
      </c>
      <c r="Y357" s="24">
        <f>IF(Z356&gt;0,ROUND(ROUND(Z356*100,0)*ROUND(X$7*10000,0)/12000000,0)/100,0)</f>
        <v>0</v>
      </c>
      <c r="Z357" s="24">
        <f>IF(Z356&gt;0,ROUND(Z356+Y357-X357,2),0)</f>
        <v>0</v>
      </c>
      <c r="AA357" s="24">
        <f>IF(AC356&gt;0,MIN(ROUND(AA$6+IF(AA$5=$C357,$E$5+$E357,0),2),ROUND(AC356+AB357,2)),0)</f>
        <v>0</v>
      </c>
      <c r="AB357" s="24">
        <f>IF(AC356&gt;0,ROUND(ROUND(AC356*100,0)*ROUND(AA$7*10000,0)/12000000,0)/100,0)</f>
        <v>0</v>
      </c>
      <c r="AC357" s="24">
        <f>IF(AC356&gt;0,ROUND(AC356+AB357-AA357,2),0)</f>
        <v>0</v>
      </c>
      <c r="AD357" s="24">
        <f>IF(AF356&gt;0,MIN(ROUND(AD$6+IF(AD$5=$C357,$E$5+$E357,0),2),ROUND(AF356+AE357,2)),0)</f>
        <v>0</v>
      </c>
      <c r="AE357" s="24">
        <f>IF(AF356&gt;0,ROUND(ROUND(AF356*100,0)*ROUND(AD$7*10000,0)/12000000,0)/100,0)</f>
        <v>0</v>
      </c>
      <c r="AF357" s="24">
        <f>IF(AF356&gt;0,ROUND(AF356+AE357-AD357,2),0)</f>
        <v>0</v>
      </c>
      <c r="AG357" s="24">
        <f>IF(AI356&gt;0,MIN(ROUND(AG$6+IF(AG$5=$C357,$E$5+$E357,0),2),ROUND(AI356+AH357,2)),0)</f>
        <v>0</v>
      </c>
      <c r="AH357" s="24">
        <f>IF(AI356&gt;0,ROUND(ROUND(AI356*100,0)*ROUND(AG$7*10000,0)/12000000,0)/100,0)</f>
        <v>0</v>
      </c>
      <c r="AI357" s="24">
        <f>IF(AI356&gt;0,ROUND(AI356+AH357-AG357,2),0)</f>
        <v>0</v>
      </c>
      <c r="AJ357" s="24">
        <f>IF(AL356&gt;0,MIN(ROUND(AJ$6+IF(AJ$5=$C357,$E$5+$E357,0),2),ROUND(AL356+AK357,2)),0)</f>
        <v>0</v>
      </c>
      <c r="AK357" s="24">
        <f>IF(AL356&gt;0,ROUND(ROUND(AL356*100,0)*ROUND(AJ$7*10000,0)/12000000,0)/100,0)</f>
        <v>0</v>
      </c>
      <c r="AL357" s="24">
        <f>IF(AL356&gt;0,ROUND(AL356+AK357-AJ357,2),0)</f>
        <v>0</v>
      </c>
    </row>
    <row r="358" spans="1:38" x14ac:dyDescent="0.25">
      <c r="A358" s="17" t="str">
        <f>IF(F358&gt;0,348,"")</f>
        <v/>
      </c>
      <c r="B358" s="18" t="str">
        <f>IF(F358&gt;0,EDATE($E$6,348),"")</f>
        <v/>
      </c>
      <c r="C358" s="21">
        <f>IF(H357&gt;0,MIN(IF(K357&gt;0,I$5,99),IF(N357&gt;0,L$5,99),IF(Q357&gt;0,O$5,99),IF(T357&gt;0,R$5,99),IF(W357&gt;0,U$5,99),IF(Z357&gt;0,X$5,99),IF(AC357&gt;0,AA$5,99),IF(AF357&gt;0,AD$5,99),IF(AI357&gt;0,AG$5,99),IF(AL357&gt;0,AJ$5,99)),0)</f>
        <v>0</v>
      </c>
      <c r="D358" t="str">
        <f>IF(C358&gt;0,INDEX($I$4:$AL$4,1,MATCH(C358,$I$5:$AL$5,0)),"")</f>
        <v/>
      </c>
      <c r="E358" s="24">
        <f>ROUND(IF(AND(I$8&gt;0,K357=0),I$6,0)+IF(AND(L$8&gt;0,N357=0),L$6,0)+IF(AND(O$8&gt;0,Q357=0),O$6,0)+IF(AND(R$8&gt;0,T357=0),R$6,0)+IF(AND(U$8&gt;0,W357=0),U$6,0)+IF(AND(X$8&gt;0,Z357=0),X$6,0)+IF(AND(AA$8&gt;0,AC357=0),AA$6,0)+IF(AND(AD$8&gt;0,AF357=0),AD$6,0)+IF(AND(AG$8&gt;0,AI357=0),AG$6,0)+IF(AND(AJ$8&gt;0,AL357=0),AJ$6,0),2)</f>
        <v>330</v>
      </c>
      <c r="F358" s="24">
        <f>ROUND(I358+L358+O358+R358+U358+X358+AA358+AD358+AG358+AJ358,2)</f>
        <v>0</v>
      </c>
      <c r="G358" s="24">
        <f>ROUND(J358+M358+P358+S358+V358+Y358+AB358+AE358+AH358+AK358,2)</f>
        <v>0</v>
      </c>
      <c r="H358" s="24">
        <f>ROUND(K358+N358+Q358+T358+W358+Z358+AC358+AF358+AI358+AL358,2)</f>
        <v>0</v>
      </c>
      <c r="I358" s="24">
        <f>IF(K357&gt;0,MIN(ROUND(I$6+IF(I$5=$C358,$E$5+$E358,0),2),ROUND(K357+J358,2)),0)</f>
        <v>0</v>
      </c>
      <c r="J358" s="24">
        <f>IF(K357&gt;0,ROUND(ROUND(K357*100,0)*ROUND(I$7*10000,0)/12000000,0)/100,0)</f>
        <v>0</v>
      </c>
      <c r="K358" s="24">
        <f>IF(K357&gt;0,ROUND(K357+J358-I358,2),0)</f>
        <v>0</v>
      </c>
      <c r="L358" s="24">
        <f>IF(N357&gt;0,MIN(ROUND(L$6+IF(L$5=$C358,$E$5+$E358,0),2),ROUND(N357+M358,2)),0)</f>
        <v>0</v>
      </c>
      <c r="M358" s="24">
        <f>IF(N357&gt;0,ROUND(ROUND(N357*100,0)*ROUND(L$7*10000,0)/12000000,0)/100,0)</f>
        <v>0</v>
      </c>
      <c r="N358" s="24">
        <f>IF(N357&gt;0,ROUND(N357+M358-L358,2),0)</f>
        <v>0</v>
      </c>
      <c r="O358" s="24">
        <f>IF(Q357&gt;0,MIN(ROUND(O$6+IF(O$5=$C358,$E$5+$E358,0),2),ROUND(Q357+P358,2)),0)</f>
        <v>0</v>
      </c>
      <c r="P358" s="24">
        <f>IF(Q357&gt;0,ROUND(ROUND(Q357*100,0)*ROUND(O$7*10000,0)/12000000,0)/100,0)</f>
        <v>0</v>
      </c>
      <c r="Q358" s="24">
        <f>IF(Q357&gt;0,ROUND(Q357+P358-O358,2),0)</f>
        <v>0</v>
      </c>
      <c r="R358" s="24">
        <f>IF(T357&gt;0,MIN(ROUND(R$6+IF(R$5=$C358,$E$5+$E358,0),2),ROUND(T357+S358,2)),0)</f>
        <v>0</v>
      </c>
      <c r="S358" s="24">
        <f>IF(T357&gt;0,ROUND(ROUND(T357*100,0)*ROUND(R$7*10000,0)/12000000,0)/100,0)</f>
        <v>0</v>
      </c>
      <c r="T358" s="24">
        <f>IF(T357&gt;0,ROUND(T357+S358-R358,2),0)</f>
        <v>0</v>
      </c>
      <c r="U358" s="24">
        <f>IF(W357&gt;0,MIN(ROUND(U$6+IF(U$5=$C358,$E$5+$E358,0),2),ROUND(W357+V358,2)),0)</f>
        <v>0</v>
      </c>
      <c r="V358" s="24">
        <f>IF(W357&gt;0,ROUND(ROUND(W357*100,0)*ROUND(U$7*10000,0)/12000000,0)/100,0)</f>
        <v>0</v>
      </c>
      <c r="W358" s="24">
        <f>IF(W357&gt;0,ROUND(W357+V358-U358,2),0)</f>
        <v>0</v>
      </c>
      <c r="X358" s="24">
        <f>IF(Z357&gt;0,MIN(ROUND(X$6+IF(X$5=$C358,$E$5+$E358,0),2),ROUND(Z357+Y358,2)),0)</f>
        <v>0</v>
      </c>
      <c r="Y358" s="24">
        <f>IF(Z357&gt;0,ROUND(ROUND(Z357*100,0)*ROUND(X$7*10000,0)/12000000,0)/100,0)</f>
        <v>0</v>
      </c>
      <c r="Z358" s="24">
        <f>IF(Z357&gt;0,ROUND(Z357+Y358-X358,2),0)</f>
        <v>0</v>
      </c>
      <c r="AA358" s="24">
        <f>IF(AC357&gt;0,MIN(ROUND(AA$6+IF(AA$5=$C358,$E$5+$E358,0),2),ROUND(AC357+AB358,2)),0)</f>
        <v>0</v>
      </c>
      <c r="AB358" s="24">
        <f>IF(AC357&gt;0,ROUND(ROUND(AC357*100,0)*ROUND(AA$7*10000,0)/12000000,0)/100,0)</f>
        <v>0</v>
      </c>
      <c r="AC358" s="24">
        <f>IF(AC357&gt;0,ROUND(AC357+AB358-AA358,2),0)</f>
        <v>0</v>
      </c>
      <c r="AD358" s="24">
        <f>IF(AF357&gt;0,MIN(ROUND(AD$6+IF(AD$5=$C358,$E$5+$E358,0),2),ROUND(AF357+AE358,2)),0)</f>
        <v>0</v>
      </c>
      <c r="AE358" s="24">
        <f>IF(AF357&gt;0,ROUND(ROUND(AF357*100,0)*ROUND(AD$7*10000,0)/12000000,0)/100,0)</f>
        <v>0</v>
      </c>
      <c r="AF358" s="24">
        <f>IF(AF357&gt;0,ROUND(AF357+AE358-AD358,2),0)</f>
        <v>0</v>
      </c>
      <c r="AG358" s="24">
        <f>IF(AI357&gt;0,MIN(ROUND(AG$6+IF(AG$5=$C358,$E$5+$E358,0),2),ROUND(AI357+AH358,2)),0)</f>
        <v>0</v>
      </c>
      <c r="AH358" s="24">
        <f>IF(AI357&gt;0,ROUND(ROUND(AI357*100,0)*ROUND(AG$7*10000,0)/12000000,0)/100,0)</f>
        <v>0</v>
      </c>
      <c r="AI358" s="24">
        <f>IF(AI357&gt;0,ROUND(AI357+AH358-AG358,2),0)</f>
        <v>0</v>
      </c>
      <c r="AJ358" s="24">
        <f>IF(AL357&gt;0,MIN(ROUND(AJ$6+IF(AJ$5=$C358,$E$5+$E358,0),2),ROUND(AL357+AK358,2)),0)</f>
        <v>0</v>
      </c>
      <c r="AK358" s="24">
        <f>IF(AL357&gt;0,ROUND(ROUND(AL357*100,0)*ROUND(AJ$7*10000,0)/12000000,0)/100,0)</f>
        <v>0</v>
      </c>
      <c r="AL358" s="24">
        <f>IF(AL357&gt;0,ROUND(AL357+AK358-AJ358,2),0)</f>
        <v>0</v>
      </c>
    </row>
    <row r="359" spans="1:38" x14ac:dyDescent="0.25">
      <c r="A359" s="17" t="str">
        <f>IF(F359&gt;0,349,"")</f>
        <v/>
      </c>
      <c r="B359" s="18" t="str">
        <f>IF(F359&gt;0,EDATE($E$6,349),"")</f>
        <v/>
      </c>
      <c r="C359" s="21">
        <f>IF(H358&gt;0,MIN(IF(K358&gt;0,I$5,99),IF(N358&gt;0,L$5,99),IF(Q358&gt;0,O$5,99),IF(T358&gt;0,R$5,99),IF(W358&gt;0,U$5,99),IF(Z358&gt;0,X$5,99),IF(AC358&gt;0,AA$5,99),IF(AF358&gt;0,AD$5,99),IF(AI358&gt;0,AG$5,99),IF(AL358&gt;0,AJ$5,99)),0)</f>
        <v>0</v>
      </c>
      <c r="D359" t="str">
        <f>IF(C359&gt;0,INDEX($I$4:$AL$4,1,MATCH(C359,$I$5:$AL$5,0)),"")</f>
        <v/>
      </c>
      <c r="E359" s="24">
        <f>ROUND(IF(AND(I$8&gt;0,K358=0),I$6,0)+IF(AND(L$8&gt;0,N358=0),L$6,0)+IF(AND(O$8&gt;0,Q358=0),O$6,0)+IF(AND(R$8&gt;0,T358=0),R$6,0)+IF(AND(U$8&gt;0,W358=0),U$6,0)+IF(AND(X$8&gt;0,Z358=0),X$6,0)+IF(AND(AA$8&gt;0,AC358=0),AA$6,0)+IF(AND(AD$8&gt;0,AF358=0),AD$6,0)+IF(AND(AG$8&gt;0,AI358=0),AG$6,0)+IF(AND(AJ$8&gt;0,AL358=0),AJ$6,0),2)</f>
        <v>330</v>
      </c>
      <c r="F359" s="24">
        <f>ROUND(I359+L359+O359+R359+U359+X359+AA359+AD359+AG359+AJ359,2)</f>
        <v>0</v>
      </c>
      <c r="G359" s="24">
        <f>ROUND(J359+M359+P359+S359+V359+Y359+AB359+AE359+AH359+AK359,2)</f>
        <v>0</v>
      </c>
      <c r="H359" s="24">
        <f>ROUND(K359+N359+Q359+T359+W359+Z359+AC359+AF359+AI359+AL359,2)</f>
        <v>0</v>
      </c>
      <c r="I359" s="24">
        <f>IF(K358&gt;0,MIN(ROUND(I$6+IF(I$5=$C359,$E$5+$E359,0),2),ROUND(K358+J359,2)),0)</f>
        <v>0</v>
      </c>
      <c r="J359" s="24">
        <f>IF(K358&gt;0,ROUND(ROUND(K358*100,0)*ROUND(I$7*10000,0)/12000000,0)/100,0)</f>
        <v>0</v>
      </c>
      <c r="K359" s="24">
        <f>IF(K358&gt;0,ROUND(K358+J359-I359,2),0)</f>
        <v>0</v>
      </c>
      <c r="L359" s="24">
        <f>IF(N358&gt;0,MIN(ROUND(L$6+IF(L$5=$C359,$E$5+$E359,0),2),ROUND(N358+M359,2)),0)</f>
        <v>0</v>
      </c>
      <c r="M359" s="24">
        <f>IF(N358&gt;0,ROUND(ROUND(N358*100,0)*ROUND(L$7*10000,0)/12000000,0)/100,0)</f>
        <v>0</v>
      </c>
      <c r="N359" s="24">
        <f>IF(N358&gt;0,ROUND(N358+M359-L359,2),0)</f>
        <v>0</v>
      </c>
      <c r="O359" s="24">
        <f>IF(Q358&gt;0,MIN(ROUND(O$6+IF(O$5=$C359,$E$5+$E359,0),2),ROUND(Q358+P359,2)),0)</f>
        <v>0</v>
      </c>
      <c r="P359" s="24">
        <f>IF(Q358&gt;0,ROUND(ROUND(Q358*100,0)*ROUND(O$7*10000,0)/12000000,0)/100,0)</f>
        <v>0</v>
      </c>
      <c r="Q359" s="24">
        <f>IF(Q358&gt;0,ROUND(Q358+P359-O359,2),0)</f>
        <v>0</v>
      </c>
      <c r="R359" s="24">
        <f>IF(T358&gt;0,MIN(ROUND(R$6+IF(R$5=$C359,$E$5+$E359,0),2),ROUND(T358+S359,2)),0)</f>
        <v>0</v>
      </c>
      <c r="S359" s="24">
        <f>IF(T358&gt;0,ROUND(ROUND(T358*100,0)*ROUND(R$7*10000,0)/12000000,0)/100,0)</f>
        <v>0</v>
      </c>
      <c r="T359" s="24">
        <f>IF(T358&gt;0,ROUND(T358+S359-R359,2),0)</f>
        <v>0</v>
      </c>
      <c r="U359" s="24">
        <f>IF(W358&gt;0,MIN(ROUND(U$6+IF(U$5=$C359,$E$5+$E359,0),2),ROUND(W358+V359,2)),0)</f>
        <v>0</v>
      </c>
      <c r="V359" s="24">
        <f>IF(W358&gt;0,ROUND(ROUND(W358*100,0)*ROUND(U$7*10000,0)/12000000,0)/100,0)</f>
        <v>0</v>
      </c>
      <c r="W359" s="24">
        <f>IF(W358&gt;0,ROUND(W358+V359-U359,2),0)</f>
        <v>0</v>
      </c>
      <c r="X359" s="24">
        <f>IF(Z358&gt;0,MIN(ROUND(X$6+IF(X$5=$C359,$E$5+$E359,0),2),ROUND(Z358+Y359,2)),0)</f>
        <v>0</v>
      </c>
      <c r="Y359" s="24">
        <f>IF(Z358&gt;0,ROUND(ROUND(Z358*100,0)*ROUND(X$7*10000,0)/12000000,0)/100,0)</f>
        <v>0</v>
      </c>
      <c r="Z359" s="24">
        <f>IF(Z358&gt;0,ROUND(Z358+Y359-X359,2),0)</f>
        <v>0</v>
      </c>
      <c r="AA359" s="24">
        <f>IF(AC358&gt;0,MIN(ROUND(AA$6+IF(AA$5=$C359,$E$5+$E359,0),2),ROUND(AC358+AB359,2)),0)</f>
        <v>0</v>
      </c>
      <c r="AB359" s="24">
        <f>IF(AC358&gt;0,ROUND(ROUND(AC358*100,0)*ROUND(AA$7*10000,0)/12000000,0)/100,0)</f>
        <v>0</v>
      </c>
      <c r="AC359" s="24">
        <f>IF(AC358&gt;0,ROUND(AC358+AB359-AA359,2),0)</f>
        <v>0</v>
      </c>
      <c r="AD359" s="24">
        <f>IF(AF358&gt;0,MIN(ROUND(AD$6+IF(AD$5=$C359,$E$5+$E359,0),2),ROUND(AF358+AE359,2)),0)</f>
        <v>0</v>
      </c>
      <c r="AE359" s="24">
        <f>IF(AF358&gt;0,ROUND(ROUND(AF358*100,0)*ROUND(AD$7*10000,0)/12000000,0)/100,0)</f>
        <v>0</v>
      </c>
      <c r="AF359" s="24">
        <f>IF(AF358&gt;0,ROUND(AF358+AE359-AD359,2),0)</f>
        <v>0</v>
      </c>
      <c r="AG359" s="24">
        <f>IF(AI358&gt;0,MIN(ROUND(AG$6+IF(AG$5=$C359,$E$5+$E359,0),2),ROUND(AI358+AH359,2)),0)</f>
        <v>0</v>
      </c>
      <c r="AH359" s="24">
        <f>IF(AI358&gt;0,ROUND(ROUND(AI358*100,0)*ROUND(AG$7*10000,0)/12000000,0)/100,0)</f>
        <v>0</v>
      </c>
      <c r="AI359" s="24">
        <f>IF(AI358&gt;0,ROUND(AI358+AH359-AG359,2),0)</f>
        <v>0</v>
      </c>
      <c r="AJ359" s="24">
        <f>IF(AL358&gt;0,MIN(ROUND(AJ$6+IF(AJ$5=$C359,$E$5+$E359,0),2),ROUND(AL358+AK359,2)),0)</f>
        <v>0</v>
      </c>
      <c r="AK359" s="24">
        <f>IF(AL358&gt;0,ROUND(ROUND(AL358*100,0)*ROUND(AJ$7*10000,0)/12000000,0)/100,0)</f>
        <v>0</v>
      </c>
      <c r="AL359" s="24">
        <f>IF(AL358&gt;0,ROUND(AL358+AK359-AJ359,2),0)</f>
        <v>0</v>
      </c>
    </row>
    <row r="360" spans="1:38" x14ac:dyDescent="0.25">
      <c r="A360" s="17" t="str">
        <f>IF(F360&gt;0,350,"")</f>
        <v/>
      </c>
      <c r="B360" s="18" t="str">
        <f>IF(F360&gt;0,EDATE($E$6,350),"")</f>
        <v/>
      </c>
      <c r="C360" s="21">
        <f>IF(H359&gt;0,MIN(IF(K359&gt;0,I$5,99),IF(N359&gt;0,L$5,99),IF(Q359&gt;0,O$5,99),IF(T359&gt;0,R$5,99),IF(W359&gt;0,U$5,99),IF(Z359&gt;0,X$5,99),IF(AC359&gt;0,AA$5,99),IF(AF359&gt;0,AD$5,99),IF(AI359&gt;0,AG$5,99),IF(AL359&gt;0,AJ$5,99)),0)</f>
        <v>0</v>
      </c>
      <c r="D360" t="str">
        <f>IF(C360&gt;0,INDEX($I$4:$AL$4,1,MATCH(C360,$I$5:$AL$5,0)),"")</f>
        <v/>
      </c>
      <c r="E360" s="24">
        <f>ROUND(IF(AND(I$8&gt;0,K359=0),I$6,0)+IF(AND(L$8&gt;0,N359=0),L$6,0)+IF(AND(O$8&gt;0,Q359=0),O$6,0)+IF(AND(R$8&gt;0,T359=0),R$6,0)+IF(AND(U$8&gt;0,W359=0),U$6,0)+IF(AND(X$8&gt;0,Z359=0),X$6,0)+IF(AND(AA$8&gt;0,AC359=0),AA$6,0)+IF(AND(AD$8&gt;0,AF359=0),AD$6,0)+IF(AND(AG$8&gt;0,AI359=0),AG$6,0)+IF(AND(AJ$8&gt;0,AL359=0),AJ$6,0),2)</f>
        <v>330</v>
      </c>
      <c r="F360" s="24">
        <f>ROUND(I360+L360+O360+R360+U360+X360+AA360+AD360+AG360+AJ360,2)</f>
        <v>0</v>
      </c>
      <c r="G360" s="24">
        <f>ROUND(J360+M360+P360+S360+V360+Y360+AB360+AE360+AH360+AK360,2)</f>
        <v>0</v>
      </c>
      <c r="H360" s="24">
        <f>ROUND(K360+N360+Q360+T360+W360+Z360+AC360+AF360+AI360+AL360,2)</f>
        <v>0</v>
      </c>
      <c r="I360" s="24">
        <f>IF(K359&gt;0,MIN(ROUND(I$6+IF(I$5=$C360,$E$5+$E360,0),2),ROUND(K359+J360,2)),0)</f>
        <v>0</v>
      </c>
      <c r="J360" s="24">
        <f>IF(K359&gt;0,ROUND(ROUND(K359*100,0)*ROUND(I$7*10000,0)/12000000,0)/100,0)</f>
        <v>0</v>
      </c>
      <c r="K360" s="24">
        <f>IF(K359&gt;0,ROUND(K359+J360-I360,2),0)</f>
        <v>0</v>
      </c>
      <c r="L360" s="24">
        <f>IF(N359&gt;0,MIN(ROUND(L$6+IF(L$5=$C360,$E$5+$E360,0),2),ROUND(N359+M360,2)),0)</f>
        <v>0</v>
      </c>
      <c r="M360" s="24">
        <f>IF(N359&gt;0,ROUND(ROUND(N359*100,0)*ROUND(L$7*10000,0)/12000000,0)/100,0)</f>
        <v>0</v>
      </c>
      <c r="N360" s="24">
        <f>IF(N359&gt;0,ROUND(N359+M360-L360,2),0)</f>
        <v>0</v>
      </c>
      <c r="O360" s="24">
        <f>IF(Q359&gt;0,MIN(ROUND(O$6+IF(O$5=$C360,$E$5+$E360,0),2),ROUND(Q359+P360,2)),0)</f>
        <v>0</v>
      </c>
      <c r="P360" s="24">
        <f>IF(Q359&gt;0,ROUND(ROUND(Q359*100,0)*ROUND(O$7*10000,0)/12000000,0)/100,0)</f>
        <v>0</v>
      </c>
      <c r="Q360" s="24">
        <f>IF(Q359&gt;0,ROUND(Q359+P360-O360,2),0)</f>
        <v>0</v>
      </c>
      <c r="R360" s="24">
        <f>IF(T359&gt;0,MIN(ROUND(R$6+IF(R$5=$C360,$E$5+$E360,0),2),ROUND(T359+S360,2)),0)</f>
        <v>0</v>
      </c>
      <c r="S360" s="24">
        <f>IF(T359&gt;0,ROUND(ROUND(T359*100,0)*ROUND(R$7*10000,0)/12000000,0)/100,0)</f>
        <v>0</v>
      </c>
      <c r="T360" s="24">
        <f>IF(T359&gt;0,ROUND(T359+S360-R360,2),0)</f>
        <v>0</v>
      </c>
      <c r="U360" s="24">
        <f>IF(W359&gt;0,MIN(ROUND(U$6+IF(U$5=$C360,$E$5+$E360,0),2),ROUND(W359+V360,2)),0)</f>
        <v>0</v>
      </c>
      <c r="V360" s="24">
        <f>IF(W359&gt;0,ROUND(ROUND(W359*100,0)*ROUND(U$7*10000,0)/12000000,0)/100,0)</f>
        <v>0</v>
      </c>
      <c r="W360" s="24">
        <f>IF(W359&gt;0,ROUND(W359+V360-U360,2),0)</f>
        <v>0</v>
      </c>
      <c r="X360" s="24">
        <f>IF(Z359&gt;0,MIN(ROUND(X$6+IF(X$5=$C360,$E$5+$E360,0),2),ROUND(Z359+Y360,2)),0)</f>
        <v>0</v>
      </c>
      <c r="Y360" s="24">
        <f>IF(Z359&gt;0,ROUND(ROUND(Z359*100,0)*ROUND(X$7*10000,0)/12000000,0)/100,0)</f>
        <v>0</v>
      </c>
      <c r="Z360" s="24">
        <f>IF(Z359&gt;0,ROUND(Z359+Y360-X360,2),0)</f>
        <v>0</v>
      </c>
      <c r="AA360" s="24">
        <f>IF(AC359&gt;0,MIN(ROUND(AA$6+IF(AA$5=$C360,$E$5+$E360,0),2),ROUND(AC359+AB360,2)),0)</f>
        <v>0</v>
      </c>
      <c r="AB360" s="24">
        <f>IF(AC359&gt;0,ROUND(ROUND(AC359*100,0)*ROUND(AA$7*10000,0)/12000000,0)/100,0)</f>
        <v>0</v>
      </c>
      <c r="AC360" s="24">
        <f>IF(AC359&gt;0,ROUND(AC359+AB360-AA360,2),0)</f>
        <v>0</v>
      </c>
      <c r="AD360" s="24">
        <f>IF(AF359&gt;0,MIN(ROUND(AD$6+IF(AD$5=$C360,$E$5+$E360,0),2),ROUND(AF359+AE360,2)),0)</f>
        <v>0</v>
      </c>
      <c r="AE360" s="24">
        <f>IF(AF359&gt;0,ROUND(ROUND(AF359*100,0)*ROUND(AD$7*10000,0)/12000000,0)/100,0)</f>
        <v>0</v>
      </c>
      <c r="AF360" s="24">
        <f>IF(AF359&gt;0,ROUND(AF359+AE360-AD360,2),0)</f>
        <v>0</v>
      </c>
      <c r="AG360" s="24">
        <f>IF(AI359&gt;0,MIN(ROUND(AG$6+IF(AG$5=$C360,$E$5+$E360,0),2),ROUND(AI359+AH360,2)),0)</f>
        <v>0</v>
      </c>
      <c r="AH360" s="24">
        <f>IF(AI359&gt;0,ROUND(ROUND(AI359*100,0)*ROUND(AG$7*10000,0)/12000000,0)/100,0)</f>
        <v>0</v>
      </c>
      <c r="AI360" s="24">
        <f>IF(AI359&gt;0,ROUND(AI359+AH360-AG360,2),0)</f>
        <v>0</v>
      </c>
      <c r="AJ360" s="24">
        <f>IF(AL359&gt;0,MIN(ROUND(AJ$6+IF(AJ$5=$C360,$E$5+$E360,0),2),ROUND(AL359+AK360,2)),0)</f>
        <v>0</v>
      </c>
      <c r="AK360" s="24">
        <f>IF(AL359&gt;0,ROUND(ROUND(AL359*100,0)*ROUND(AJ$7*10000,0)/12000000,0)/100,0)</f>
        <v>0</v>
      </c>
      <c r="AL360" s="24">
        <f>IF(AL359&gt;0,ROUND(AL359+AK360-AJ360,2),0)</f>
        <v>0</v>
      </c>
    </row>
    <row r="361" spans="1:38" x14ac:dyDescent="0.25">
      <c r="A361" s="17" t="str">
        <f>IF(F361&gt;0,351,"")</f>
        <v/>
      </c>
      <c r="B361" s="18" t="str">
        <f>IF(F361&gt;0,EDATE($E$6,351),"")</f>
        <v/>
      </c>
      <c r="C361" s="21">
        <f>IF(H360&gt;0,MIN(IF(K360&gt;0,I$5,99),IF(N360&gt;0,L$5,99),IF(Q360&gt;0,O$5,99),IF(T360&gt;0,R$5,99),IF(W360&gt;0,U$5,99),IF(Z360&gt;0,X$5,99),IF(AC360&gt;0,AA$5,99),IF(AF360&gt;0,AD$5,99),IF(AI360&gt;0,AG$5,99),IF(AL360&gt;0,AJ$5,99)),0)</f>
        <v>0</v>
      </c>
      <c r="D361" t="str">
        <f>IF(C361&gt;0,INDEX($I$4:$AL$4,1,MATCH(C361,$I$5:$AL$5,0)),"")</f>
        <v/>
      </c>
      <c r="E361" s="24">
        <f>ROUND(IF(AND(I$8&gt;0,K360=0),I$6,0)+IF(AND(L$8&gt;0,N360=0),L$6,0)+IF(AND(O$8&gt;0,Q360=0),O$6,0)+IF(AND(R$8&gt;0,T360=0),R$6,0)+IF(AND(U$8&gt;0,W360=0),U$6,0)+IF(AND(X$8&gt;0,Z360=0),X$6,0)+IF(AND(AA$8&gt;0,AC360=0),AA$6,0)+IF(AND(AD$8&gt;0,AF360=0),AD$6,0)+IF(AND(AG$8&gt;0,AI360=0),AG$6,0)+IF(AND(AJ$8&gt;0,AL360=0),AJ$6,0),2)</f>
        <v>330</v>
      </c>
      <c r="F361" s="24">
        <f>ROUND(I361+L361+O361+R361+U361+X361+AA361+AD361+AG361+AJ361,2)</f>
        <v>0</v>
      </c>
      <c r="G361" s="24">
        <f>ROUND(J361+M361+P361+S361+V361+Y361+AB361+AE361+AH361+AK361,2)</f>
        <v>0</v>
      </c>
      <c r="H361" s="24">
        <f>ROUND(K361+N361+Q361+T361+W361+Z361+AC361+AF361+AI361+AL361,2)</f>
        <v>0</v>
      </c>
      <c r="I361" s="24">
        <f>IF(K360&gt;0,MIN(ROUND(I$6+IF(I$5=$C361,$E$5+$E361,0),2),ROUND(K360+J361,2)),0)</f>
        <v>0</v>
      </c>
      <c r="J361" s="24">
        <f>IF(K360&gt;0,ROUND(ROUND(K360*100,0)*ROUND(I$7*10000,0)/12000000,0)/100,0)</f>
        <v>0</v>
      </c>
      <c r="K361" s="24">
        <f>IF(K360&gt;0,ROUND(K360+J361-I361,2),0)</f>
        <v>0</v>
      </c>
      <c r="L361" s="24">
        <f>IF(N360&gt;0,MIN(ROUND(L$6+IF(L$5=$C361,$E$5+$E361,0),2),ROUND(N360+M361,2)),0)</f>
        <v>0</v>
      </c>
      <c r="M361" s="24">
        <f>IF(N360&gt;0,ROUND(ROUND(N360*100,0)*ROUND(L$7*10000,0)/12000000,0)/100,0)</f>
        <v>0</v>
      </c>
      <c r="N361" s="24">
        <f>IF(N360&gt;0,ROUND(N360+M361-L361,2),0)</f>
        <v>0</v>
      </c>
      <c r="O361" s="24">
        <f>IF(Q360&gt;0,MIN(ROUND(O$6+IF(O$5=$C361,$E$5+$E361,0),2),ROUND(Q360+P361,2)),0)</f>
        <v>0</v>
      </c>
      <c r="P361" s="24">
        <f>IF(Q360&gt;0,ROUND(ROUND(Q360*100,0)*ROUND(O$7*10000,0)/12000000,0)/100,0)</f>
        <v>0</v>
      </c>
      <c r="Q361" s="24">
        <f>IF(Q360&gt;0,ROUND(Q360+P361-O361,2),0)</f>
        <v>0</v>
      </c>
      <c r="R361" s="24">
        <f>IF(T360&gt;0,MIN(ROUND(R$6+IF(R$5=$C361,$E$5+$E361,0),2),ROUND(T360+S361,2)),0)</f>
        <v>0</v>
      </c>
      <c r="S361" s="24">
        <f>IF(T360&gt;0,ROUND(ROUND(T360*100,0)*ROUND(R$7*10000,0)/12000000,0)/100,0)</f>
        <v>0</v>
      </c>
      <c r="T361" s="24">
        <f>IF(T360&gt;0,ROUND(T360+S361-R361,2),0)</f>
        <v>0</v>
      </c>
      <c r="U361" s="24">
        <f>IF(W360&gt;0,MIN(ROUND(U$6+IF(U$5=$C361,$E$5+$E361,0),2),ROUND(W360+V361,2)),0)</f>
        <v>0</v>
      </c>
      <c r="V361" s="24">
        <f>IF(W360&gt;0,ROUND(ROUND(W360*100,0)*ROUND(U$7*10000,0)/12000000,0)/100,0)</f>
        <v>0</v>
      </c>
      <c r="W361" s="24">
        <f>IF(W360&gt;0,ROUND(W360+V361-U361,2),0)</f>
        <v>0</v>
      </c>
      <c r="X361" s="24">
        <f>IF(Z360&gt;0,MIN(ROUND(X$6+IF(X$5=$C361,$E$5+$E361,0),2),ROUND(Z360+Y361,2)),0)</f>
        <v>0</v>
      </c>
      <c r="Y361" s="24">
        <f>IF(Z360&gt;0,ROUND(ROUND(Z360*100,0)*ROUND(X$7*10000,0)/12000000,0)/100,0)</f>
        <v>0</v>
      </c>
      <c r="Z361" s="24">
        <f>IF(Z360&gt;0,ROUND(Z360+Y361-X361,2),0)</f>
        <v>0</v>
      </c>
      <c r="AA361" s="24">
        <f>IF(AC360&gt;0,MIN(ROUND(AA$6+IF(AA$5=$C361,$E$5+$E361,0),2),ROUND(AC360+AB361,2)),0)</f>
        <v>0</v>
      </c>
      <c r="AB361" s="24">
        <f>IF(AC360&gt;0,ROUND(ROUND(AC360*100,0)*ROUND(AA$7*10000,0)/12000000,0)/100,0)</f>
        <v>0</v>
      </c>
      <c r="AC361" s="24">
        <f>IF(AC360&gt;0,ROUND(AC360+AB361-AA361,2),0)</f>
        <v>0</v>
      </c>
      <c r="AD361" s="24">
        <f>IF(AF360&gt;0,MIN(ROUND(AD$6+IF(AD$5=$C361,$E$5+$E361,0),2),ROUND(AF360+AE361,2)),0)</f>
        <v>0</v>
      </c>
      <c r="AE361" s="24">
        <f>IF(AF360&gt;0,ROUND(ROUND(AF360*100,0)*ROUND(AD$7*10000,0)/12000000,0)/100,0)</f>
        <v>0</v>
      </c>
      <c r="AF361" s="24">
        <f>IF(AF360&gt;0,ROUND(AF360+AE361-AD361,2),0)</f>
        <v>0</v>
      </c>
      <c r="AG361" s="24">
        <f>IF(AI360&gt;0,MIN(ROUND(AG$6+IF(AG$5=$C361,$E$5+$E361,0),2),ROUND(AI360+AH361,2)),0)</f>
        <v>0</v>
      </c>
      <c r="AH361" s="24">
        <f>IF(AI360&gt;0,ROUND(ROUND(AI360*100,0)*ROUND(AG$7*10000,0)/12000000,0)/100,0)</f>
        <v>0</v>
      </c>
      <c r="AI361" s="24">
        <f>IF(AI360&gt;0,ROUND(AI360+AH361-AG361,2),0)</f>
        <v>0</v>
      </c>
      <c r="AJ361" s="24">
        <f>IF(AL360&gt;0,MIN(ROUND(AJ$6+IF(AJ$5=$C361,$E$5+$E361,0),2),ROUND(AL360+AK361,2)),0)</f>
        <v>0</v>
      </c>
      <c r="AK361" s="24">
        <f>IF(AL360&gt;0,ROUND(ROUND(AL360*100,0)*ROUND(AJ$7*10000,0)/12000000,0)/100,0)</f>
        <v>0</v>
      </c>
      <c r="AL361" s="24">
        <f>IF(AL360&gt;0,ROUND(AL360+AK361-AJ361,2),0)</f>
        <v>0</v>
      </c>
    </row>
    <row r="362" spans="1:38" x14ac:dyDescent="0.25">
      <c r="A362" s="17" t="str">
        <f>IF(F362&gt;0,352,"")</f>
        <v/>
      </c>
      <c r="B362" s="18" t="str">
        <f>IF(F362&gt;0,EDATE($E$6,352),"")</f>
        <v/>
      </c>
      <c r="C362" s="21">
        <f>IF(H361&gt;0,MIN(IF(K361&gt;0,I$5,99),IF(N361&gt;0,L$5,99),IF(Q361&gt;0,O$5,99),IF(T361&gt;0,R$5,99),IF(W361&gt;0,U$5,99),IF(Z361&gt;0,X$5,99),IF(AC361&gt;0,AA$5,99),IF(AF361&gt;0,AD$5,99),IF(AI361&gt;0,AG$5,99),IF(AL361&gt;0,AJ$5,99)),0)</f>
        <v>0</v>
      </c>
      <c r="D362" t="str">
        <f>IF(C362&gt;0,INDEX($I$4:$AL$4,1,MATCH(C362,$I$5:$AL$5,0)),"")</f>
        <v/>
      </c>
      <c r="E362" s="24">
        <f>ROUND(IF(AND(I$8&gt;0,K361=0),I$6,0)+IF(AND(L$8&gt;0,N361=0),L$6,0)+IF(AND(O$8&gt;0,Q361=0),O$6,0)+IF(AND(R$8&gt;0,T361=0),R$6,0)+IF(AND(U$8&gt;0,W361=0),U$6,0)+IF(AND(X$8&gt;0,Z361=0),X$6,0)+IF(AND(AA$8&gt;0,AC361=0),AA$6,0)+IF(AND(AD$8&gt;0,AF361=0),AD$6,0)+IF(AND(AG$8&gt;0,AI361=0),AG$6,0)+IF(AND(AJ$8&gt;0,AL361=0),AJ$6,0),2)</f>
        <v>330</v>
      </c>
      <c r="F362" s="24">
        <f>ROUND(I362+L362+O362+R362+U362+X362+AA362+AD362+AG362+AJ362,2)</f>
        <v>0</v>
      </c>
      <c r="G362" s="24">
        <f>ROUND(J362+M362+P362+S362+V362+Y362+AB362+AE362+AH362+AK362,2)</f>
        <v>0</v>
      </c>
      <c r="H362" s="24">
        <f>ROUND(K362+N362+Q362+T362+W362+Z362+AC362+AF362+AI362+AL362,2)</f>
        <v>0</v>
      </c>
      <c r="I362" s="24">
        <f>IF(K361&gt;0,MIN(ROUND(I$6+IF(I$5=$C362,$E$5+$E362,0),2),ROUND(K361+J362,2)),0)</f>
        <v>0</v>
      </c>
      <c r="J362" s="24">
        <f>IF(K361&gt;0,ROUND(ROUND(K361*100,0)*ROUND(I$7*10000,0)/12000000,0)/100,0)</f>
        <v>0</v>
      </c>
      <c r="K362" s="24">
        <f>IF(K361&gt;0,ROUND(K361+J362-I362,2),0)</f>
        <v>0</v>
      </c>
      <c r="L362" s="24">
        <f>IF(N361&gt;0,MIN(ROUND(L$6+IF(L$5=$C362,$E$5+$E362,0),2),ROUND(N361+M362,2)),0)</f>
        <v>0</v>
      </c>
      <c r="M362" s="24">
        <f>IF(N361&gt;0,ROUND(ROUND(N361*100,0)*ROUND(L$7*10000,0)/12000000,0)/100,0)</f>
        <v>0</v>
      </c>
      <c r="N362" s="24">
        <f>IF(N361&gt;0,ROUND(N361+M362-L362,2),0)</f>
        <v>0</v>
      </c>
      <c r="O362" s="24">
        <f>IF(Q361&gt;0,MIN(ROUND(O$6+IF(O$5=$C362,$E$5+$E362,0),2),ROUND(Q361+P362,2)),0)</f>
        <v>0</v>
      </c>
      <c r="P362" s="24">
        <f>IF(Q361&gt;0,ROUND(ROUND(Q361*100,0)*ROUND(O$7*10000,0)/12000000,0)/100,0)</f>
        <v>0</v>
      </c>
      <c r="Q362" s="24">
        <f>IF(Q361&gt;0,ROUND(Q361+P362-O362,2),0)</f>
        <v>0</v>
      </c>
      <c r="R362" s="24">
        <f>IF(T361&gt;0,MIN(ROUND(R$6+IF(R$5=$C362,$E$5+$E362,0),2),ROUND(T361+S362,2)),0)</f>
        <v>0</v>
      </c>
      <c r="S362" s="24">
        <f>IF(T361&gt;0,ROUND(ROUND(T361*100,0)*ROUND(R$7*10000,0)/12000000,0)/100,0)</f>
        <v>0</v>
      </c>
      <c r="T362" s="24">
        <f>IF(T361&gt;0,ROUND(T361+S362-R362,2),0)</f>
        <v>0</v>
      </c>
      <c r="U362" s="24">
        <f>IF(W361&gt;0,MIN(ROUND(U$6+IF(U$5=$C362,$E$5+$E362,0),2),ROUND(W361+V362,2)),0)</f>
        <v>0</v>
      </c>
      <c r="V362" s="24">
        <f>IF(W361&gt;0,ROUND(ROUND(W361*100,0)*ROUND(U$7*10000,0)/12000000,0)/100,0)</f>
        <v>0</v>
      </c>
      <c r="W362" s="24">
        <f>IF(W361&gt;0,ROUND(W361+V362-U362,2),0)</f>
        <v>0</v>
      </c>
      <c r="X362" s="24">
        <f>IF(Z361&gt;0,MIN(ROUND(X$6+IF(X$5=$C362,$E$5+$E362,0),2),ROUND(Z361+Y362,2)),0)</f>
        <v>0</v>
      </c>
      <c r="Y362" s="24">
        <f>IF(Z361&gt;0,ROUND(ROUND(Z361*100,0)*ROUND(X$7*10000,0)/12000000,0)/100,0)</f>
        <v>0</v>
      </c>
      <c r="Z362" s="24">
        <f>IF(Z361&gt;0,ROUND(Z361+Y362-X362,2),0)</f>
        <v>0</v>
      </c>
      <c r="AA362" s="24">
        <f>IF(AC361&gt;0,MIN(ROUND(AA$6+IF(AA$5=$C362,$E$5+$E362,0),2),ROUND(AC361+AB362,2)),0)</f>
        <v>0</v>
      </c>
      <c r="AB362" s="24">
        <f>IF(AC361&gt;0,ROUND(ROUND(AC361*100,0)*ROUND(AA$7*10000,0)/12000000,0)/100,0)</f>
        <v>0</v>
      </c>
      <c r="AC362" s="24">
        <f>IF(AC361&gt;0,ROUND(AC361+AB362-AA362,2),0)</f>
        <v>0</v>
      </c>
      <c r="AD362" s="24">
        <f>IF(AF361&gt;0,MIN(ROUND(AD$6+IF(AD$5=$C362,$E$5+$E362,0),2),ROUND(AF361+AE362,2)),0)</f>
        <v>0</v>
      </c>
      <c r="AE362" s="24">
        <f>IF(AF361&gt;0,ROUND(ROUND(AF361*100,0)*ROUND(AD$7*10000,0)/12000000,0)/100,0)</f>
        <v>0</v>
      </c>
      <c r="AF362" s="24">
        <f>IF(AF361&gt;0,ROUND(AF361+AE362-AD362,2),0)</f>
        <v>0</v>
      </c>
      <c r="AG362" s="24">
        <f>IF(AI361&gt;0,MIN(ROUND(AG$6+IF(AG$5=$C362,$E$5+$E362,0),2),ROUND(AI361+AH362,2)),0)</f>
        <v>0</v>
      </c>
      <c r="AH362" s="24">
        <f>IF(AI361&gt;0,ROUND(ROUND(AI361*100,0)*ROUND(AG$7*10000,0)/12000000,0)/100,0)</f>
        <v>0</v>
      </c>
      <c r="AI362" s="24">
        <f>IF(AI361&gt;0,ROUND(AI361+AH362-AG362,2),0)</f>
        <v>0</v>
      </c>
      <c r="AJ362" s="24">
        <f>IF(AL361&gt;0,MIN(ROUND(AJ$6+IF(AJ$5=$C362,$E$5+$E362,0),2),ROUND(AL361+AK362,2)),0)</f>
        <v>0</v>
      </c>
      <c r="AK362" s="24">
        <f>IF(AL361&gt;0,ROUND(ROUND(AL361*100,0)*ROUND(AJ$7*10000,0)/12000000,0)/100,0)</f>
        <v>0</v>
      </c>
      <c r="AL362" s="24">
        <f>IF(AL361&gt;0,ROUND(AL361+AK362-AJ362,2),0)</f>
        <v>0</v>
      </c>
    </row>
    <row r="363" spans="1:38" x14ac:dyDescent="0.25">
      <c r="A363" s="17" t="str">
        <f>IF(F363&gt;0,353,"")</f>
        <v/>
      </c>
      <c r="B363" s="18" t="str">
        <f>IF(F363&gt;0,EDATE($E$6,353),"")</f>
        <v/>
      </c>
      <c r="C363" s="21">
        <f>IF(H362&gt;0,MIN(IF(K362&gt;0,I$5,99),IF(N362&gt;0,L$5,99),IF(Q362&gt;0,O$5,99),IF(T362&gt;0,R$5,99),IF(W362&gt;0,U$5,99),IF(Z362&gt;0,X$5,99),IF(AC362&gt;0,AA$5,99),IF(AF362&gt;0,AD$5,99),IF(AI362&gt;0,AG$5,99),IF(AL362&gt;0,AJ$5,99)),0)</f>
        <v>0</v>
      </c>
      <c r="D363" t="str">
        <f>IF(C363&gt;0,INDEX($I$4:$AL$4,1,MATCH(C363,$I$5:$AL$5,0)),"")</f>
        <v/>
      </c>
      <c r="E363" s="24">
        <f>ROUND(IF(AND(I$8&gt;0,K362=0),I$6,0)+IF(AND(L$8&gt;0,N362=0),L$6,0)+IF(AND(O$8&gt;0,Q362=0),O$6,0)+IF(AND(R$8&gt;0,T362=0),R$6,0)+IF(AND(U$8&gt;0,W362=0),U$6,0)+IF(AND(X$8&gt;0,Z362=0),X$6,0)+IF(AND(AA$8&gt;0,AC362=0),AA$6,0)+IF(AND(AD$8&gt;0,AF362=0),AD$6,0)+IF(AND(AG$8&gt;0,AI362=0),AG$6,0)+IF(AND(AJ$8&gt;0,AL362=0),AJ$6,0),2)</f>
        <v>330</v>
      </c>
      <c r="F363" s="24">
        <f>ROUND(I363+L363+O363+R363+U363+X363+AA363+AD363+AG363+AJ363,2)</f>
        <v>0</v>
      </c>
      <c r="G363" s="24">
        <f>ROUND(J363+M363+P363+S363+V363+Y363+AB363+AE363+AH363+AK363,2)</f>
        <v>0</v>
      </c>
      <c r="H363" s="24">
        <f>ROUND(K363+N363+Q363+T363+W363+Z363+AC363+AF363+AI363+AL363,2)</f>
        <v>0</v>
      </c>
      <c r="I363" s="24">
        <f>IF(K362&gt;0,MIN(ROUND(I$6+IF(I$5=$C363,$E$5+$E363,0),2),ROUND(K362+J363,2)),0)</f>
        <v>0</v>
      </c>
      <c r="J363" s="24">
        <f>IF(K362&gt;0,ROUND(ROUND(K362*100,0)*ROUND(I$7*10000,0)/12000000,0)/100,0)</f>
        <v>0</v>
      </c>
      <c r="K363" s="24">
        <f>IF(K362&gt;0,ROUND(K362+J363-I363,2),0)</f>
        <v>0</v>
      </c>
      <c r="L363" s="24">
        <f>IF(N362&gt;0,MIN(ROUND(L$6+IF(L$5=$C363,$E$5+$E363,0),2),ROUND(N362+M363,2)),0)</f>
        <v>0</v>
      </c>
      <c r="M363" s="24">
        <f>IF(N362&gt;0,ROUND(ROUND(N362*100,0)*ROUND(L$7*10000,0)/12000000,0)/100,0)</f>
        <v>0</v>
      </c>
      <c r="N363" s="24">
        <f>IF(N362&gt;0,ROUND(N362+M363-L363,2),0)</f>
        <v>0</v>
      </c>
      <c r="O363" s="24">
        <f>IF(Q362&gt;0,MIN(ROUND(O$6+IF(O$5=$C363,$E$5+$E363,0),2),ROUND(Q362+P363,2)),0)</f>
        <v>0</v>
      </c>
      <c r="P363" s="24">
        <f>IF(Q362&gt;0,ROUND(ROUND(Q362*100,0)*ROUND(O$7*10000,0)/12000000,0)/100,0)</f>
        <v>0</v>
      </c>
      <c r="Q363" s="24">
        <f>IF(Q362&gt;0,ROUND(Q362+P363-O363,2),0)</f>
        <v>0</v>
      </c>
      <c r="R363" s="24">
        <f>IF(T362&gt;0,MIN(ROUND(R$6+IF(R$5=$C363,$E$5+$E363,0),2),ROUND(T362+S363,2)),0)</f>
        <v>0</v>
      </c>
      <c r="S363" s="24">
        <f>IF(T362&gt;0,ROUND(ROUND(T362*100,0)*ROUND(R$7*10000,0)/12000000,0)/100,0)</f>
        <v>0</v>
      </c>
      <c r="T363" s="24">
        <f>IF(T362&gt;0,ROUND(T362+S363-R363,2),0)</f>
        <v>0</v>
      </c>
      <c r="U363" s="24">
        <f>IF(W362&gt;0,MIN(ROUND(U$6+IF(U$5=$C363,$E$5+$E363,0),2),ROUND(W362+V363,2)),0)</f>
        <v>0</v>
      </c>
      <c r="V363" s="24">
        <f>IF(W362&gt;0,ROUND(ROUND(W362*100,0)*ROUND(U$7*10000,0)/12000000,0)/100,0)</f>
        <v>0</v>
      </c>
      <c r="W363" s="24">
        <f>IF(W362&gt;0,ROUND(W362+V363-U363,2),0)</f>
        <v>0</v>
      </c>
      <c r="X363" s="24">
        <f>IF(Z362&gt;0,MIN(ROUND(X$6+IF(X$5=$C363,$E$5+$E363,0),2),ROUND(Z362+Y363,2)),0)</f>
        <v>0</v>
      </c>
      <c r="Y363" s="24">
        <f>IF(Z362&gt;0,ROUND(ROUND(Z362*100,0)*ROUND(X$7*10000,0)/12000000,0)/100,0)</f>
        <v>0</v>
      </c>
      <c r="Z363" s="24">
        <f>IF(Z362&gt;0,ROUND(Z362+Y363-X363,2),0)</f>
        <v>0</v>
      </c>
      <c r="AA363" s="24">
        <f>IF(AC362&gt;0,MIN(ROUND(AA$6+IF(AA$5=$C363,$E$5+$E363,0),2),ROUND(AC362+AB363,2)),0)</f>
        <v>0</v>
      </c>
      <c r="AB363" s="24">
        <f>IF(AC362&gt;0,ROUND(ROUND(AC362*100,0)*ROUND(AA$7*10000,0)/12000000,0)/100,0)</f>
        <v>0</v>
      </c>
      <c r="AC363" s="24">
        <f>IF(AC362&gt;0,ROUND(AC362+AB363-AA363,2),0)</f>
        <v>0</v>
      </c>
      <c r="AD363" s="24">
        <f>IF(AF362&gt;0,MIN(ROUND(AD$6+IF(AD$5=$C363,$E$5+$E363,0),2),ROUND(AF362+AE363,2)),0)</f>
        <v>0</v>
      </c>
      <c r="AE363" s="24">
        <f>IF(AF362&gt;0,ROUND(ROUND(AF362*100,0)*ROUND(AD$7*10000,0)/12000000,0)/100,0)</f>
        <v>0</v>
      </c>
      <c r="AF363" s="24">
        <f>IF(AF362&gt;0,ROUND(AF362+AE363-AD363,2),0)</f>
        <v>0</v>
      </c>
      <c r="AG363" s="24">
        <f>IF(AI362&gt;0,MIN(ROUND(AG$6+IF(AG$5=$C363,$E$5+$E363,0),2),ROUND(AI362+AH363,2)),0)</f>
        <v>0</v>
      </c>
      <c r="AH363" s="24">
        <f>IF(AI362&gt;0,ROUND(ROUND(AI362*100,0)*ROUND(AG$7*10000,0)/12000000,0)/100,0)</f>
        <v>0</v>
      </c>
      <c r="AI363" s="24">
        <f>IF(AI362&gt;0,ROUND(AI362+AH363-AG363,2),0)</f>
        <v>0</v>
      </c>
      <c r="AJ363" s="24">
        <f>IF(AL362&gt;0,MIN(ROUND(AJ$6+IF(AJ$5=$C363,$E$5+$E363,0),2),ROUND(AL362+AK363,2)),0)</f>
        <v>0</v>
      </c>
      <c r="AK363" s="24">
        <f>IF(AL362&gt;0,ROUND(ROUND(AL362*100,0)*ROUND(AJ$7*10000,0)/12000000,0)/100,0)</f>
        <v>0</v>
      </c>
      <c r="AL363" s="24">
        <f>IF(AL362&gt;0,ROUND(AL362+AK363-AJ363,2),0)</f>
        <v>0</v>
      </c>
    </row>
    <row r="364" spans="1:38" x14ac:dyDescent="0.25">
      <c r="A364" s="17" t="str">
        <f>IF(F364&gt;0,354,"")</f>
        <v/>
      </c>
      <c r="B364" s="18" t="str">
        <f>IF(F364&gt;0,EDATE($E$6,354),"")</f>
        <v/>
      </c>
      <c r="C364" s="21">
        <f>IF(H363&gt;0,MIN(IF(K363&gt;0,I$5,99),IF(N363&gt;0,L$5,99),IF(Q363&gt;0,O$5,99),IF(T363&gt;0,R$5,99),IF(W363&gt;0,U$5,99),IF(Z363&gt;0,X$5,99),IF(AC363&gt;0,AA$5,99),IF(AF363&gt;0,AD$5,99),IF(AI363&gt;0,AG$5,99),IF(AL363&gt;0,AJ$5,99)),0)</f>
        <v>0</v>
      </c>
      <c r="D364" t="str">
        <f>IF(C364&gt;0,INDEX($I$4:$AL$4,1,MATCH(C364,$I$5:$AL$5,0)),"")</f>
        <v/>
      </c>
      <c r="E364" s="24">
        <f>ROUND(IF(AND(I$8&gt;0,K363=0),I$6,0)+IF(AND(L$8&gt;0,N363=0),L$6,0)+IF(AND(O$8&gt;0,Q363=0),O$6,0)+IF(AND(R$8&gt;0,T363=0),R$6,0)+IF(AND(U$8&gt;0,W363=0),U$6,0)+IF(AND(X$8&gt;0,Z363=0),X$6,0)+IF(AND(AA$8&gt;0,AC363=0),AA$6,0)+IF(AND(AD$8&gt;0,AF363=0),AD$6,0)+IF(AND(AG$8&gt;0,AI363=0),AG$6,0)+IF(AND(AJ$8&gt;0,AL363=0),AJ$6,0),2)</f>
        <v>330</v>
      </c>
      <c r="F364" s="24">
        <f>ROUND(I364+L364+O364+R364+U364+X364+AA364+AD364+AG364+AJ364,2)</f>
        <v>0</v>
      </c>
      <c r="G364" s="24">
        <f>ROUND(J364+M364+P364+S364+V364+Y364+AB364+AE364+AH364+AK364,2)</f>
        <v>0</v>
      </c>
      <c r="H364" s="24">
        <f>ROUND(K364+N364+Q364+T364+W364+Z364+AC364+AF364+AI364+AL364,2)</f>
        <v>0</v>
      </c>
      <c r="I364" s="24">
        <f>IF(K363&gt;0,MIN(ROUND(I$6+IF(I$5=$C364,$E$5+$E364,0),2),ROUND(K363+J364,2)),0)</f>
        <v>0</v>
      </c>
      <c r="J364" s="24">
        <f>IF(K363&gt;0,ROUND(ROUND(K363*100,0)*ROUND(I$7*10000,0)/12000000,0)/100,0)</f>
        <v>0</v>
      </c>
      <c r="K364" s="24">
        <f>IF(K363&gt;0,ROUND(K363+J364-I364,2),0)</f>
        <v>0</v>
      </c>
      <c r="L364" s="24">
        <f>IF(N363&gt;0,MIN(ROUND(L$6+IF(L$5=$C364,$E$5+$E364,0),2),ROUND(N363+M364,2)),0)</f>
        <v>0</v>
      </c>
      <c r="M364" s="24">
        <f>IF(N363&gt;0,ROUND(ROUND(N363*100,0)*ROUND(L$7*10000,0)/12000000,0)/100,0)</f>
        <v>0</v>
      </c>
      <c r="N364" s="24">
        <f>IF(N363&gt;0,ROUND(N363+M364-L364,2),0)</f>
        <v>0</v>
      </c>
      <c r="O364" s="24">
        <f>IF(Q363&gt;0,MIN(ROUND(O$6+IF(O$5=$C364,$E$5+$E364,0),2),ROUND(Q363+P364,2)),0)</f>
        <v>0</v>
      </c>
      <c r="P364" s="24">
        <f>IF(Q363&gt;0,ROUND(ROUND(Q363*100,0)*ROUND(O$7*10000,0)/12000000,0)/100,0)</f>
        <v>0</v>
      </c>
      <c r="Q364" s="24">
        <f>IF(Q363&gt;0,ROUND(Q363+P364-O364,2),0)</f>
        <v>0</v>
      </c>
      <c r="R364" s="24">
        <f>IF(T363&gt;0,MIN(ROUND(R$6+IF(R$5=$C364,$E$5+$E364,0),2),ROUND(T363+S364,2)),0)</f>
        <v>0</v>
      </c>
      <c r="S364" s="24">
        <f>IF(T363&gt;0,ROUND(ROUND(T363*100,0)*ROUND(R$7*10000,0)/12000000,0)/100,0)</f>
        <v>0</v>
      </c>
      <c r="T364" s="24">
        <f>IF(T363&gt;0,ROUND(T363+S364-R364,2),0)</f>
        <v>0</v>
      </c>
      <c r="U364" s="24">
        <f>IF(W363&gt;0,MIN(ROUND(U$6+IF(U$5=$C364,$E$5+$E364,0),2),ROUND(W363+V364,2)),0)</f>
        <v>0</v>
      </c>
      <c r="V364" s="24">
        <f>IF(W363&gt;0,ROUND(ROUND(W363*100,0)*ROUND(U$7*10000,0)/12000000,0)/100,0)</f>
        <v>0</v>
      </c>
      <c r="W364" s="24">
        <f>IF(W363&gt;0,ROUND(W363+V364-U364,2),0)</f>
        <v>0</v>
      </c>
      <c r="X364" s="24">
        <f>IF(Z363&gt;0,MIN(ROUND(X$6+IF(X$5=$C364,$E$5+$E364,0),2),ROUND(Z363+Y364,2)),0)</f>
        <v>0</v>
      </c>
      <c r="Y364" s="24">
        <f>IF(Z363&gt;0,ROUND(ROUND(Z363*100,0)*ROUND(X$7*10000,0)/12000000,0)/100,0)</f>
        <v>0</v>
      </c>
      <c r="Z364" s="24">
        <f>IF(Z363&gt;0,ROUND(Z363+Y364-X364,2),0)</f>
        <v>0</v>
      </c>
      <c r="AA364" s="24">
        <f>IF(AC363&gt;0,MIN(ROUND(AA$6+IF(AA$5=$C364,$E$5+$E364,0),2),ROUND(AC363+AB364,2)),0)</f>
        <v>0</v>
      </c>
      <c r="AB364" s="24">
        <f>IF(AC363&gt;0,ROUND(ROUND(AC363*100,0)*ROUND(AA$7*10000,0)/12000000,0)/100,0)</f>
        <v>0</v>
      </c>
      <c r="AC364" s="24">
        <f>IF(AC363&gt;0,ROUND(AC363+AB364-AA364,2),0)</f>
        <v>0</v>
      </c>
      <c r="AD364" s="24">
        <f>IF(AF363&gt;0,MIN(ROUND(AD$6+IF(AD$5=$C364,$E$5+$E364,0),2),ROUND(AF363+AE364,2)),0)</f>
        <v>0</v>
      </c>
      <c r="AE364" s="24">
        <f>IF(AF363&gt;0,ROUND(ROUND(AF363*100,0)*ROUND(AD$7*10000,0)/12000000,0)/100,0)</f>
        <v>0</v>
      </c>
      <c r="AF364" s="24">
        <f>IF(AF363&gt;0,ROUND(AF363+AE364-AD364,2),0)</f>
        <v>0</v>
      </c>
      <c r="AG364" s="24">
        <f>IF(AI363&gt;0,MIN(ROUND(AG$6+IF(AG$5=$C364,$E$5+$E364,0),2),ROUND(AI363+AH364,2)),0)</f>
        <v>0</v>
      </c>
      <c r="AH364" s="24">
        <f>IF(AI363&gt;0,ROUND(ROUND(AI363*100,0)*ROUND(AG$7*10000,0)/12000000,0)/100,0)</f>
        <v>0</v>
      </c>
      <c r="AI364" s="24">
        <f>IF(AI363&gt;0,ROUND(AI363+AH364-AG364,2),0)</f>
        <v>0</v>
      </c>
      <c r="AJ364" s="24">
        <f>IF(AL363&gt;0,MIN(ROUND(AJ$6+IF(AJ$5=$C364,$E$5+$E364,0),2),ROUND(AL363+AK364,2)),0)</f>
        <v>0</v>
      </c>
      <c r="AK364" s="24">
        <f>IF(AL363&gt;0,ROUND(ROUND(AL363*100,0)*ROUND(AJ$7*10000,0)/12000000,0)/100,0)</f>
        <v>0</v>
      </c>
      <c r="AL364" s="24">
        <f>IF(AL363&gt;0,ROUND(AL363+AK364-AJ364,2),0)</f>
        <v>0</v>
      </c>
    </row>
    <row r="365" spans="1:38" x14ac:dyDescent="0.25">
      <c r="A365" s="17" t="str">
        <f>IF(F365&gt;0,355,"")</f>
        <v/>
      </c>
      <c r="B365" s="18" t="str">
        <f>IF(F365&gt;0,EDATE($E$6,355),"")</f>
        <v/>
      </c>
      <c r="C365" s="21">
        <f>IF(H364&gt;0,MIN(IF(K364&gt;0,I$5,99),IF(N364&gt;0,L$5,99),IF(Q364&gt;0,O$5,99),IF(T364&gt;0,R$5,99),IF(W364&gt;0,U$5,99),IF(Z364&gt;0,X$5,99),IF(AC364&gt;0,AA$5,99),IF(AF364&gt;0,AD$5,99),IF(AI364&gt;0,AG$5,99),IF(AL364&gt;0,AJ$5,99)),0)</f>
        <v>0</v>
      </c>
      <c r="D365" t="str">
        <f>IF(C365&gt;0,INDEX($I$4:$AL$4,1,MATCH(C365,$I$5:$AL$5,0)),"")</f>
        <v/>
      </c>
      <c r="E365" s="24">
        <f>ROUND(IF(AND(I$8&gt;0,K364=0),I$6,0)+IF(AND(L$8&gt;0,N364=0),L$6,0)+IF(AND(O$8&gt;0,Q364=0),O$6,0)+IF(AND(R$8&gt;0,T364=0),R$6,0)+IF(AND(U$8&gt;0,W364=0),U$6,0)+IF(AND(X$8&gt;0,Z364=0),X$6,0)+IF(AND(AA$8&gt;0,AC364=0),AA$6,0)+IF(AND(AD$8&gt;0,AF364=0),AD$6,0)+IF(AND(AG$8&gt;0,AI364=0),AG$6,0)+IF(AND(AJ$8&gt;0,AL364=0),AJ$6,0),2)</f>
        <v>330</v>
      </c>
      <c r="F365" s="24">
        <f>ROUND(I365+L365+O365+R365+U365+X365+AA365+AD365+AG365+AJ365,2)</f>
        <v>0</v>
      </c>
      <c r="G365" s="24">
        <f>ROUND(J365+M365+P365+S365+V365+Y365+AB365+AE365+AH365+AK365,2)</f>
        <v>0</v>
      </c>
      <c r="H365" s="24">
        <f>ROUND(K365+N365+Q365+T365+W365+Z365+AC365+AF365+AI365+AL365,2)</f>
        <v>0</v>
      </c>
      <c r="I365" s="24">
        <f>IF(K364&gt;0,MIN(ROUND(I$6+IF(I$5=$C365,$E$5+$E365,0),2),ROUND(K364+J365,2)),0)</f>
        <v>0</v>
      </c>
      <c r="J365" s="24">
        <f>IF(K364&gt;0,ROUND(ROUND(K364*100,0)*ROUND(I$7*10000,0)/12000000,0)/100,0)</f>
        <v>0</v>
      </c>
      <c r="K365" s="24">
        <f>IF(K364&gt;0,ROUND(K364+J365-I365,2),0)</f>
        <v>0</v>
      </c>
      <c r="L365" s="24">
        <f>IF(N364&gt;0,MIN(ROUND(L$6+IF(L$5=$C365,$E$5+$E365,0),2),ROUND(N364+M365,2)),0)</f>
        <v>0</v>
      </c>
      <c r="M365" s="24">
        <f>IF(N364&gt;0,ROUND(ROUND(N364*100,0)*ROUND(L$7*10000,0)/12000000,0)/100,0)</f>
        <v>0</v>
      </c>
      <c r="N365" s="24">
        <f>IF(N364&gt;0,ROUND(N364+M365-L365,2),0)</f>
        <v>0</v>
      </c>
      <c r="O365" s="24">
        <f>IF(Q364&gt;0,MIN(ROUND(O$6+IF(O$5=$C365,$E$5+$E365,0),2),ROUND(Q364+P365,2)),0)</f>
        <v>0</v>
      </c>
      <c r="P365" s="24">
        <f>IF(Q364&gt;0,ROUND(ROUND(Q364*100,0)*ROUND(O$7*10000,0)/12000000,0)/100,0)</f>
        <v>0</v>
      </c>
      <c r="Q365" s="24">
        <f>IF(Q364&gt;0,ROUND(Q364+P365-O365,2),0)</f>
        <v>0</v>
      </c>
      <c r="R365" s="24">
        <f>IF(T364&gt;0,MIN(ROUND(R$6+IF(R$5=$C365,$E$5+$E365,0),2),ROUND(T364+S365,2)),0)</f>
        <v>0</v>
      </c>
      <c r="S365" s="24">
        <f>IF(T364&gt;0,ROUND(ROUND(T364*100,0)*ROUND(R$7*10000,0)/12000000,0)/100,0)</f>
        <v>0</v>
      </c>
      <c r="T365" s="24">
        <f>IF(T364&gt;0,ROUND(T364+S365-R365,2),0)</f>
        <v>0</v>
      </c>
      <c r="U365" s="24">
        <f>IF(W364&gt;0,MIN(ROUND(U$6+IF(U$5=$C365,$E$5+$E365,0),2),ROUND(W364+V365,2)),0)</f>
        <v>0</v>
      </c>
      <c r="V365" s="24">
        <f>IF(W364&gt;0,ROUND(ROUND(W364*100,0)*ROUND(U$7*10000,0)/12000000,0)/100,0)</f>
        <v>0</v>
      </c>
      <c r="W365" s="24">
        <f>IF(W364&gt;0,ROUND(W364+V365-U365,2),0)</f>
        <v>0</v>
      </c>
      <c r="X365" s="24">
        <f>IF(Z364&gt;0,MIN(ROUND(X$6+IF(X$5=$C365,$E$5+$E365,0),2),ROUND(Z364+Y365,2)),0)</f>
        <v>0</v>
      </c>
      <c r="Y365" s="24">
        <f>IF(Z364&gt;0,ROUND(ROUND(Z364*100,0)*ROUND(X$7*10000,0)/12000000,0)/100,0)</f>
        <v>0</v>
      </c>
      <c r="Z365" s="24">
        <f>IF(Z364&gt;0,ROUND(Z364+Y365-X365,2),0)</f>
        <v>0</v>
      </c>
      <c r="AA365" s="24">
        <f>IF(AC364&gt;0,MIN(ROUND(AA$6+IF(AA$5=$C365,$E$5+$E365,0),2),ROUND(AC364+AB365,2)),0)</f>
        <v>0</v>
      </c>
      <c r="AB365" s="24">
        <f>IF(AC364&gt;0,ROUND(ROUND(AC364*100,0)*ROUND(AA$7*10000,0)/12000000,0)/100,0)</f>
        <v>0</v>
      </c>
      <c r="AC365" s="24">
        <f>IF(AC364&gt;0,ROUND(AC364+AB365-AA365,2),0)</f>
        <v>0</v>
      </c>
      <c r="AD365" s="24">
        <f>IF(AF364&gt;0,MIN(ROUND(AD$6+IF(AD$5=$C365,$E$5+$E365,0),2),ROUND(AF364+AE365,2)),0)</f>
        <v>0</v>
      </c>
      <c r="AE365" s="24">
        <f>IF(AF364&gt;0,ROUND(ROUND(AF364*100,0)*ROUND(AD$7*10000,0)/12000000,0)/100,0)</f>
        <v>0</v>
      </c>
      <c r="AF365" s="24">
        <f>IF(AF364&gt;0,ROUND(AF364+AE365-AD365,2),0)</f>
        <v>0</v>
      </c>
      <c r="AG365" s="24">
        <f>IF(AI364&gt;0,MIN(ROUND(AG$6+IF(AG$5=$C365,$E$5+$E365,0),2),ROUND(AI364+AH365,2)),0)</f>
        <v>0</v>
      </c>
      <c r="AH365" s="24">
        <f>IF(AI364&gt;0,ROUND(ROUND(AI364*100,0)*ROUND(AG$7*10000,0)/12000000,0)/100,0)</f>
        <v>0</v>
      </c>
      <c r="AI365" s="24">
        <f>IF(AI364&gt;0,ROUND(AI364+AH365-AG365,2),0)</f>
        <v>0</v>
      </c>
      <c r="AJ365" s="24">
        <f>IF(AL364&gt;0,MIN(ROUND(AJ$6+IF(AJ$5=$C365,$E$5+$E365,0),2),ROUND(AL364+AK365,2)),0)</f>
        <v>0</v>
      </c>
      <c r="AK365" s="24">
        <f>IF(AL364&gt;0,ROUND(ROUND(AL364*100,0)*ROUND(AJ$7*10000,0)/12000000,0)/100,0)</f>
        <v>0</v>
      </c>
      <c r="AL365" s="24">
        <f>IF(AL364&gt;0,ROUND(AL364+AK365-AJ365,2),0)</f>
        <v>0</v>
      </c>
    </row>
    <row r="366" spans="1:38" x14ac:dyDescent="0.25">
      <c r="A366" s="17" t="str">
        <f>IF(F366&gt;0,356,"")</f>
        <v/>
      </c>
      <c r="B366" s="18" t="str">
        <f>IF(F366&gt;0,EDATE($E$6,356),"")</f>
        <v/>
      </c>
      <c r="C366" s="21">
        <f>IF(H365&gt;0,MIN(IF(K365&gt;0,I$5,99),IF(N365&gt;0,L$5,99),IF(Q365&gt;0,O$5,99),IF(T365&gt;0,R$5,99),IF(W365&gt;0,U$5,99),IF(Z365&gt;0,X$5,99),IF(AC365&gt;0,AA$5,99),IF(AF365&gt;0,AD$5,99),IF(AI365&gt;0,AG$5,99),IF(AL365&gt;0,AJ$5,99)),0)</f>
        <v>0</v>
      </c>
      <c r="D366" t="str">
        <f>IF(C366&gt;0,INDEX($I$4:$AL$4,1,MATCH(C366,$I$5:$AL$5,0)),"")</f>
        <v/>
      </c>
      <c r="E366" s="24">
        <f>ROUND(IF(AND(I$8&gt;0,K365=0),I$6,0)+IF(AND(L$8&gt;0,N365=0),L$6,0)+IF(AND(O$8&gt;0,Q365=0),O$6,0)+IF(AND(R$8&gt;0,T365=0),R$6,0)+IF(AND(U$8&gt;0,W365=0),U$6,0)+IF(AND(X$8&gt;0,Z365=0),X$6,0)+IF(AND(AA$8&gt;0,AC365=0),AA$6,0)+IF(AND(AD$8&gt;0,AF365=0),AD$6,0)+IF(AND(AG$8&gt;0,AI365=0),AG$6,0)+IF(AND(AJ$8&gt;0,AL365=0),AJ$6,0),2)</f>
        <v>330</v>
      </c>
      <c r="F366" s="24">
        <f>ROUND(I366+L366+O366+R366+U366+X366+AA366+AD366+AG366+AJ366,2)</f>
        <v>0</v>
      </c>
      <c r="G366" s="24">
        <f>ROUND(J366+M366+P366+S366+V366+Y366+AB366+AE366+AH366+AK366,2)</f>
        <v>0</v>
      </c>
      <c r="H366" s="24">
        <f>ROUND(K366+N366+Q366+T366+W366+Z366+AC366+AF366+AI366+AL366,2)</f>
        <v>0</v>
      </c>
      <c r="I366" s="24">
        <f>IF(K365&gt;0,MIN(ROUND(I$6+IF(I$5=$C366,$E$5+$E366,0),2),ROUND(K365+J366,2)),0)</f>
        <v>0</v>
      </c>
      <c r="J366" s="24">
        <f>IF(K365&gt;0,ROUND(ROUND(K365*100,0)*ROUND(I$7*10000,0)/12000000,0)/100,0)</f>
        <v>0</v>
      </c>
      <c r="K366" s="24">
        <f>IF(K365&gt;0,ROUND(K365+J366-I366,2),0)</f>
        <v>0</v>
      </c>
      <c r="L366" s="24">
        <f>IF(N365&gt;0,MIN(ROUND(L$6+IF(L$5=$C366,$E$5+$E366,0),2),ROUND(N365+M366,2)),0)</f>
        <v>0</v>
      </c>
      <c r="M366" s="24">
        <f>IF(N365&gt;0,ROUND(ROUND(N365*100,0)*ROUND(L$7*10000,0)/12000000,0)/100,0)</f>
        <v>0</v>
      </c>
      <c r="N366" s="24">
        <f>IF(N365&gt;0,ROUND(N365+M366-L366,2),0)</f>
        <v>0</v>
      </c>
      <c r="O366" s="24">
        <f>IF(Q365&gt;0,MIN(ROUND(O$6+IF(O$5=$C366,$E$5+$E366,0),2),ROUND(Q365+P366,2)),0)</f>
        <v>0</v>
      </c>
      <c r="P366" s="24">
        <f>IF(Q365&gt;0,ROUND(ROUND(Q365*100,0)*ROUND(O$7*10000,0)/12000000,0)/100,0)</f>
        <v>0</v>
      </c>
      <c r="Q366" s="24">
        <f>IF(Q365&gt;0,ROUND(Q365+P366-O366,2),0)</f>
        <v>0</v>
      </c>
      <c r="R366" s="24">
        <f>IF(T365&gt;0,MIN(ROUND(R$6+IF(R$5=$C366,$E$5+$E366,0),2),ROUND(T365+S366,2)),0)</f>
        <v>0</v>
      </c>
      <c r="S366" s="24">
        <f>IF(T365&gt;0,ROUND(ROUND(T365*100,0)*ROUND(R$7*10000,0)/12000000,0)/100,0)</f>
        <v>0</v>
      </c>
      <c r="T366" s="24">
        <f>IF(T365&gt;0,ROUND(T365+S366-R366,2),0)</f>
        <v>0</v>
      </c>
      <c r="U366" s="24">
        <f>IF(W365&gt;0,MIN(ROUND(U$6+IF(U$5=$C366,$E$5+$E366,0),2),ROUND(W365+V366,2)),0)</f>
        <v>0</v>
      </c>
      <c r="V366" s="24">
        <f>IF(W365&gt;0,ROUND(ROUND(W365*100,0)*ROUND(U$7*10000,0)/12000000,0)/100,0)</f>
        <v>0</v>
      </c>
      <c r="W366" s="24">
        <f>IF(W365&gt;0,ROUND(W365+V366-U366,2),0)</f>
        <v>0</v>
      </c>
      <c r="X366" s="24">
        <f>IF(Z365&gt;0,MIN(ROUND(X$6+IF(X$5=$C366,$E$5+$E366,0),2),ROUND(Z365+Y366,2)),0)</f>
        <v>0</v>
      </c>
      <c r="Y366" s="24">
        <f>IF(Z365&gt;0,ROUND(ROUND(Z365*100,0)*ROUND(X$7*10000,0)/12000000,0)/100,0)</f>
        <v>0</v>
      </c>
      <c r="Z366" s="24">
        <f>IF(Z365&gt;0,ROUND(Z365+Y366-X366,2),0)</f>
        <v>0</v>
      </c>
      <c r="AA366" s="24">
        <f>IF(AC365&gt;0,MIN(ROUND(AA$6+IF(AA$5=$C366,$E$5+$E366,0),2),ROUND(AC365+AB366,2)),0)</f>
        <v>0</v>
      </c>
      <c r="AB366" s="24">
        <f>IF(AC365&gt;0,ROUND(ROUND(AC365*100,0)*ROUND(AA$7*10000,0)/12000000,0)/100,0)</f>
        <v>0</v>
      </c>
      <c r="AC366" s="24">
        <f>IF(AC365&gt;0,ROUND(AC365+AB366-AA366,2),0)</f>
        <v>0</v>
      </c>
      <c r="AD366" s="24">
        <f>IF(AF365&gt;0,MIN(ROUND(AD$6+IF(AD$5=$C366,$E$5+$E366,0),2),ROUND(AF365+AE366,2)),0)</f>
        <v>0</v>
      </c>
      <c r="AE366" s="24">
        <f>IF(AF365&gt;0,ROUND(ROUND(AF365*100,0)*ROUND(AD$7*10000,0)/12000000,0)/100,0)</f>
        <v>0</v>
      </c>
      <c r="AF366" s="24">
        <f>IF(AF365&gt;0,ROUND(AF365+AE366-AD366,2),0)</f>
        <v>0</v>
      </c>
      <c r="AG366" s="24">
        <f>IF(AI365&gt;0,MIN(ROUND(AG$6+IF(AG$5=$C366,$E$5+$E366,0),2),ROUND(AI365+AH366,2)),0)</f>
        <v>0</v>
      </c>
      <c r="AH366" s="24">
        <f>IF(AI365&gt;0,ROUND(ROUND(AI365*100,0)*ROUND(AG$7*10000,0)/12000000,0)/100,0)</f>
        <v>0</v>
      </c>
      <c r="AI366" s="24">
        <f>IF(AI365&gt;0,ROUND(AI365+AH366-AG366,2),0)</f>
        <v>0</v>
      </c>
      <c r="AJ366" s="24">
        <f>IF(AL365&gt;0,MIN(ROUND(AJ$6+IF(AJ$5=$C366,$E$5+$E366,0),2),ROUND(AL365+AK366,2)),0)</f>
        <v>0</v>
      </c>
      <c r="AK366" s="24">
        <f>IF(AL365&gt;0,ROUND(ROUND(AL365*100,0)*ROUND(AJ$7*10000,0)/12000000,0)/100,0)</f>
        <v>0</v>
      </c>
      <c r="AL366" s="24">
        <f>IF(AL365&gt;0,ROUND(AL365+AK366-AJ366,2),0)</f>
        <v>0</v>
      </c>
    </row>
    <row r="367" spans="1:38" x14ac:dyDescent="0.25">
      <c r="A367" s="17" t="str">
        <f>IF(F367&gt;0,357,"")</f>
        <v/>
      </c>
      <c r="B367" s="18" t="str">
        <f>IF(F367&gt;0,EDATE($E$6,357),"")</f>
        <v/>
      </c>
      <c r="C367" s="21">
        <f>IF(H366&gt;0,MIN(IF(K366&gt;0,I$5,99),IF(N366&gt;0,L$5,99),IF(Q366&gt;0,O$5,99),IF(T366&gt;0,R$5,99),IF(W366&gt;0,U$5,99),IF(Z366&gt;0,X$5,99),IF(AC366&gt;0,AA$5,99),IF(AF366&gt;0,AD$5,99),IF(AI366&gt;0,AG$5,99),IF(AL366&gt;0,AJ$5,99)),0)</f>
        <v>0</v>
      </c>
      <c r="D367" t="str">
        <f>IF(C367&gt;0,INDEX($I$4:$AL$4,1,MATCH(C367,$I$5:$AL$5,0)),"")</f>
        <v/>
      </c>
      <c r="E367" s="24">
        <f>ROUND(IF(AND(I$8&gt;0,K366=0),I$6,0)+IF(AND(L$8&gt;0,N366=0),L$6,0)+IF(AND(O$8&gt;0,Q366=0),O$6,0)+IF(AND(R$8&gt;0,T366=0),R$6,0)+IF(AND(U$8&gt;0,W366=0),U$6,0)+IF(AND(X$8&gt;0,Z366=0),X$6,0)+IF(AND(AA$8&gt;0,AC366=0),AA$6,0)+IF(AND(AD$8&gt;0,AF366=0),AD$6,0)+IF(AND(AG$8&gt;0,AI366=0),AG$6,0)+IF(AND(AJ$8&gt;0,AL366=0),AJ$6,0),2)</f>
        <v>330</v>
      </c>
      <c r="F367" s="24">
        <f>ROUND(I367+L367+O367+R367+U367+X367+AA367+AD367+AG367+AJ367,2)</f>
        <v>0</v>
      </c>
      <c r="G367" s="24">
        <f>ROUND(J367+M367+P367+S367+V367+Y367+AB367+AE367+AH367+AK367,2)</f>
        <v>0</v>
      </c>
      <c r="H367" s="24">
        <f>ROUND(K367+N367+Q367+T367+W367+Z367+AC367+AF367+AI367+AL367,2)</f>
        <v>0</v>
      </c>
      <c r="I367" s="24">
        <f>IF(K366&gt;0,MIN(ROUND(I$6+IF(I$5=$C367,$E$5+$E367,0),2),ROUND(K366+J367,2)),0)</f>
        <v>0</v>
      </c>
      <c r="J367" s="24">
        <f>IF(K366&gt;0,ROUND(ROUND(K366*100,0)*ROUND(I$7*10000,0)/12000000,0)/100,0)</f>
        <v>0</v>
      </c>
      <c r="K367" s="24">
        <f>IF(K366&gt;0,ROUND(K366+J367-I367,2),0)</f>
        <v>0</v>
      </c>
      <c r="L367" s="24">
        <f>IF(N366&gt;0,MIN(ROUND(L$6+IF(L$5=$C367,$E$5+$E367,0),2),ROUND(N366+M367,2)),0)</f>
        <v>0</v>
      </c>
      <c r="M367" s="24">
        <f>IF(N366&gt;0,ROUND(ROUND(N366*100,0)*ROUND(L$7*10000,0)/12000000,0)/100,0)</f>
        <v>0</v>
      </c>
      <c r="N367" s="24">
        <f>IF(N366&gt;0,ROUND(N366+M367-L367,2),0)</f>
        <v>0</v>
      </c>
      <c r="O367" s="24">
        <f>IF(Q366&gt;0,MIN(ROUND(O$6+IF(O$5=$C367,$E$5+$E367,0),2),ROUND(Q366+P367,2)),0)</f>
        <v>0</v>
      </c>
      <c r="P367" s="24">
        <f>IF(Q366&gt;0,ROUND(ROUND(Q366*100,0)*ROUND(O$7*10000,0)/12000000,0)/100,0)</f>
        <v>0</v>
      </c>
      <c r="Q367" s="24">
        <f>IF(Q366&gt;0,ROUND(Q366+P367-O367,2),0)</f>
        <v>0</v>
      </c>
      <c r="R367" s="24">
        <f>IF(T366&gt;0,MIN(ROUND(R$6+IF(R$5=$C367,$E$5+$E367,0),2),ROUND(T366+S367,2)),0)</f>
        <v>0</v>
      </c>
      <c r="S367" s="24">
        <f>IF(T366&gt;0,ROUND(ROUND(T366*100,0)*ROUND(R$7*10000,0)/12000000,0)/100,0)</f>
        <v>0</v>
      </c>
      <c r="T367" s="24">
        <f>IF(T366&gt;0,ROUND(T366+S367-R367,2),0)</f>
        <v>0</v>
      </c>
      <c r="U367" s="24">
        <f>IF(W366&gt;0,MIN(ROUND(U$6+IF(U$5=$C367,$E$5+$E367,0),2),ROUND(W366+V367,2)),0)</f>
        <v>0</v>
      </c>
      <c r="V367" s="24">
        <f>IF(W366&gt;0,ROUND(ROUND(W366*100,0)*ROUND(U$7*10000,0)/12000000,0)/100,0)</f>
        <v>0</v>
      </c>
      <c r="W367" s="24">
        <f>IF(W366&gt;0,ROUND(W366+V367-U367,2),0)</f>
        <v>0</v>
      </c>
      <c r="X367" s="24">
        <f>IF(Z366&gt;0,MIN(ROUND(X$6+IF(X$5=$C367,$E$5+$E367,0),2),ROUND(Z366+Y367,2)),0)</f>
        <v>0</v>
      </c>
      <c r="Y367" s="24">
        <f>IF(Z366&gt;0,ROUND(ROUND(Z366*100,0)*ROUND(X$7*10000,0)/12000000,0)/100,0)</f>
        <v>0</v>
      </c>
      <c r="Z367" s="24">
        <f>IF(Z366&gt;0,ROUND(Z366+Y367-X367,2),0)</f>
        <v>0</v>
      </c>
      <c r="AA367" s="24">
        <f>IF(AC366&gt;0,MIN(ROUND(AA$6+IF(AA$5=$C367,$E$5+$E367,0),2),ROUND(AC366+AB367,2)),0)</f>
        <v>0</v>
      </c>
      <c r="AB367" s="24">
        <f>IF(AC366&gt;0,ROUND(ROUND(AC366*100,0)*ROUND(AA$7*10000,0)/12000000,0)/100,0)</f>
        <v>0</v>
      </c>
      <c r="AC367" s="24">
        <f>IF(AC366&gt;0,ROUND(AC366+AB367-AA367,2),0)</f>
        <v>0</v>
      </c>
      <c r="AD367" s="24">
        <f>IF(AF366&gt;0,MIN(ROUND(AD$6+IF(AD$5=$C367,$E$5+$E367,0),2),ROUND(AF366+AE367,2)),0)</f>
        <v>0</v>
      </c>
      <c r="AE367" s="24">
        <f>IF(AF366&gt;0,ROUND(ROUND(AF366*100,0)*ROUND(AD$7*10000,0)/12000000,0)/100,0)</f>
        <v>0</v>
      </c>
      <c r="AF367" s="24">
        <f>IF(AF366&gt;0,ROUND(AF366+AE367-AD367,2),0)</f>
        <v>0</v>
      </c>
      <c r="AG367" s="24">
        <f>IF(AI366&gt;0,MIN(ROUND(AG$6+IF(AG$5=$C367,$E$5+$E367,0),2),ROUND(AI366+AH367,2)),0)</f>
        <v>0</v>
      </c>
      <c r="AH367" s="24">
        <f>IF(AI366&gt;0,ROUND(ROUND(AI366*100,0)*ROUND(AG$7*10000,0)/12000000,0)/100,0)</f>
        <v>0</v>
      </c>
      <c r="AI367" s="24">
        <f>IF(AI366&gt;0,ROUND(AI366+AH367-AG367,2),0)</f>
        <v>0</v>
      </c>
      <c r="AJ367" s="24">
        <f>IF(AL366&gt;0,MIN(ROUND(AJ$6+IF(AJ$5=$C367,$E$5+$E367,0),2),ROUND(AL366+AK367,2)),0)</f>
        <v>0</v>
      </c>
      <c r="AK367" s="24">
        <f>IF(AL366&gt;0,ROUND(ROUND(AL366*100,0)*ROUND(AJ$7*10000,0)/12000000,0)/100,0)</f>
        <v>0</v>
      </c>
      <c r="AL367" s="24">
        <f>IF(AL366&gt;0,ROUND(AL366+AK367-AJ367,2),0)</f>
        <v>0</v>
      </c>
    </row>
    <row r="368" spans="1:38" x14ac:dyDescent="0.25">
      <c r="A368" s="17" t="str">
        <f>IF(F368&gt;0,358,"")</f>
        <v/>
      </c>
      <c r="B368" s="18" t="str">
        <f>IF(F368&gt;0,EDATE($E$6,358),"")</f>
        <v/>
      </c>
      <c r="C368" s="21">
        <f>IF(H367&gt;0,MIN(IF(K367&gt;0,I$5,99),IF(N367&gt;0,L$5,99),IF(Q367&gt;0,O$5,99),IF(T367&gt;0,R$5,99),IF(W367&gt;0,U$5,99),IF(Z367&gt;0,X$5,99),IF(AC367&gt;0,AA$5,99),IF(AF367&gt;0,AD$5,99),IF(AI367&gt;0,AG$5,99),IF(AL367&gt;0,AJ$5,99)),0)</f>
        <v>0</v>
      </c>
      <c r="D368" t="str">
        <f>IF(C368&gt;0,INDEX($I$4:$AL$4,1,MATCH(C368,$I$5:$AL$5,0)),"")</f>
        <v/>
      </c>
      <c r="E368" s="24">
        <f>ROUND(IF(AND(I$8&gt;0,K367=0),I$6,0)+IF(AND(L$8&gt;0,N367=0),L$6,0)+IF(AND(O$8&gt;0,Q367=0),O$6,0)+IF(AND(R$8&gt;0,T367=0),R$6,0)+IF(AND(U$8&gt;0,W367=0),U$6,0)+IF(AND(X$8&gt;0,Z367=0),X$6,0)+IF(AND(AA$8&gt;0,AC367=0),AA$6,0)+IF(AND(AD$8&gt;0,AF367=0),AD$6,0)+IF(AND(AG$8&gt;0,AI367=0),AG$6,0)+IF(AND(AJ$8&gt;0,AL367=0),AJ$6,0),2)</f>
        <v>330</v>
      </c>
      <c r="F368" s="24">
        <f>ROUND(I368+L368+O368+R368+U368+X368+AA368+AD368+AG368+AJ368,2)</f>
        <v>0</v>
      </c>
      <c r="G368" s="24">
        <f>ROUND(J368+M368+P368+S368+V368+Y368+AB368+AE368+AH368+AK368,2)</f>
        <v>0</v>
      </c>
      <c r="H368" s="24">
        <f>ROUND(K368+N368+Q368+T368+W368+Z368+AC368+AF368+AI368+AL368,2)</f>
        <v>0</v>
      </c>
      <c r="I368" s="24">
        <f>IF(K367&gt;0,MIN(ROUND(I$6+IF(I$5=$C368,$E$5+$E368,0),2),ROUND(K367+J368,2)),0)</f>
        <v>0</v>
      </c>
      <c r="J368" s="24">
        <f>IF(K367&gt;0,ROUND(ROUND(K367*100,0)*ROUND(I$7*10000,0)/12000000,0)/100,0)</f>
        <v>0</v>
      </c>
      <c r="K368" s="24">
        <f>IF(K367&gt;0,ROUND(K367+J368-I368,2),0)</f>
        <v>0</v>
      </c>
      <c r="L368" s="24">
        <f>IF(N367&gt;0,MIN(ROUND(L$6+IF(L$5=$C368,$E$5+$E368,0),2),ROUND(N367+M368,2)),0)</f>
        <v>0</v>
      </c>
      <c r="M368" s="24">
        <f>IF(N367&gt;0,ROUND(ROUND(N367*100,0)*ROUND(L$7*10000,0)/12000000,0)/100,0)</f>
        <v>0</v>
      </c>
      <c r="N368" s="24">
        <f>IF(N367&gt;0,ROUND(N367+M368-L368,2),0)</f>
        <v>0</v>
      </c>
      <c r="O368" s="24">
        <f>IF(Q367&gt;0,MIN(ROUND(O$6+IF(O$5=$C368,$E$5+$E368,0),2),ROUND(Q367+P368,2)),0)</f>
        <v>0</v>
      </c>
      <c r="P368" s="24">
        <f>IF(Q367&gt;0,ROUND(ROUND(Q367*100,0)*ROUND(O$7*10000,0)/12000000,0)/100,0)</f>
        <v>0</v>
      </c>
      <c r="Q368" s="24">
        <f>IF(Q367&gt;0,ROUND(Q367+P368-O368,2),0)</f>
        <v>0</v>
      </c>
      <c r="R368" s="24">
        <f>IF(T367&gt;0,MIN(ROUND(R$6+IF(R$5=$C368,$E$5+$E368,0),2),ROUND(T367+S368,2)),0)</f>
        <v>0</v>
      </c>
      <c r="S368" s="24">
        <f>IF(T367&gt;0,ROUND(ROUND(T367*100,0)*ROUND(R$7*10000,0)/12000000,0)/100,0)</f>
        <v>0</v>
      </c>
      <c r="T368" s="24">
        <f>IF(T367&gt;0,ROUND(T367+S368-R368,2),0)</f>
        <v>0</v>
      </c>
      <c r="U368" s="24">
        <f>IF(W367&gt;0,MIN(ROUND(U$6+IF(U$5=$C368,$E$5+$E368,0),2),ROUND(W367+V368,2)),0)</f>
        <v>0</v>
      </c>
      <c r="V368" s="24">
        <f>IF(W367&gt;0,ROUND(ROUND(W367*100,0)*ROUND(U$7*10000,0)/12000000,0)/100,0)</f>
        <v>0</v>
      </c>
      <c r="W368" s="24">
        <f>IF(W367&gt;0,ROUND(W367+V368-U368,2),0)</f>
        <v>0</v>
      </c>
      <c r="X368" s="24">
        <f>IF(Z367&gt;0,MIN(ROUND(X$6+IF(X$5=$C368,$E$5+$E368,0),2),ROUND(Z367+Y368,2)),0)</f>
        <v>0</v>
      </c>
      <c r="Y368" s="24">
        <f>IF(Z367&gt;0,ROUND(ROUND(Z367*100,0)*ROUND(X$7*10000,0)/12000000,0)/100,0)</f>
        <v>0</v>
      </c>
      <c r="Z368" s="24">
        <f>IF(Z367&gt;0,ROUND(Z367+Y368-X368,2),0)</f>
        <v>0</v>
      </c>
      <c r="AA368" s="24">
        <f>IF(AC367&gt;0,MIN(ROUND(AA$6+IF(AA$5=$C368,$E$5+$E368,0),2),ROUND(AC367+AB368,2)),0)</f>
        <v>0</v>
      </c>
      <c r="AB368" s="24">
        <f>IF(AC367&gt;0,ROUND(ROUND(AC367*100,0)*ROUND(AA$7*10000,0)/12000000,0)/100,0)</f>
        <v>0</v>
      </c>
      <c r="AC368" s="24">
        <f>IF(AC367&gt;0,ROUND(AC367+AB368-AA368,2),0)</f>
        <v>0</v>
      </c>
      <c r="AD368" s="24">
        <f>IF(AF367&gt;0,MIN(ROUND(AD$6+IF(AD$5=$C368,$E$5+$E368,0),2),ROUND(AF367+AE368,2)),0)</f>
        <v>0</v>
      </c>
      <c r="AE368" s="24">
        <f>IF(AF367&gt;0,ROUND(ROUND(AF367*100,0)*ROUND(AD$7*10000,0)/12000000,0)/100,0)</f>
        <v>0</v>
      </c>
      <c r="AF368" s="24">
        <f>IF(AF367&gt;0,ROUND(AF367+AE368-AD368,2),0)</f>
        <v>0</v>
      </c>
      <c r="AG368" s="24">
        <f>IF(AI367&gt;0,MIN(ROUND(AG$6+IF(AG$5=$C368,$E$5+$E368,0),2),ROUND(AI367+AH368,2)),0)</f>
        <v>0</v>
      </c>
      <c r="AH368" s="24">
        <f>IF(AI367&gt;0,ROUND(ROUND(AI367*100,0)*ROUND(AG$7*10000,0)/12000000,0)/100,0)</f>
        <v>0</v>
      </c>
      <c r="AI368" s="24">
        <f>IF(AI367&gt;0,ROUND(AI367+AH368-AG368,2),0)</f>
        <v>0</v>
      </c>
      <c r="AJ368" s="24">
        <f>IF(AL367&gt;0,MIN(ROUND(AJ$6+IF(AJ$5=$C368,$E$5+$E368,0),2),ROUND(AL367+AK368,2)),0)</f>
        <v>0</v>
      </c>
      <c r="AK368" s="24">
        <f>IF(AL367&gt;0,ROUND(ROUND(AL367*100,0)*ROUND(AJ$7*10000,0)/12000000,0)/100,0)</f>
        <v>0</v>
      </c>
      <c r="AL368" s="24">
        <f>IF(AL367&gt;0,ROUND(AL367+AK368-AJ368,2),0)</f>
        <v>0</v>
      </c>
    </row>
    <row r="369" spans="1:38" x14ac:dyDescent="0.25">
      <c r="A369" s="17" t="str">
        <f>IF(F369&gt;0,359,"")</f>
        <v/>
      </c>
      <c r="B369" s="18" t="str">
        <f>IF(F369&gt;0,EDATE($E$6,359),"")</f>
        <v/>
      </c>
      <c r="C369" s="21">
        <f>IF(H368&gt;0,MIN(IF(K368&gt;0,I$5,99),IF(N368&gt;0,L$5,99),IF(Q368&gt;0,O$5,99),IF(T368&gt;0,R$5,99),IF(W368&gt;0,U$5,99),IF(Z368&gt;0,X$5,99),IF(AC368&gt;0,AA$5,99),IF(AF368&gt;0,AD$5,99),IF(AI368&gt;0,AG$5,99),IF(AL368&gt;0,AJ$5,99)),0)</f>
        <v>0</v>
      </c>
      <c r="D369" t="str">
        <f>IF(C369&gt;0,INDEX($I$4:$AL$4,1,MATCH(C369,$I$5:$AL$5,0)),"")</f>
        <v/>
      </c>
      <c r="E369" s="24">
        <f>ROUND(IF(AND(I$8&gt;0,K368=0),I$6,0)+IF(AND(L$8&gt;0,N368=0),L$6,0)+IF(AND(O$8&gt;0,Q368=0),O$6,0)+IF(AND(R$8&gt;0,T368=0),R$6,0)+IF(AND(U$8&gt;0,W368=0),U$6,0)+IF(AND(X$8&gt;0,Z368=0),X$6,0)+IF(AND(AA$8&gt;0,AC368=0),AA$6,0)+IF(AND(AD$8&gt;0,AF368=0),AD$6,0)+IF(AND(AG$8&gt;0,AI368=0),AG$6,0)+IF(AND(AJ$8&gt;0,AL368=0),AJ$6,0),2)</f>
        <v>330</v>
      </c>
      <c r="F369" s="24">
        <f>ROUND(I369+L369+O369+R369+U369+X369+AA369+AD369+AG369+AJ369,2)</f>
        <v>0</v>
      </c>
      <c r="G369" s="24">
        <f>ROUND(J369+M369+P369+S369+V369+Y369+AB369+AE369+AH369+AK369,2)</f>
        <v>0</v>
      </c>
      <c r="H369" s="24">
        <f>ROUND(K369+N369+Q369+T369+W369+Z369+AC369+AF369+AI369+AL369,2)</f>
        <v>0</v>
      </c>
      <c r="I369" s="24">
        <f>IF(K368&gt;0,MIN(ROUND(I$6+IF(I$5=$C369,$E$5+$E369,0),2),ROUND(K368+J369,2)),0)</f>
        <v>0</v>
      </c>
      <c r="J369" s="24">
        <f>IF(K368&gt;0,ROUND(ROUND(K368*100,0)*ROUND(I$7*10000,0)/12000000,0)/100,0)</f>
        <v>0</v>
      </c>
      <c r="K369" s="24">
        <f>IF(K368&gt;0,ROUND(K368+J369-I369,2),0)</f>
        <v>0</v>
      </c>
      <c r="L369" s="24">
        <f>IF(N368&gt;0,MIN(ROUND(L$6+IF(L$5=$C369,$E$5+$E369,0),2),ROUND(N368+M369,2)),0)</f>
        <v>0</v>
      </c>
      <c r="M369" s="24">
        <f>IF(N368&gt;0,ROUND(ROUND(N368*100,0)*ROUND(L$7*10000,0)/12000000,0)/100,0)</f>
        <v>0</v>
      </c>
      <c r="N369" s="24">
        <f>IF(N368&gt;0,ROUND(N368+M369-L369,2),0)</f>
        <v>0</v>
      </c>
      <c r="O369" s="24">
        <f>IF(Q368&gt;0,MIN(ROUND(O$6+IF(O$5=$C369,$E$5+$E369,0),2),ROUND(Q368+P369,2)),0)</f>
        <v>0</v>
      </c>
      <c r="P369" s="24">
        <f>IF(Q368&gt;0,ROUND(ROUND(Q368*100,0)*ROUND(O$7*10000,0)/12000000,0)/100,0)</f>
        <v>0</v>
      </c>
      <c r="Q369" s="24">
        <f>IF(Q368&gt;0,ROUND(Q368+P369-O369,2),0)</f>
        <v>0</v>
      </c>
      <c r="R369" s="24">
        <f>IF(T368&gt;0,MIN(ROUND(R$6+IF(R$5=$C369,$E$5+$E369,0),2),ROUND(T368+S369,2)),0)</f>
        <v>0</v>
      </c>
      <c r="S369" s="24">
        <f>IF(T368&gt;0,ROUND(ROUND(T368*100,0)*ROUND(R$7*10000,0)/12000000,0)/100,0)</f>
        <v>0</v>
      </c>
      <c r="T369" s="24">
        <f>IF(T368&gt;0,ROUND(T368+S369-R369,2),0)</f>
        <v>0</v>
      </c>
      <c r="U369" s="24">
        <f>IF(W368&gt;0,MIN(ROUND(U$6+IF(U$5=$C369,$E$5+$E369,0),2),ROUND(W368+V369,2)),0)</f>
        <v>0</v>
      </c>
      <c r="V369" s="24">
        <f>IF(W368&gt;0,ROUND(ROUND(W368*100,0)*ROUND(U$7*10000,0)/12000000,0)/100,0)</f>
        <v>0</v>
      </c>
      <c r="W369" s="24">
        <f>IF(W368&gt;0,ROUND(W368+V369-U369,2),0)</f>
        <v>0</v>
      </c>
      <c r="X369" s="24">
        <f>IF(Z368&gt;0,MIN(ROUND(X$6+IF(X$5=$C369,$E$5+$E369,0),2),ROUND(Z368+Y369,2)),0)</f>
        <v>0</v>
      </c>
      <c r="Y369" s="24">
        <f>IF(Z368&gt;0,ROUND(ROUND(Z368*100,0)*ROUND(X$7*10000,0)/12000000,0)/100,0)</f>
        <v>0</v>
      </c>
      <c r="Z369" s="24">
        <f>IF(Z368&gt;0,ROUND(Z368+Y369-X369,2),0)</f>
        <v>0</v>
      </c>
      <c r="AA369" s="24">
        <f>IF(AC368&gt;0,MIN(ROUND(AA$6+IF(AA$5=$C369,$E$5+$E369,0),2),ROUND(AC368+AB369,2)),0)</f>
        <v>0</v>
      </c>
      <c r="AB369" s="24">
        <f>IF(AC368&gt;0,ROUND(ROUND(AC368*100,0)*ROUND(AA$7*10000,0)/12000000,0)/100,0)</f>
        <v>0</v>
      </c>
      <c r="AC369" s="24">
        <f>IF(AC368&gt;0,ROUND(AC368+AB369-AA369,2),0)</f>
        <v>0</v>
      </c>
      <c r="AD369" s="24">
        <f>IF(AF368&gt;0,MIN(ROUND(AD$6+IF(AD$5=$C369,$E$5+$E369,0),2),ROUND(AF368+AE369,2)),0)</f>
        <v>0</v>
      </c>
      <c r="AE369" s="24">
        <f>IF(AF368&gt;0,ROUND(ROUND(AF368*100,0)*ROUND(AD$7*10000,0)/12000000,0)/100,0)</f>
        <v>0</v>
      </c>
      <c r="AF369" s="24">
        <f>IF(AF368&gt;0,ROUND(AF368+AE369-AD369,2),0)</f>
        <v>0</v>
      </c>
      <c r="AG369" s="24">
        <f>IF(AI368&gt;0,MIN(ROUND(AG$6+IF(AG$5=$C369,$E$5+$E369,0),2),ROUND(AI368+AH369,2)),0)</f>
        <v>0</v>
      </c>
      <c r="AH369" s="24">
        <f>IF(AI368&gt;0,ROUND(ROUND(AI368*100,0)*ROUND(AG$7*10000,0)/12000000,0)/100,0)</f>
        <v>0</v>
      </c>
      <c r="AI369" s="24">
        <f>IF(AI368&gt;0,ROUND(AI368+AH369-AG369,2),0)</f>
        <v>0</v>
      </c>
      <c r="AJ369" s="24">
        <f>IF(AL368&gt;0,MIN(ROUND(AJ$6+IF(AJ$5=$C369,$E$5+$E369,0),2),ROUND(AL368+AK369,2)),0)</f>
        <v>0</v>
      </c>
      <c r="AK369" s="24">
        <f>IF(AL368&gt;0,ROUND(ROUND(AL368*100,0)*ROUND(AJ$7*10000,0)/12000000,0)/100,0)</f>
        <v>0</v>
      </c>
      <c r="AL369" s="24">
        <f>IF(AL368&gt;0,ROUND(AL368+AK369-AJ369,2),0)</f>
        <v>0</v>
      </c>
    </row>
    <row r="370" spans="1:38" x14ac:dyDescent="0.25">
      <c r="A370" s="17" t="str">
        <f>IF(F370&gt;0,360,"")</f>
        <v/>
      </c>
      <c r="B370" s="18" t="str">
        <f>IF(F370&gt;0,EDATE($E$6,360),"")</f>
        <v/>
      </c>
      <c r="C370" s="21">
        <f>IF(H369&gt;0,MIN(IF(K369&gt;0,I$5,99),IF(N369&gt;0,L$5,99),IF(Q369&gt;0,O$5,99),IF(T369&gt;0,R$5,99),IF(W369&gt;0,U$5,99),IF(Z369&gt;0,X$5,99),IF(AC369&gt;0,AA$5,99),IF(AF369&gt;0,AD$5,99),IF(AI369&gt;0,AG$5,99),IF(AL369&gt;0,AJ$5,99)),0)</f>
        <v>0</v>
      </c>
      <c r="D370" t="str">
        <f>IF(C370&gt;0,INDEX($I$4:$AL$4,1,MATCH(C370,$I$5:$AL$5,0)),"")</f>
        <v/>
      </c>
      <c r="E370" s="24">
        <f>ROUND(IF(AND(I$8&gt;0,K369=0),I$6,0)+IF(AND(L$8&gt;0,N369=0),L$6,0)+IF(AND(O$8&gt;0,Q369=0),O$6,0)+IF(AND(R$8&gt;0,T369=0),R$6,0)+IF(AND(U$8&gt;0,W369=0),U$6,0)+IF(AND(X$8&gt;0,Z369=0),X$6,0)+IF(AND(AA$8&gt;0,AC369=0),AA$6,0)+IF(AND(AD$8&gt;0,AF369=0),AD$6,0)+IF(AND(AG$8&gt;0,AI369=0),AG$6,0)+IF(AND(AJ$8&gt;0,AL369=0),AJ$6,0),2)</f>
        <v>330</v>
      </c>
      <c r="F370" s="24">
        <f>ROUND(I370+L370+O370+R370+U370+X370+AA370+AD370+AG370+AJ370,2)</f>
        <v>0</v>
      </c>
      <c r="G370" s="24">
        <f>ROUND(J370+M370+P370+S370+V370+Y370+AB370+AE370+AH370+AK370,2)</f>
        <v>0</v>
      </c>
      <c r="H370" s="24">
        <f>ROUND(K370+N370+Q370+T370+W370+Z370+AC370+AF370+AI370+AL370,2)</f>
        <v>0</v>
      </c>
      <c r="I370" s="24">
        <f>IF(K369&gt;0,MIN(ROUND(I$6+IF(I$5=$C370,$E$5+$E370,0),2),ROUND(K369+J370,2)),0)</f>
        <v>0</v>
      </c>
      <c r="J370" s="24">
        <f>IF(K369&gt;0,ROUND(ROUND(K369*100,0)*ROUND(I$7*10000,0)/12000000,0)/100,0)</f>
        <v>0</v>
      </c>
      <c r="K370" s="24">
        <f>IF(K369&gt;0,ROUND(K369+J370-I370,2),0)</f>
        <v>0</v>
      </c>
      <c r="L370" s="24">
        <f>IF(N369&gt;0,MIN(ROUND(L$6+IF(L$5=$C370,$E$5+$E370,0),2),ROUND(N369+M370,2)),0)</f>
        <v>0</v>
      </c>
      <c r="M370" s="24">
        <f>IF(N369&gt;0,ROUND(ROUND(N369*100,0)*ROUND(L$7*10000,0)/12000000,0)/100,0)</f>
        <v>0</v>
      </c>
      <c r="N370" s="24">
        <f>IF(N369&gt;0,ROUND(N369+M370-L370,2),0)</f>
        <v>0</v>
      </c>
      <c r="O370" s="24">
        <f>IF(Q369&gt;0,MIN(ROUND(O$6+IF(O$5=$C370,$E$5+$E370,0),2),ROUND(Q369+P370,2)),0)</f>
        <v>0</v>
      </c>
      <c r="P370" s="24">
        <f>IF(Q369&gt;0,ROUND(ROUND(Q369*100,0)*ROUND(O$7*10000,0)/12000000,0)/100,0)</f>
        <v>0</v>
      </c>
      <c r="Q370" s="24">
        <f>IF(Q369&gt;0,ROUND(Q369+P370-O370,2),0)</f>
        <v>0</v>
      </c>
      <c r="R370" s="24">
        <f>IF(T369&gt;0,MIN(ROUND(R$6+IF(R$5=$C370,$E$5+$E370,0),2),ROUND(T369+S370,2)),0)</f>
        <v>0</v>
      </c>
      <c r="S370" s="24">
        <f>IF(T369&gt;0,ROUND(ROUND(T369*100,0)*ROUND(R$7*10000,0)/12000000,0)/100,0)</f>
        <v>0</v>
      </c>
      <c r="T370" s="24">
        <f>IF(T369&gt;0,ROUND(T369+S370-R370,2),0)</f>
        <v>0</v>
      </c>
      <c r="U370" s="24">
        <f>IF(W369&gt;0,MIN(ROUND(U$6+IF(U$5=$C370,$E$5+$E370,0),2),ROUND(W369+V370,2)),0)</f>
        <v>0</v>
      </c>
      <c r="V370" s="24">
        <f>IF(W369&gt;0,ROUND(ROUND(W369*100,0)*ROUND(U$7*10000,0)/12000000,0)/100,0)</f>
        <v>0</v>
      </c>
      <c r="W370" s="24">
        <f>IF(W369&gt;0,ROUND(W369+V370-U370,2),0)</f>
        <v>0</v>
      </c>
      <c r="X370" s="24">
        <f>IF(Z369&gt;0,MIN(ROUND(X$6+IF(X$5=$C370,$E$5+$E370,0),2),ROUND(Z369+Y370,2)),0)</f>
        <v>0</v>
      </c>
      <c r="Y370" s="24">
        <f>IF(Z369&gt;0,ROUND(ROUND(Z369*100,0)*ROUND(X$7*10000,0)/12000000,0)/100,0)</f>
        <v>0</v>
      </c>
      <c r="Z370" s="24">
        <f>IF(Z369&gt;0,ROUND(Z369+Y370-X370,2),0)</f>
        <v>0</v>
      </c>
      <c r="AA370" s="24">
        <f>IF(AC369&gt;0,MIN(ROUND(AA$6+IF(AA$5=$C370,$E$5+$E370,0),2),ROUND(AC369+AB370,2)),0)</f>
        <v>0</v>
      </c>
      <c r="AB370" s="24">
        <f>IF(AC369&gt;0,ROUND(ROUND(AC369*100,0)*ROUND(AA$7*10000,0)/12000000,0)/100,0)</f>
        <v>0</v>
      </c>
      <c r="AC370" s="24">
        <f>IF(AC369&gt;0,ROUND(AC369+AB370-AA370,2),0)</f>
        <v>0</v>
      </c>
      <c r="AD370" s="24">
        <f>IF(AF369&gt;0,MIN(ROUND(AD$6+IF(AD$5=$C370,$E$5+$E370,0),2),ROUND(AF369+AE370,2)),0)</f>
        <v>0</v>
      </c>
      <c r="AE370" s="24">
        <f>IF(AF369&gt;0,ROUND(ROUND(AF369*100,0)*ROUND(AD$7*10000,0)/12000000,0)/100,0)</f>
        <v>0</v>
      </c>
      <c r="AF370" s="24">
        <f>IF(AF369&gt;0,ROUND(AF369+AE370-AD370,2),0)</f>
        <v>0</v>
      </c>
      <c r="AG370" s="24">
        <f>IF(AI369&gt;0,MIN(ROUND(AG$6+IF(AG$5=$C370,$E$5+$E370,0),2),ROUND(AI369+AH370,2)),0)</f>
        <v>0</v>
      </c>
      <c r="AH370" s="24">
        <f>IF(AI369&gt;0,ROUND(ROUND(AI369*100,0)*ROUND(AG$7*10000,0)/12000000,0)/100,0)</f>
        <v>0</v>
      </c>
      <c r="AI370" s="24">
        <f>IF(AI369&gt;0,ROUND(AI369+AH370-AG370,2),0)</f>
        <v>0</v>
      </c>
      <c r="AJ370" s="24">
        <f>IF(AL369&gt;0,MIN(ROUND(AJ$6+IF(AJ$5=$C370,$E$5+$E370,0),2),ROUND(AL369+AK370,2)),0)</f>
        <v>0</v>
      </c>
      <c r="AK370" s="24">
        <f>IF(AL369&gt;0,ROUND(ROUND(AL369*100,0)*ROUND(AJ$7*10000,0)/12000000,0)/100,0)</f>
        <v>0</v>
      </c>
      <c r="AL370" s="24">
        <f>IF(AL369&gt;0,ROUND(AL369+AK370-AJ370,2),0)</f>
        <v>0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</vt:lpstr>
      <vt:lpstr>Schedule</vt:lpstr>
    </vt:vector>
  </TitlesOfParts>
  <Company>debtpayoff.app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debtpayoff.app</dc:creator>
  <dc:title>Debt snowball spreadsheet</dc:title>
  <dc:subject>Debt snowball and avalanche payoff plan</dc:subject>
  <dc:description/>
  <cp:keywords/>
  <cp:category/>
  <cp:lastModifiedBy>debtpayoff.app</cp:lastModifiedBy>
  <dcterms:created xsi:type="dcterms:W3CDTF">2026-10-05T00:00:00Z</dcterms:created>
  <dcterms:modified xsi:type="dcterms:W3CDTF">2026-10-05T00:00:00Z</dcterms:modified>
</cp:coreProperties>
</file>