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Calendario" state="visible" r:id="rId5"/>
  </sheets>
  <calcPr calcId="171027" fullCalcOnLoad="1"/>
</workbook>
</file>

<file path=xl/sharedStrings.xml><?xml version="1.0" encoding="utf-8"?>
<sst xmlns="http://schemas.openxmlformats.org/spreadsheetml/2006/main" count="94" uniqueCount="48">
  <si>
    <t>Plan para pagar deudas con bola de nieve o avalancha</t>
  </si>
  <si>
    <t>Escribe tus datos en las celdas azules. La hoja Calendario muestra el plan mes a mes.</t>
  </si>
  <si>
    <t>Gratis en debtpayoff.app</t>
  </si>
  <si>
    <t>Ajustes</t>
  </si>
  <si>
    <t>Método</t>
  </si>
  <si>
    <t>Bola de nieve</t>
  </si>
  <si>
    <t>Bola de nieve o Avalancha</t>
  </si>
  <si>
    <t>Presupuesto mensual</t>
  </si>
  <si>
    <t>Todo lo que pagas cada mes por tus deudas</t>
  </si>
  <si>
    <t>Fecha de inicio</t>
  </si>
  <si>
    <t>Fecha de tus saldos. El primer pago es un mes después.</t>
  </si>
  <si>
    <t>Pagos mínimos</t>
  </si>
  <si>
    <t>Extra al mes</t>
  </si>
  <si>
    <t>Presupuesto menos mínimos. Va a la primera deuda del orden.</t>
  </si>
  <si>
    <t>Resultados</t>
  </si>
  <si>
    <t>Mes sin deudas</t>
  </si>
  <si>
    <t>Meses hasta acabar</t>
  </si>
  <si>
    <t>Intereses totales</t>
  </si>
  <si>
    <t>Total pagado</t>
  </si>
  <si>
    <t>Revisión</t>
  </si>
  <si>
    <t>Deudas (hasta 10)</t>
  </si>
  <si>
    <t>#</t>
  </si>
  <si>
    <t>Deuda</t>
  </si>
  <si>
    <t>Saldo</t>
  </si>
  <si>
    <t>Interés %</t>
  </si>
  <si>
    <t>Pago mínimo</t>
  </si>
  <si>
    <t>Orden</t>
  </si>
  <si>
    <t>Meses</t>
  </si>
  <si>
    <t>Liquidada en</t>
  </si>
  <si>
    <t>Intereses pagados</t>
  </si>
  <si>
    <t>Tarjeta de crédito</t>
  </si>
  <si>
    <t>Préstamo de coche</t>
  </si>
  <si>
    <t>Compra a plazos</t>
  </si>
  <si>
    <t>Total</t>
  </si>
  <si>
    <t>Calendario mes a mes</t>
  </si>
  <si>
    <t>Calculado desde la hoja Plan. Cambia tus datos allí.</t>
  </si>
  <si>
    <t>Mínimo</t>
  </si>
  <si>
    <t>Saldo inicial</t>
  </si>
  <si>
    <t>Mes</t>
  </si>
  <si>
    <t>Fecha</t>
  </si>
  <si>
    <t>Extra a #</t>
  </si>
  <si>
    <t>Extra va a</t>
  </si>
  <si>
    <t>Traspasado</t>
  </si>
  <si>
    <t>Pagado</t>
  </si>
  <si>
    <t>Intereses</t>
  </si>
  <si>
    <t>Saldo pendiente</t>
  </si>
  <si>
    <t>Pago</t>
  </si>
  <si>
    <t>Reserva de redondeo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</si>
</sst>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 &quot;€&quot;"/>
    <numFmt numFmtId="165" formatCode="dd/mm/yyyy"/>
    <numFmt numFmtId="166" formatCode="mm/yyyy"/>
    <numFmt numFmtId="167" formatCode="0;-0;"/>
    <numFmt numFmtId="168" formatCode="#,##0.00 &quot;€&quot;;-#,##0.00 &quot;€&quot;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u/>
      <color rgb="FF0B57D0"/>
    </font>
    <font>
      <b/>
      <sz val="13"/>
    </font>
    <font>
      <i/>
      <color rgb="FF6B6B6B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0" xfId="0" applyNumberFormat="1"/>
    <xf numFmtId="166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6" fillId="3" borderId="2" xfId="0" applyFont="1" applyFill="1" applyBorder="1" applyAlignment="1">
      <alignment vertical="bottom" wrapText="1"/>
    </xf>
    <xf numFmtId="0" fontId="7" fillId="0" borderId="0" xfId="0" applyFont="1"/>
    <xf numFmtId="2" fontId="0" fillId="2" borderId="1" xfId="0" applyNumberFormat="1" applyFill="1" applyBorder="1"/>
    <xf numFmtId="1" fontId="0" fillId="0" borderId="0" xfId="0" applyNumberFormat="1"/>
    <xf numFmtId="166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7" fontId="0" fillId="0" borderId="0" xfId="0" applyNumberFormat="1"/>
    <xf numFmtId="165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btpayoff.app/es/plantilla-excel-deud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FormatPr defaultRowHeight="15" outlineLevelRow="0" outlineLevelCol="0" x14ac:dyDescent="55"/>
  <cols>
    <col min="1" max="1" width="4" customWidth="1"/>
    <col min="2" max="2" width="24" customWidth="1"/>
    <col min="3" max="3" width="14" customWidth="1"/>
    <col min="5" max="5" width="13" customWidth="1"/>
    <col min="6" max="7" width="8" customWidth="1"/>
    <col min="8" max="8" width="12" customWidth="1"/>
    <col min="9" max="9" width="14" customWidth="1"/>
    <col min="10" max="1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2:2" x14ac:dyDescent="0.25">
      <c r="B4" s="4" t="s">
        <v>3</v>
      </c>
    </row>
    <row r="5" spans="2:4" x14ac:dyDescent="0.25">
      <c r="B5" t="s">
        <v>4</v>
      </c>
      <c r="C5" s="5" t="s">
        <v>5</v>
      </c>
      <c r="D5" s="6" t="s">
        <v>6</v>
      </c>
    </row>
    <row r="6" spans="2:4" x14ac:dyDescent="0.25">
      <c r="B6" t="s">
        <v>7</v>
      </c>
      <c r="C6" s="7">
        <v>475</v>
      </c>
      <c r="D6" s="6" t="s">
        <v>8</v>
      </c>
    </row>
    <row r="7" spans="2:4" x14ac:dyDescent="0.25">
      <c r="B7" t="s">
        <v>9</v>
      </c>
      <c r="C7" s="8">
        <f>TODAY()</f>
        <v>46332</v>
      </c>
      <c r="D7" s="6" t="s">
        <v>10</v>
      </c>
    </row>
    <row r="8" spans="2:3" x14ac:dyDescent="0.25">
      <c r="B8" t="s">
        <v>11</v>
      </c>
      <c r="C8" s="9">
        <f>ROUND(SUM(Calendario!I6:AV6),2)</f>
        <v>325</v>
      </c>
    </row>
    <row r="9" spans="2:4" x14ac:dyDescent="0.25">
      <c r="B9" t="s">
        <v>12</v>
      </c>
      <c r="C9" s="9">
        <f>C6-C8</f>
        <v>150</v>
      </c>
      <c r="D9" s="6" t="s">
        <v>13</v>
      </c>
    </row>
    <row r="10" spans="2:2" x14ac:dyDescent="0.25">
      <c r="B10" s="4" t="s">
        <v>14</v>
      </c>
    </row>
    <row r="11" spans="2:3" x14ac:dyDescent="0.25">
      <c r="B11" t="s">
        <v>15</v>
      </c>
      <c r="C11" s="10">
        <f>IF(C12&gt;0,EDATE(C7,C12),"")</f>
        <v>47214</v>
      </c>
    </row>
    <row r="12" spans="2:3" x14ac:dyDescent="0.25">
      <c r="B12" t="s">
        <v>16</v>
      </c>
      <c r="C12" s="11">
        <f>COUNTIF(Calendario!F11:F370,"&gt;0")</f>
        <v>29</v>
      </c>
    </row>
    <row r="13" spans="2:3" x14ac:dyDescent="0.25">
      <c r="B13" t="s">
        <v>17</v>
      </c>
      <c r="C13" s="12">
        <f>ROUND(SUM(Calendario!G11:G370),2)</f>
        <v>1107.42</v>
      </c>
    </row>
    <row r="14" spans="2:3" x14ac:dyDescent="0.25">
      <c r="B14" t="s">
        <v>18</v>
      </c>
      <c r="C14" s="12">
        <f>ROUND(SUM(Calendario!F11:F370),2)</f>
        <v>13207.42</v>
      </c>
    </row>
    <row r="15" spans="2:3" x14ac:dyDescent="0.25">
      <c r="B15" t="s">
        <v>19</v>
      </c>
      <c r="C15" s="13" t="str">
        <f>IF(COUNTIF(Calendario!I8:AV8,"&gt;0")=0,"Añade tus deudas abajo.",IF(COUNTIF(Calendario!I9:AV9,"Sin mínimo")&gt;0,"Añade un pago mínimo a cada deuda.",IF(C9&lt;0,"El presupuesto no cubre los pagos mínimos.",IF(COUNTIF(Calendario!I9:AV9,"Muy bajo")&gt;0,"Un pago no cubre sus intereses. Mira la columna Revisión.",IF(Calendario!H370&gt;0,"No se liquida en 360 meses. Sube el presupuesto.","OK")))))</f>
        <v>OK</v>
      </c>
    </row>
    <row r="17" spans="2:2" x14ac:dyDescent="0.25">
      <c r="B17" s="4" t="s">
        <v>20</v>
      </c>
    </row>
    <row r="18" ht="30" customHeight="1" spans="1:10" x14ac:dyDescent="0.25">
      <c r="A18" s="14" t="s">
        <v>21</v>
      </c>
      <c r="B18" s="14" t="s">
        <v>22</v>
      </c>
      <c r="C18" s="14" t="s">
        <v>23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19</v>
      </c>
    </row>
    <row r="19" spans="1:10" x14ac:dyDescent="0.25">
      <c r="A19" s="15">
        <v>1</v>
      </c>
      <c r="B19" s="5" t="s">
        <v>30</v>
      </c>
      <c r="C19" s="7">
        <v>2500</v>
      </c>
      <c r="D19" s="16">
        <v>18</v>
      </c>
      <c r="E19" s="7">
        <v>75</v>
      </c>
      <c r="F19" s="17">
        <f>IF(Calendario!I5&gt;0,Calendario!I5,"")</f>
        <v>2</v>
      </c>
      <c r="G19" s="17">
        <f>IF(Calendario!I8&gt;0,COUNTIF(Calendario!I11:I370,"&gt;0"),"")</f>
        <v>13</v>
      </c>
      <c r="H19" s="18">
        <f>IF(Calendario!I8&gt;0,IF(Calendario!K370=0,EDATE($C$7,G19),""),"")</f>
        <v>46727</v>
      </c>
      <c r="I19" s="9">
        <f>IF(Calendario!I8&gt;0,ROUND(SUM(Calendario!J11:J370),2),"")</f>
        <v>300.59</v>
      </c>
      <c r="J19" t="str">
        <f>Calendario!I9</f>
        <v>OK</v>
      </c>
    </row>
    <row r="20" spans="1:10" x14ac:dyDescent="0.25">
      <c r="A20" s="15">
        <v>2</v>
      </c>
      <c r="B20" s="5" t="s">
        <v>31</v>
      </c>
      <c r="C20" s="7">
        <v>9000</v>
      </c>
      <c r="D20" s="16">
        <v>6</v>
      </c>
      <c r="E20" s="7">
        <v>200</v>
      </c>
      <c r="F20" s="17">
        <f>IF(Calendario!M5&gt;0,Calendario!M5,"")</f>
        <v>3</v>
      </c>
      <c r="G20" s="17">
        <f>IF(Calendario!M8&gt;0,COUNTIF(Calendario!M11:M370,"&gt;0"),"")</f>
        <v>29</v>
      </c>
      <c r="H20" s="18">
        <f>IF(Calendario!M8&gt;0,IF(Calendario!O370=0,EDATE($C$7,G20),""),"")</f>
        <v>47214</v>
      </c>
      <c r="I20" s="9">
        <f>IF(Calendario!M8&gt;0,ROUND(SUM(Calendario!N11:N370),2),"")</f>
        <v>806.83</v>
      </c>
      <c r="J20" t="str">
        <f>Calendario!M9</f>
        <v>OK</v>
      </c>
    </row>
    <row r="21" spans="1:10" x14ac:dyDescent="0.25">
      <c r="A21" s="15">
        <v>3</v>
      </c>
      <c r="B21" s="5" t="s">
        <v>32</v>
      </c>
      <c r="C21" s="7">
        <v>600</v>
      </c>
      <c r="D21" s="16">
        <v>0</v>
      </c>
      <c r="E21" s="7">
        <v>50</v>
      </c>
      <c r="F21" s="17">
        <f>IF(Calendario!Q5&gt;0,Calendario!Q5,"")</f>
        <v>1</v>
      </c>
      <c r="G21" s="17">
        <f>IF(Calendario!Q8&gt;0,COUNTIF(Calendario!Q11:Q370,"&gt;0"),"")</f>
        <v>3</v>
      </c>
      <c r="H21" s="18">
        <f>IF(Calendario!Q8&gt;0,IF(Calendario!S370=0,EDATE($C$7,G21),""),"")</f>
        <v>46424</v>
      </c>
      <c r="I21" s="9">
        <f>IF(Calendario!Q8&gt;0,ROUND(SUM(Calendario!R11:R370),2),"")</f>
        <v>0</v>
      </c>
      <c r="J21" t="str">
        <f>Calendario!Q9</f>
        <v>OK</v>
      </c>
    </row>
    <row r="22" spans="1:10" x14ac:dyDescent="0.25">
      <c r="A22" s="15">
        <v>4</v>
      </c>
      <c r="B22" s="5"/>
      <c r="C22" s="7"/>
      <c r="D22" s="16"/>
      <c r="E22" s="7"/>
      <c r="F22" s="17" t="str">
        <f>IF(Calendario!U5&gt;0,Calendario!U5,"")</f>
        <v/>
      </c>
      <c r="G22" s="17" t="str">
        <f>IF(Calendario!U8&gt;0,COUNTIF(Calendario!U11:U370,"&gt;0"),"")</f>
        <v/>
      </c>
      <c r="H22" s="18" t="str">
        <f>IF(Calendario!U8&gt;0,IF(Calendario!W370=0,EDATE($C$7,G22),""),"")</f>
        <v/>
      </c>
      <c r="I22" s="9" t="str">
        <f>IF(Calendario!U8&gt;0,ROUND(SUM(Calendario!V11:V370),2),"")</f>
        <v/>
      </c>
      <c r="J22" t="str">
        <f>Calendario!U9</f>
        <v/>
      </c>
    </row>
    <row r="23" spans="1:10" x14ac:dyDescent="0.25">
      <c r="A23" s="15">
        <v>5</v>
      </c>
      <c r="B23" s="5"/>
      <c r="C23" s="7"/>
      <c r="D23" s="16"/>
      <c r="E23" s="7"/>
      <c r="F23" s="17" t="str">
        <f>IF(Calendario!Y5&gt;0,Calendario!Y5,"")</f>
        <v/>
      </c>
      <c r="G23" s="17" t="str">
        <f>IF(Calendario!Y8&gt;0,COUNTIF(Calendario!Y11:Y370,"&gt;0"),"")</f>
        <v/>
      </c>
      <c r="H23" s="18" t="str">
        <f>IF(Calendario!Y8&gt;0,IF(Calendario!AA370=0,EDATE($C$7,G23),""),"")</f>
        <v/>
      </c>
      <c r="I23" s="9" t="str">
        <f>IF(Calendario!Y8&gt;0,ROUND(SUM(Calendario!Z11:Z370),2),"")</f>
        <v/>
      </c>
      <c r="J23" t="str">
        <f>Calendario!Y9</f>
        <v/>
      </c>
    </row>
    <row r="24" spans="1:10" x14ac:dyDescent="0.25">
      <c r="A24" s="15">
        <v>6</v>
      </c>
      <c r="B24" s="5"/>
      <c r="C24" s="7"/>
      <c r="D24" s="16"/>
      <c r="E24" s="7"/>
      <c r="F24" s="17" t="str">
        <f>IF(Calendario!AC5&gt;0,Calendario!AC5,"")</f>
        <v/>
      </c>
      <c r="G24" s="17" t="str">
        <f>IF(Calendario!AC8&gt;0,COUNTIF(Calendario!AC11:AC370,"&gt;0"),"")</f>
        <v/>
      </c>
      <c r="H24" s="18" t="str">
        <f>IF(Calendario!AC8&gt;0,IF(Calendario!AE370=0,EDATE($C$7,G24),""),"")</f>
        <v/>
      </c>
      <c r="I24" s="9" t="str">
        <f>IF(Calendario!AC8&gt;0,ROUND(SUM(Calendario!AD11:AD370),2),"")</f>
        <v/>
      </c>
      <c r="J24" t="str">
        <f>Calendario!AC9</f>
        <v/>
      </c>
    </row>
    <row r="25" spans="1:10" x14ac:dyDescent="0.25">
      <c r="A25" s="15">
        <v>7</v>
      </c>
      <c r="B25" s="5"/>
      <c r="C25" s="7"/>
      <c r="D25" s="16"/>
      <c r="E25" s="7"/>
      <c r="F25" s="17" t="str">
        <f>IF(Calendario!AG5&gt;0,Calendario!AG5,"")</f>
        <v/>
      </c>
      <c r="G25" s="17" t="str">
        <f>IF(Calendario!AG8&gt;0,COUNTIF(Calendario!AG11:AG370,"&gt;0"),"")</f>
        <v/>
      </c>
      <c r="H25" s="18" t="str">
        <f>IF(Calendario!AG8&gt;0,IF(Calendario!AI370=0,EDATE($C$7,G25),""),"")</f>
        <v/>
      </c>
      <c r="I25" s="9" t="str">
        <f>IF(Calendario!AG8&gt;0,ROUND(SUM(Calendario!AH11:AH370),2),"")</f>
        <v/>
      </c>
      <c r="J25" t="str">
        <f>Calendario!AG9</f>
        <v/>
      </c>
    </row>
    <row r="26" spans="1:10" x14ac:dyDescent="0.25">
      <c r="A26" s="15">
        <v>8</v>
      </c>
      <c r="B26" s="5"/>
      <c r="C26" s="7"/>
      <c r="D26" s="16"/>
      <c r="E26" s="7"/>
      <c r="F26" s="17" t="str">
        <f>IF(Calendario!AK5&gt;0,Calendario!AK5,"")</f>
        <v/>
      </c>
      <c r="G26" s="17" t="str">
        <f>IF(Calendario!AK8&gt;0,COUNTIF(Calendario!AK11:AK370,"&gt;0"),"")</f>
        <v/>
      </c>
      <c r="H26" s="18" t="str">
        <f>IF(Calendario!AK8&gt;0,IF(Calendario!AM370=0,EDATE($C$7,G26),""),"")</f>
        <v/>
      </c>
      <c r="I26" s="9" t="str">
        <f>IF(Calendario!AK8&gt;0,ROUND(SUM(Calendario!AL11:AL370),2),"")</f>
        <v/>
      </c>
      <c r="J26" t="str">
        <f>Calendario!AK9</f>
        <v/>
      </c>
    </row>
    <row r="27" spans="1:10" x14ac:dyDescent="0.25">
      <c r="A27" s="15">
        <v>9</v>
      </c>
      <c r="B27" s="5"/>
      <c r="C27" s="7"/>
      <c r="D27" s="16"/>
      <c r="E27" s="7"/>
      <c r="F27" s="17" t="str">
        <f>IF(Calendario!AO5&gt;0,Calendario!AO5,"")</f>
        <v/>
      </c>
      <c r="G27" s="17" t="str">
        <f>IF(Calendario!AO8&gt;0,COUNTIF(Calendario!AO11:AO370,"&gt;0"),"")</f>
        <v/>
      </c>
      <c r="H27" s="18" t="str">
        <f>IF(Calendario!AO8&gt;0,IF(Calendario!AQ370=0,EDATE($C$7,G27),""),"")</f>
        <v/>
      </c>
      <c r="I27" s="9" t="str">
        <f>IF(Calendario!AO8&gt;0,ROUND(SUM(Calendario!AP11:AP370),2),"")</f>
        <v/>
      </c>
      <c r="J27" t="str">
        <f>Calendario!AO9</f>
        <v/>
      </c>
    </row>
    <row r="28" spans="1:10" x14ac:dyDescent="0.25">
      <c r="A28" s="15">
        <v>10</v>
      </c>
      <c r="B28" s="5"/>
      <c r="C28" s="7"/>
      <c r="D28" s="16"/>
      <c r="E28" s="7"/>
      <c r="F28" s="17" t="str">
        <f>IF(Calendario!AS5&gt;0,Calendario!AS5,"")</f>
        <v/>
      </c>
      <c r="G28" s="17" t="str">
        <f>IF(Calendario!AS8&gt;0,COUNTIF(Calendario!AS11:AS370,"&gt;0"),"")</f>
        <v/>
      </c>
      <c r="H28" s="18" t="str">
        <f>IF(Calendario!AS8&gt;0,IF(Calendario!AU370=0,EDATE($C$7,G28),""),"")</f>
        <v/>
      </c>
      <c r="I28" s="9" t="str">
        <f>IF(Calendario!AS8&gt;0,ROUND(SUM(Calendario!AT11:AT370),2),"")</f>
        <v/>
      </c>
      <c r="J28" t="str">
        <f>Calendario!AS9</f>
        <v/>
      </c>
    </row>
    <row r="29" spans="2:9" x14ac:dyDescent="0.25">
      <c r="B29" s="19" t="s">
        <v>33</v>
      </c>
      <c r="C29" s="20">
        <f>ROUND(SUM(Calendario!I8:AV8),2)</f>
        <v>12100</v>
      </c>
      <c r="E29" s="20">
        <f>C8</f>
        <v>325</v>
      </c>
      <c r="I29" s="20">
        <f>C13</f>
        <v>1107.42</v>
      </c>
    </row>
  </sheetData>
  <dataValidations count="1">
    <dataValidation type="list" showErrorMessage="1" errorTitle="Método" error="Elige Bola de nieve o Avalancha." sqref="C5">
      <formula1>"Bola de nieve,Avalancha"</formula1>
    </dataValidation>
  </dataValidations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70"/>
  <sheetViews>
    <sheetView workbookViewId="0">
      <pane xSplit="2" ySplit="10" topLeftCell="C11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1" customWidth="1"/>
    <col min="3" max="3" width="10" customWidth="1"/>
    <col min="4" max="4" width="16" customWidth="1"/>
    <col min="5" max="5" width="12" customWidth="1"/>
    <col min="6" max="6" width="13" customWidth="1"/>
    <col min="7" max="7" width="12" customWidth="1"/>
    <col min="8" max="8" width="14" customWidth="1"/>
    <col min="9" max="11" width="12" customWidth="1"/>
    <col min="12" max="12" width="12" hidden="1" customWidth="1"/>
    <col min="13" max="15" width="12" customWidth="1"/>
    <col min="16" max="16" width="12" hidden="1" customWidth="1"/>
    <col min="17" max="19" width="12" customWidth="1"/>
    <col min="20" max="20" width="12" hidden="1" customWidth="1"/>
    <col min="21" max="23" width="12" customWidth="1"/>
    <col min="24" max="24" width="12" hidden="1" customWidth="1"/>
    <col min="25" max="27" width="12" customWidth="1"/>
    <col min="28" max="28" width="12" hidden="1" customWidth="1"/>
    <col min="29" max="31" width="12" customWidth="1"/>
    <col min="32" max="32" width="12" hidden="1" customWidth="1"/>
    <col min="33" max="35" width="12" customWidth="1"/>
    <col min="36" max="36" width="12" hidden="1" customWidth="1"/>
    <col min="37" max="39" width="12" customWidth="1"/>
    <col min="40" max="40" width="12" hidden="1" customWidth="1"/>
    <col min="41" max="43" width="12" customWidth="1"/>
    <col min="44" max="44" width="12" hidden="1" customWidth="1"/>
    <col min="45" max="47" width="12" customWidth="1"/>
    <col min="48" max="48" width="12" hidden="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4:45" x14ac:dyDescent="0.25">
      <c r="D4" t="s">
        <v>4</v>
      </c>
      <c r="E4" t="str">
        <f>IF(UPPER(LEFT(TRIM(Plan!C5),1))="A","Avalancha","Bola de nieve")</f>
        <v>Bola de nieve</v>
      </c>
      <c r="H4" t="s">
        <v>22</v>
      </c>
      <c r="I4" s="13" t="str">
        <f>IF(I8&gt;0,IF(TRIM(Plan!B19)="","Deuda 1",TRIM(Plan!B19)),"")</f>
        <v>Tarjeta de crédito</v>
      </c>
      <c r="M4" s="13" t="str">
        <f>IF(M8&gt;0,IF(TRIM(Plan!B20)="","Deuda 2",TRIM(Plan!B20)),"")</f>
        <v>Préstamo de coche</v>
      </c>
      <c r="Q4" s="13" t="str">
        <f>IF(Q8&gt;0,IF(TRIM(Plan!B21)="","Deuda 3",TRIM(Plan!B21)),"")</f>
        <v>Compra a plazos</v>
      </c>
      <c r="U4" s="13" t="str">
        <f>IF(U8&gt;0,IF(TRIM(Plan!B22)="","Deuda 4",TRIM(Plan!B22)),"")</f>
        <v/>
      </c>
      <c r="Y4" s="13" t="str">
        <f>IF(Y8&gt;0,IF(TRIM(Plan!B23)="","Deuda 5",TRIM(Plan!B23)),"")</f>
        <v/>
      </c>
      <c r="AC4" s="13" t="str">
        <f>IF(AC8&gt;0,IF(TRIM(Plan!B24)="","Deuda 6",TRIM(Plan!B24)),"")</f>
        <v/>
      </c>
      <c r="AG4" s="13" t="str">
        <f>IF(AG8&gt;0,IF(TRIM(Plan!B25)="","Deuda 7",TRIM(Plan!B25)),"")</f>
        <v/>
      </c>
      <c r="AK4" s="13" t="str">
        <f>IF(AK8&gt;0,IF(TRIM(Plan!B26)="","Deuda 8",TRIM(Plan!B26)),"")</f>
        <v/>
      </c>
      <c r="AO4" s="13" t="str">
        <f>IF(AO8&gt;0,IF(TRIM(Plan!B27)="","Deuda 9",TRIM(Plan!B27)),"")</f>
        <v/>
      </c>
      <c r="AS4" s="13" t="str">
        <f>IF(AS8&gt;0,IF(TRIM(Plan!B28)="","Deuda 10",TRIM(Plan!B28)),"")</f>
        <v/>
      </c>
    </row>
    <row r="5" spans="4:45" x14ac:dyDescent="0.25">
      <c r="D5" t="s">
        <v>12</v>
      </c>
      <c r="E5" s="9">
        <f>MAX(0,Plan!C9)</f>
        <v>150</v>
      </c>
      <c r="H5" t="s">
        <v>26</v>
      </c>
      <c r="I5" s="21">
        <f>IF(I8&gt;0,1+IF(AND(M8&gt;0,IF($E$4="Avalancha",OR(M7&gt;I7,AND(M7=I7,OR(M8&lt;I8,AND(M8=I8,M4&lt;I4)))),OR(M8&lt;I8,AND(M8=I8,OR(M7&gt;I7,AND(M7=I7,M4&lt;I4)))))),1,0)+IF(AND(Q8&gt;0,IF($E$4="Avalancha",OR(Q7&gt;I7,AND(Q7=I7,OR(Q8&lt;I8,AND(Q8=I8,Q4&lt;I4)))),OR(Q8&lt;I8,AND(Q8=I8,OR(Q7&gt;I7,AND(Q7=I7,Q4&lt;I4)))))),1,0)+IF(AND(U8&gt;0,IF($E$4="Avalancha",OR(U7&gt;I7,AND(U7=I7,OR(U8&lt;I8,AND(U8=I8,U4&lt;I4)))),OR(U8&lt;I8,AND(U8=I8,OR(U7&gt;I7,AND(U7=I7,U4&lt;I4)))))),1,0)+IF(AND(Y8&gt;0,IF($E$4="Avalancha",OR(Y7&gt;I7,AND(Y7=I7,OR(Y8&lt;I8,AND(Y8=I8,Y4&lt;I4)))),OR(Y8&lt;I8,AND(Y8=I8,OR(Y7&gt;I7,AND(Y7=I7,Y4&lt;I4)))))),1,0)+IF(AND(AC8&gt;0,IF($E$4="Avalancha",OR(AC7&gt;I7,AND(AC7=I7,OR(AC8&lt;I8,AND(AC8=I8,AC4&lt;I4)))),OR(AC8&lt;I8,AND(AC8=I8,OR(AC7&gt;I7,AND(AC7=I7,AC4&lt;I4)))))),1,0)+IF(AND(AG8&gt;0,IF($E$4="Avalancha",OR(AG7&gt;I7,AND(AG7=I7,OR(AG8&lt;I8,AND(AG8=I8,AG4&lt;I4)))),OR(AG8&lt;I8,AND(AG8=I8,OR(AG7&gt;I7,AND(AG7=I7,AG4&lt;I4)))))),1,0)+IF(AND(AK8&gt;0,IF($E$4="Avalancha",OR(AK7&gt;I7,AND(AK7=I7,OR(AK8&lt;I8,AND(AK8=I8,AK4&lt;I4)))),OR(AK8&lt;I8,AND(AK8=I8,OR(AK7&gt;I7,AND(AK7=I7,AK4&lt;I4)))))),1,0)+IF(AND(AO8&gt;0,IF($E$4="Avalancha",OR(AO7&gt;I7,AND(AO7=I7,OR(AO8&lt;I8,AND(AO8=I8,AO4&lt;I4)))),OR(AO8&lt;I8,AND(AO8=I8,OR(AO7&gt;I7,AND(AO7=I7,AO4&lt;I4)))))),1,0)+IF(AND(AS8&gt;0,IF($E$4="Avalancha",OR(AS7&gt;I7,AND(AS7=I7,OR(AS8&lt;I8,AND(AS8=I8,AS4&lt;I4)))),OR(AS8&lt;I8,AND(AS8=I8,OR(AS7&gt;I7,AND(AS7=I7,AS4&lt;I4)))))),1,0),0)</f>
        <v>2</v>
      </c>
      <c r="M5" s="21">
        <f>IF(M8&gt;0,1+IF(AND(I8&gt;0,IF($E$4="Avalancha",OR(I7&gt;M7,AND(I7=M7,OR(I8&lt;M8,AND(I8=M8,I4&lt;=M4)))),OR(I8&lt;M8,AND(I8=M8,OR(I7&gt;M7,AND(I7=M7,I4&lt;=M4)))))),1,0)+IF(AND(Q8&gt;0,IF($E$4="Avalancha",OR(Q7&gt;M7,AND(Q7=M7,OR(Q8&lt;M8,AND(Q8=M8,Q4&lt;M4)))),OR(Q8&lt;M8,AND(Q8=M8,OR(Q7&gt;M7,AND(Q7=M7,Q4&lt;M4)))))),1,0)+IF(AND(U8&gt;0,IF($E$4="Avalancha",OR(U7&gt;M7,AND(U7=M7,OR(U8&lt;M8,AND(U8=M8,U4&lt;M4)))),OR(U8&lt;M8,AND(U8=M8,OR(U7&gt;M7,AND(U7=M7,U4&lt;M4)))))),1,0)+IF(AND(Y8&gt;0,IF($E$4="Avalancha",OR(Y7&gt;M7,AND(Y7=M7,OR(Y8&lt;M8,AND(Y8=M8,Y4&lt;M4)))),OR(Y8&lt;M8,AND(Y8=M8,OR(Y7&gt;M7,AND(Y7=M7,Y4&lt;M4)))))),1,0)+IF(AND(AC8&gt;0,IF($E$4="Avalancha",OR(AC7&gt;M7,AND(AC7=M7,OR(AC8&lt;M8,AND(AC8=M8,AC4&lt;M4)))),OR(AC8&lt;M8,AND(AC8=M8,OR(AC7&gt;M7,AND(AC7=M7,AC4&lt;M4)))))),1,0)+IF(AND(AG8&gt;0,IF($E$4="Avalancha",OR(AG7&gt;M7,AND(AG7=M7,OR(AG8&lt;M8,AND(AG8=M8,AG4&lt;M4)))),OR(AG8&lt;M8,AND(AG8=M8,OR(AG7&gt;M7,AND(AG7=M7,AG4&lt;M4)))))),1,0)+IF(AND(AK8&gt;0,IF($E$4="Avalancha",OR(AK7&gt;M7,AND(AK7=M7,OR(AK8&lt;M8,AND(AK8=M8,AK4&lt;M4)))),OR(AK8&lt;M8,AND(AK8=M8,OR(AK7&gt;M7,AND(AK7=M7,AK4&lt;M4)))))),1,0)+IF(AND(AO8&gt;0,IF($E$4="Avalancha",OR(AO7&gt;M7,AND(AO7=M7,OR(AO8&lt;M8,AND(AO8=M8,AO4&lt;M4)))),OR(AO8&lt;M8,AND(AO8=M8,OR(AO7&gt;M7,AND(AO7=M7,AO4&lt;M4)))))),1,0)+IF(AND(AS8&gt;0,IF($E$4="Avalancha",OR(AS7&gt;M7,AND(AS7=M7,OR(AS8&lt;M8,AND(AS8=M8,AS4&lt;M4)))),OR(AS8&lt;M8,AND(AS8=M8,OR(AS7&gt;M7,AND(AS7=M7,AS4&lt;M4)))))),1,0),0)</f>
        <v>3</v>
      </c>
      <c r="Q5" s="21">
        <f>IF(Q8&gt;0,1+IF(AND(I8&gt;0,IF($E$4="Avalancha",OR(I7&gt;Q7,AND(I7=Q7,OR(I8&lt;Q8,AND(I8=Q8,I4&lt;=Q4)))),OR(I8&lt;Q8,AND(I8=Q8,OR(I7&gt;Q7,AND(I7=Q7,I4&lt;=Q4)))))),1,0)+IF(AND(M8&gt;0,IF($E$4="Avalancha",OR(M7&gt;Q7,AND(M7=Q7,OR(M8&lt;Q8,AND(M8=Q8,M4&lt;=Q4)))),OR(M8&lt;Q8,AND(M8=Q8,OR(M7&gt;Q7,AND(M7=Q7,M4&lt;=Q4)))))),1,0)+IF(AND(U8&gt;0,IF($E$4="Avalancha",OR(U7&gt;Q7,AND(U7=Q7,OR(U8&lt;Q8,AND(U8=Q8,U4&lt;Q4)))),OR(U8&lt;Q8,AND(U8=Q8,OR(U7&gt;Q7,AND(U7=Q7,U4&lt;Q4)))))),1,0)+IF(AND(Y8&gt;0,IF($E$4="Avalancha",OR(Y7&gt;Q7,AND(Y7=Q7,OR(Y8&lt;Q8,AND(Y8=Q8,Y4&lt;Q4)))),OR(Y8&lt;Q8,AND(Y8=Q8,OR(Y7&gt;Q7,AND(Y7=Q7,Y4&lt;Q4)))))),1,0)+IF(AND(AC8&gt;0,IF($E$4="Avalancha",OR(AC7&gt;Q7,AND(AC7=Q7,OR(AC8&lt;Q8,AND(AC8=Q8,AC4&lt;Q4)))),OR(AC8&lt;Q8,AND(AC8=Q8,OR(AC7&gt;Q7,AND(AC7=Q7,AC4&lt;Q4)))))),1,0)+IF(AND(AG8&gt;0,IF($E$4="Avalancha",OR(AG7&gt;Q7,AND(AG7=Q7,OR(AG8&lt;Q8,AND(AG8=Q8,AG4&lt;Q4)))),OR(AG8&lt;Q8,AND(AG8=Q8,OR(AG7&gt;Q7,AND(AG7=Q7,AG4&lt;Q4)))))),1,0)+IF(AND(AK8&gt;0,IF($E$4="Avalancha",OR(AK7&gt;Q7,AND(AK7=Q7,OR(AK8&lt;Q8,AND(AK8=Q8,AK4&lt;Q4)))),OR(AK8&lt;Q8,AND(AK8=Q8,OR(AK7&gt;Q7,AND(AK7=Q7,AK4&lt;Q4)))))),1,0)+IF(AND(AO8&gt;0,IF($E$4="Avalancha",OR(AO7&gt;Q7,AND(AO7=Q7,OR(AO8&lt;Q8,AND(AO8=Q8,AO4&lt;Q4)))),OR(AO8&lt;Q8,AND(AO8=Q8,OR(AO7&gt;Q7,AND(AO7=Q7,AO4&lt;Q4)))))),1,0)+IF(AND(AS8&gt;0,IF($E$4="Avalancha",OR(AS7&gt;Q7,AND(AS7=Q7,OR(AS8&lt;Q8,AND(AS8=Q8,AS4&lt;Q4)))),OR(AS8&lt;Q8,AND(AS8=Q8,OR(AS7&gt;Q7,AND(AS7=Q7,AS4&lt;Q4)))))),1,0),0)</f>
        <v>1</v>
      </c>
      <c r="U5" s="21">
        <f>IF(U8&gt;0,1+IF(AND(I8&gt;0,IF($E$4="Avalancha",OR(I7&gt;U7,AND(I7=U7,OR(I8&lt;U8,AND(I8=U8,I4&lt;=U4)))),OR(I8&lt;U8,AND(I8=U8,OR(I7&gt;U7,AND(I7=U7,I4&lt;=U4)))))),1,0)+IF(AND(M8&gt;0,IF($E$4="Avalancha",OR(M7&gt;U7,AND(M7=U7,OR(M8&lt;U8,AND(M8=U8,M4&lt;=U4)))),OR(M8&lt;U8,AND(M8=U8,OR(M7&gt;U7,AND(M7=U7,M4&lt;=U4)))))),1,0)+IF(AND(Q8&gt;0,IF($E$4="Avalancha",OR(Q7&gt;U7,AND(Q7=U7,OR(Q8&lt;U8,AND(Q8=U8,Q4&lt;=U4)))),OR(Q8&lt;U8,AND(Q8=U8,OR(Q7&gt;U7,AND(Q7=U7,Q4&lt;=U4)))))),1,0)+IF(AND(Y8&gt;0,IF($E$4="Avalancha",OR(Y7&gt;U7,AND(Y7=U7,OR(Y8&lt;U8,AND(Y8=U8,Y4&lt;U4)))),OR(Y8&lt;U8,AND(Y8=U8,OR(Y7&gt;U7,AND(Y7=U7,Y4&lt;U4)))))),1,0)+IF(AND(AC8&gt;0,IF($E$4="Avalancha",OR(AC7&gt;U7,AND(AC7=U7,OR(AC8&lt;U8,AND(AC8=U8,AC4&lt;U4)))),OR(AC8&lt;U8,AND(AC8=U8,OR(AC7&gt;U7,AND(AC7=U7,AC4&lt;U4)))))),1,0)+IF(AND(AG8&gt;0,IF($E$4="Avalancha",OR(AG7&gt;U7,AND(AG7=U7,OR(AG8&lt;U8,AND(AG8=U8,AG4&lt;U4)))),OR(AG8&lt;U8,AND(AG8=U8,OR(AG7&gt;U7,AND(AG7=U7,AG4&lt;U4)))))),1,0)+IF(AND(AK8&gt;0,IF($E$4="Avalancha",OR(AK7&gt;U7,AND(AK7=U7,OR(AK8&lt;U8,AND(AK8=U8,AK4&lt;U4)))),OR(AK8&lt;U8,AND(AK8=U8,OR(AK7&gt;U7,AND(AK7=U7,AK4&lt;U4)))))),1,0)+IF(AND(AO8&gt;0,IF($E$4="Avalancha",OR(AO7&gt;U7,AND(AO7=U7,OR(AO8&lt;U8,AND(AO8=U8,AO4&lt;U4)))),OR(AO8&lt;U8,AND(AO8=U8,OR(AO7&gt;U7,AND(AO7=U7,AO4&lt;U4)))))),1,0)+IF(AND(AS8&gt;0,IF($E$4="Avalancha",OR(AS7&gt;U7,AND(AS7=U7,OR(AS8&lt;U8,AND(AS8=U8,AS4&lt;U4)))),OR(AS8&lt;U8,AND(AS8=U8,OR(AS7&gt;U7,AND(AS7=U7,AS4&lt;U4)))))),1,0),0)</f>
        <v>0</v>
      </c>
      <c r="Y5" s="21">
        <f>IF(Y8&gt;0,1+IF(AND(I8&gt;0,IF($E$4="Avalancha",OR(I7&gt;Y7,AND(I7=Y7,OR(I8&lt;Y8,AND(I8=Y8,I4&lt;=Y4)))),OR(I8&lt;Y8,AND(I8=Y8,OR(I7&gt;Y7,AND(I7=Y7,I4&lt;=Y4)))))),1,0)+IF(AND(M8&gt;0,IF($E$4="Avalancha",OR(M7&gt;Y7,AND(M7=Y7,OR(M8&lt;Y8,AND(M8=Y8,M4&lt;=Y4)))),OR(M8&lt;Y8,AND(M8=Y8,OR(M7&gt;Y7,AND(M7=Y7,M4&lt;=Y4)))))),1,0)+IF(AND(Q8&gt;0,IF($E$4="Avalancha",OR(Q7&gt;Y7,AND(Q7=Y7,OR(Q8&lt;Y8,AND(Q8=Y8,Q4&lt;=Y4)))),OR(Q8&lt;Y8,AND(Q8=Y8,OR(Q7&gt;Y7,AND(Q7=Y7,Q4&lt;=Y4)))))),1,0)+IF(AND(U8&gt;0,IF($E$4="Avalancha",OR(U7&gt;Y7,AND(U7=Y7,OR(U8&lt;Y8,AND(U8=Y8,U4&lt;=Y4)))),OR(U8&lt;Y8,AND(U8=Y8,OR(U7&gt;Y7,AND(U7=Y7,U4&lt;=Y4)))))),1,0)+IF(AND(AC8&gt;0,IF($E$4="Avalancha",OR(AC7&gt;Y7,AND(AC7=Y7,OR(AC8&lt;Y8,AND(AC8=Y8,AC4&lt;Y4)))),OR(AC8&lt;Y8,AND(AC8=Y8,OR(AC7&gt;Y7,AND(AC7=Y7,AC4&lt;Y4)))))),1,0)+IF(AND(AG8&gt;0,IF($E$4="Avalancha",OR(AG7&gt;Y7,AND(AG7=Y7,OR(AG8&lt;Y8,AND(AG8=Y8,AG4&lt;Y4)))),OR(AG8&lt;Y8,AND(AG8=Y8,OR(AG7&gt;Y7,AND(AG7=Y7,AG4&lt;Y4)))))),1,0)+IF(AND(AK8&gt;0,IF($E$4="Avalancha",OR(AK7&gt;Y7,AND(AK7=Y7,OR(AK8&lt;Y8,AND(AK8=Y8,AK4&lt;Y4)))),OR(AK8&lt;Y8,AND(AK8=Y8,OR(AK7&gt;Y7,AND(AK7=Y7,AK4&lt;Y4)))))),1,0)+IF(AND(AO8&gt;0,IF($E$4="Avalancha",OR(AO7&gt;Y7,AND(AO7=Y7,OR(AO8&lt;Y8,AND(AO8=Y8,AO4&lt;Y4)))),OR(AO8&lt;Y8,AND(AO8=Y8,OR(AO7&gt;Y7,AND(AO7=Y7,AO4&lt;Y4)))))),1,0)+IF(AND(AS8&gt;0,IF($E$4="Avalancha",OR(AS7&gt;Y7,AND(AS7=Y7,OR(AS8&lt;Y8,AND(AS8=Y8,AS4&lt;Y4)))),OR(AS8&lt;Y8,AND(AS8=Y8,OR(AS7&gt;Y7,AND(AS7=Y7,AS4&lt;Y4)))))),1,0),0)</f>
        <v>0</v>
      </c>
      <c r="AC5" s="21">
        <f>IF(AC8&gt;0,1+IF(AND(I8&gt;0,IF($E$4="Avalancha",OR(I7&gt;AC7,AND(I7=AC7,OR(I8&lt;AC8,AND(I8=AC8,I4&lt;=AC4)))),OR(I8&lt;AC8,AND(I8=AC8,OR(I7&gt;AC7,AND(I7=AC7,I4&lt;=AC4)))))),1,0)+IF(AND(M8&gt;0,IF($E$4="Avalancha",OR(M7&gt;AC7,AND(M7=AC7,OR(M8&lt;AC8,AND(M8=AC8,M4&lt;=AC4)))),OR(M8&lt;AC8,AND(M8=AC8,OR(M7&gt;AC7,AND(M7=AC7,M4&lt;=AC4)))))),1,0)+IF(AND(Q8&gt;0,IF($E$4="Avalancha",OR(Q7&gt;AC7,AND(Q7=AC7,OR(Q8&lt;AC8,AND(Q8=AC8,Q4&lt;=AC4)))),OR(Q8&lt;AC8,AND(Q8=AC8,OR(Q7&gt;AC7,AND(Q7=AC7,Q4&lt;=AC4)))))),1,0)+IF(AND(U8&gt;0,IF($E$4="Avalancha",OR(U7&gt;AC7,AND(U7=AC7,OR(U8&lt;AC8,AND(U8=AC8,U4&lt;=AC4)))),OR(U8&lt;AC8,AND(U8=AC8,OR(U7&gt;AC7,AND(U7=AC7,U4&lt;=AC4)))))),1,0)+IF(AND(Y8&gt;0,IF($E$4="Avalancha",OR(Y7&gt;AC7,AND(Y7=AC7,OR(Y8&lt;AC8,AND(Y8=AC8,Y4&lt;=AC4)))),OR(Y8&lt;AC8,AND(Y8=AC8,OR(Y7&gt;AC7,AND(Y7=AC7,Y4&lt;=AC4)))))),1,0)+IF(AND(AG8&gt;0,IF($E$4="Avalancha",OR(AG7&gt;AC7,AND(AG7=AC7,OR(AG8&lt;AC8,AND(AG8=AC8,AG4&lt;AC4)))),OR(AG8&lt;AC8,AND(AG8=AC8,OR(AG7&gt;AC7,AND(AG7=AC7,AG4&lt;AC4)))))),1,0)+IF(AND(AK8&gt;0,IF($E$4="Avalancha",OR(AK7&gt;AC7,AND(AK7=AC7,OR(AK8&lt;AC8,AND(AK8=AC8,AK4&lt;AC4)))),OR(AK8&lt;AC8,AND(AK8=AC8,OR(AK7&gt;AC7,AND(AK7=AC7,AK4&lt;AC4)))))),1,0)+IF(AND(AO8&gt;0,IF($E$4="Avalancha",OR(AO7&gt;AC7,AND(AO7=AC7,OR(AO8&lt;AC8,AND(AO8=AC8,AO4&lt;AC4)))),OR(AO8&lt;AC8,AND(AO8=AC8,OR(AO7&gt;AC7,AND(AO7=AC7,AO4&lt;AC4)))))),1,0)+IF(AND(AS8&gt;0,IF($E$4="Avalancha",OR(AS7&gt;AC7,AND(AS7=AC7,OR(AS8&lt;AC8,AND(AS8=AC8,AS4&lt;AC4)))),OR(AS8&lt;AC8,AND(AS8=AC8,OR(AS7&gt;AC7,AND(AS7=AC7,AS4&lt;AC4)))))),1,0),0)</f>
        <v>0</v>
      </c>
      <c r="AG5" s="21">
        <f>IF(AG8&gt;0,1+IF(AND(I8&gt;0,IF($E$4="Avalancha",OR(I7&gt;AG7,AND(I7=AG7,OR(I8&lt;AG8,AND(I8=AG8,I4&lt;=AG4)))),OR(I8&lt;AG8,AND(I8=AG8,OR(I7&gt;AG7,AND(I7=AG7,I4&lt;=AG4)))))),1,0)+IF(AND(M8&gt;0,IF($E$4="Avalancha",OR(M7&gt;AG7,AND(M7=AG7,OR(M8&lt;AG8,AND(M8=AG8,M4&lt;=AG4)))),OR(M8&lt;AG8,AND(M8=AG8,OR(M7&gt;AG7,AND(M7=AG7,M4&lt;=AG4)))))),1,0)+IF(AND(Q8&gt;0,IF($E$4="Avalancha",OR(Q7&gt;AG7,AND(Q7=AG7,OR(Q8&lt;AG8,AND(Q8=AG8,Q4&lt;=AG4)))),OR(Q8&lt;AG8,AND(Q8=AG8,OR(Q7&gt;AG7,AND(Q7=AG7,Q4&lt;=AG4)))))),1,0)+IF(AND(U8&gt;0,IF($E$4="Avalancha",OR(U7&gt;AG7,AND(U7=AG7,OR(U8&lt;AG8,AND(U8=AG8,U4&lt;=AG4)))),OR(U8&lt;AG8,AND(U8=AG8,OR(U7&gt;AG7,AND(U7=AG7,U4&lt;=AG4)))))),1,0)+IF(AND(Y8&gt;0,IF($E$4="Avalancha",OR(Y7&gt;AG7,AND(Y7=AG7,OR(Y8&lt;AG8,AND(Y8=AG8,Y4&lt;=AG4)))),OR(Y8&lt;AG8,AND(Y8=AG8,OR(Y7&gt;AG7,AND(Y7=AG7,Y4&lt;=AG4)))))),1,0)+IF(AND(AC8&gt;0,IF($E$4="Avalancha",OR(AC7&gt;AG7,AND(AC7=AG7,OR(AC8&lt;AG8,AND(AC8=AG8,AC4&lt;=AG4)))),OR(AC8&lt;AG8,AND(AC8=AG8,OR(AC7&gt;AG7,AND(AC7=AG7,AC4&lt;=AG4)))))),1,0)+IF(AND(AK8&gt;0,IF($E$4="Avalancha",OR(AK7&gt;AG7,AND(AK7=AG7,OR(AK8&lt;AG8,AND(AK8=AG8,AK4&lt;AG4)))),OR(AK8&lt;AG8,AND(AK8=AG8,OR(AK7&gt;AG7,AND(AK7=AG7,AK4&lt;AG4)))))),1,0)+IF(AND(AO8&gt;0,IF($E$4="Avalancha",OR(AO7&gt;AG7,AND(AO7=AG7,OR(AO8&lt;AG8,AND(AO8=AG8,AO4&lt;AG4)))),OR(AO8&lt;AG8,AND(AO8=AG8,OR(AO7&gt;AG7,AND(AO7=AG7,AO4&lt;AG4)))))),1,0)+IF(AND(AS8&gt;0,IF($E$4="Avalancha",OR(AS7&gt;AG7,AND(AS7=AG7,OR(AS8&lt;AG8,AND(AS8=AG8,AS4&lt;AG4)))),OR(AS8&lt;AG8,AND(AS8=AG8,OR(AS7&gt;AG7,AND(AS7=AG7,AS4&lt;AG4)))))),1,0),0)</f>
        <v>0</v>
      </c>
      <c r="AK5" s="21">
        <f>IF(AK8&gt;0,1+IF(AND(I8&gt;0,IF($E$4="Avalancha",OR(I7&gt;AK7,AND(I7=AK7,OR(I8&lt;AK8,AND(I8=AK8,I4&lt;=AK4)))),OR(I8&lt;AK8,AND(I8=AK8,OR(I7&gt;AK7,AND(I7=AK7,I4&lt;=AK4)))))),1,0)+IF(AND(M8&gt;0,IF($E$4="Avalancha",OR(M7&gt;AK7,AND(M7=AK7,OR(M8&lt;AK8,AND(M8=AK8,M4&lt;=AK4)))),OR(M8&lt;AK8,AND(M8=AK8,OR(M7&gt;AK7,AND(M7=AK7,M4&lt;=AK4)))))),1,0)+IF(AND(Q8&gt;0,IF($E$4="Avalancha",OR(Q7&gt;AK7,AND(Q7=AK7,OR(Q8&lt;AK8,AND(Q8=AK8,Q4&lt;=AK4)))),OR(Q8&lt;AK8,AND(Q8=AK8,OR(Q7&gt;AK7,AND(Q7=AK7,Q4&lt;=AK4)))))),1,0)+IF(AND(U8&gt;0,IF($E$4="Avalancha",OR(U7&gt;AK7,AND(U7=AK7,OR(U8&lt;AK8,AND(U8=AK8,U4&lt;=AK4)))),OR(U8&lt;AK8,AND(U8=AK8,OR(U7&gt;AK7,AND(U7=AK7,U4&lt;=AK4)))))),1,0)+IF(AND(Y8&gt;0,IF($E$4="Avalancha",OR(Y7&gt;AK7,AND(Y7=AK7,OR(Y8&lt;AK8,AND(Y8=AK8,Y4&lt;=AK4)))),OR(Y8&lt;AK8,AND(Y8=AK8,OR(Y7&gt;AK7,AND(Y7=AK7,Y4&lt;=AK4)))))),1,0)+IF(AND(AC8&gt;0,IF($E$4="Avalancha",OR(AC7&gt;AK7,AND(AC7=AK7,OR(AC8&lt;AK8,AND(AC8=AK8,AC4&lt;=AK4)))),OR(AC8&lt;AK8,AND(AC8=AK8,OR(AC7&gt;AK7,AND(AC7=AK7,AC4&lt;=AK4)))))),1,0)+IF(AND(AG8&gt;0,IF($E$4="Avalancha",OR(AG7&gt;AK7,AND(AG7=AK7,OR(AG8&lt;AK8,AND(AG8=AK8,AG4&lt;=AK4)))),OR(AG8&lt;AK8,AND(AG8=AK8,OR(AG7&gt;AK7,AND(AG7=AK7,AG4&lt;=AK4)))))),1,0)+IF(AND(AO8&gt;0,IF($E$4="Avalancha",OR(AO7&gt;AK7,AND(AO7=AK7,OR(AO8&lt;AK8,AND(AO8=AK8,AO4&lt;AK4)))),OR(AO8&lt;AK8,AND(AO8=AK8,OR(AO7&gt;AK7,AND(AO7=AK7,AO4&lt;AK4)))))),1,0)+IF(AND(AS8&gt;0,IF($E$4="Avalancha",OR(AS7&gt;AK7,AND(AS7=AK7,OR(AS8&lt;AK8,AND(AS8=AK8,AS4&lt;AK4)))),OR(AS8&lt;AK8,AND(AS8=AK8,OR(AS7&gt;AK7,AND(AS7=AK7,AS4&lt;AK4)))))),1,0),0)</f>
        <v>0</v>
      </c>
      <c r="AO5" s="21">
        <f>IF(AO8&gt;0,1+IF(AND(I8&gt;0,IF($E$4="Avalancha",OR(I7&gt;AO7,AND(I7=AO7,OR(I8&lt;AO8,AND(I8=AO8,I4&lt;=AO4)))),OR(I8&lt;AO8,AND(I8=AO8,OR(I7&gt;AO7,AND(I7=AO7,I4&lt;=AO4)))))),1,0)+IF(AND(M8&gt;0,IF($E$4="Avalancha",OR(M7&gt;AO7,AND(M7=AO7,OR(M8&lt;AO8,AND(M8=AO8,M4&lt;=AO4)))),OR(M8&lt;AO8,AND(M8=AO8,OR(M7&gt;AO7,AND(M7=AO7,M4&lt;=AO4)))))),1,0)+IF(AND(Q8&gt;0,IF($E$4="Avalancha",OR(Q7&gt;AO7,AND(Q7=AO7,OR(Q8&lt;AO8,AND(Q8=AO8,Q4&lt;=AO4)))),OR(Q8&lt;AO8,AND(Q8=AO8,OR(Q7&gt;AO7,AND(Q7=AO7,Q4&lt;=AO4)))))),1,0)+IF(AND(U8&gt;0,IF($E$4="Avalancha",OR(U7&gt;AO7,AND(U7=AO7,OR(U8&lt;AO8,AND(U8=AO8,U4&lt;=AO4)))),OR(U8&lt;AO8,AND(U8=AO8,OR(U7&gt;AO7,AND(U7=AO7,U4&lt;=AO4)))))),1,0)+IF(AND(Y8&gt;0,IF($E$4="Avalancha",OR(Y7&gt;AO7,AND(Y7=AO7,OR(Y8&lt;AO8,AND(Y8=AO8,Y4&lt;=AO4)))),OR(Y8&lt;AO8,AND(Y8=AO8,OR(Y7&gt;AO7,AND(Y7=AO7,Y4&lt;=AO4)))))),1,0)+IF(AND(AC8&gt;0,IF($E$4="Avalancha",OR(AC7&gt;AO7,AND(AC7=AO7,OR(AC8&lt;AO8,AND(AC8=AO8,AC4&lt;=AO4)))),OR(AC8&lt;AO8,AND(AC8=AO8,OR(AC7&gt;AO7,AND(AC7=AO7,AC4&lt;=AO4)))))),1,0)+IF(AND(AG8&gt;0,IF($E$4="Avalancha",OR(AG7&gt;AO7,AND(AG7=AO7,OR(AG8&lt;AO8,AND(AG8=AO8,AG4&lt;=AO4)))),OR(AG8&lt;AO8,AND(AG8=AO8,OR(AG7&gt;AO7,AND(AG7=AO7,AG4&lt;=AO4)))))),1,0)+IF(AND(AK8&gt;0,IF($E$4="Avalancha",OR(AK7&gt;AO7,AND(AK7=AO7,OR(AK8&lt;AO8,AND(AK8=AO8,AK4&lt;=AO4)))),OR(AK8&lt;AO8,AND(AK8=AO8,OR(AK7&gt;AO7,AND(AK7=AO7,AK4&lt;=AO4)))))),1,0)+IF(AND(AS8&gt;0,IF($E$4="Avalancha",OR(AS7&gt;AO7,AND(AS7=AO7,OR(AS8&lt;AO8,AND(AS8=AO8,AS4&lt;AO4)))),OR(AS8&lt;AO8,AND(AS8=AO8,OR(AS7&gt;AO7,AND(AS7=AO7,AS4&lt;AO4)))))),1,0),0)</f>
        <v>0</v>
      </c>
      <c r="AS5" s="21">
        <f>IF(AS8&gt;0,1+IF(AND(I8&gt;0,IF($E$4="Avalancha",OR(I7&gt;AS7,AND(I7=AS7,OR(I8&lt;AS8,AND(I8=AS8,I4&lt;=AS4)))),OR(I8&lt;AS8,AND(I8=AS8,OR(I7&gt;AS7,AND(I7=AS7,I4&lt;=AS4)))))),1,0)+IF(AND(M8&gt;0,IF($E$4="Avalancha",OR(M7&gt;AS7,AND(M7=AS7,OR(M8&lt;AS8,AND(M8=AS8,M4&lt;=AS4)))),OR(M8&lt;AS8,AND(M8=AS8,OR(M7&gt;AS7,AND(M7=AS7,M4&lt;=AS4)))))),1,0)+IF(AND(Q8&gt;0,IF($E$4="Avalancha",OR(Q7&gt;AS7,AND(Q7=AS7,OR(Q8&lt;AS8,AND(Q8=AS8,Q4&lt;=AS4)))),OR(Q8&lt;AS8,AND(Q8=AS8,OR(Q7&gt;AS7,AND(Q7=AS7,Q4&lt;=AS4)))))),1,0)+IF(AND(U8&gt;0,IF($E$4="Avalancha",OR(U7&gt;AS7,AND(U7=AS7,OR(U8&lt;AS8,AND(U8=AS8,U4&lt;=AS4)))),OR(U8&lt;AS8,AND(U8=AS8,OR(U7&gt;AS7,AND(U7=AS7,U4&lt;=AS4)))))),1,0)+IF(AND(Y8&gt;0,IF($E$4="Avalancha",OR(Y7&gt;AS7,AND(Y7=AS7,OR(Y8&lt;AS8,AND(Y8=AS8,Y4&lt;=AS4)))),OR(Y8&lt;AS8,AND(Y8=AS8,OR(Y7&gt;AS7,AND(Y7=AS7,Y4&lt;=AS4)))))),1,0)+IF(AND(AC8&gt;0,IF($E$4="Avalancha",OR(AC7&gt;AS7,AND(AC7=AS7,OR(AC8&lt;AS8,AND(AC8=AS8,AC4&lt;=AS4)))),OR(AC8&lt;AS8,AND(AC8=AS8,OR(AC7&gt;AS7,AND(AC7=AS7,AC4&lt;=AS4)))))),1,0)+IF(AND(AG8&gt;0,IF($E$4="Avalancha",OR(AG7&gt;AS7,AND(AG7=AS7,OR(AG8&lt;AS8,AND(AG8=AS8,AG4&lt;=AS4)))),OR(AG8&lt;AS8,AND(AG8=AS8,OR(AG7&gt;AS7,AND(AG7=AS7,AG4&lt;=AS4)))))),1,0)+IF(AND(AK8&gt;0,IF($E$4="Avalancha",OR(AK7&gt;AS7,AND(AK7=AS7,OR(AK8&lt;AS8,AND(AK8=AS8,AK4&lt;=AS4)))),OR(AK8&lt;AS8,AND(AK8=AS8,OR(AK7&gt;AS7,AND(AK7=AS7,AK4&lt;=AS4)))))),1,0)+IF(AND(AO8&gt;0,IF($E$4="Avalancha",OR(AO7&gt;AS7,AND(AO7=AS7,OR(AO8&lt;AS8,AND(AO8=AS8,AO4&lt;=AS4)))),OR(AO8&lt;AS8,AND(AO8=AS8,OR(AO7&gt;AS7,AND(AO7=AS7,AO4&lt;=AS4)))))),1,0),0)</f>
        <v>0</v>
      </c>
    </row>
    <row r="6" spans="4:45" x14ac:dyDescent="0.25">
      <c r="D6" t="s">
        <v>9</v>
      </c>
      <c r="E6" s="22">
        <f>Plan!C7</f>
        <v>46332</v>
      </c>
      <c r="H6" t="s">
        <v>36</v>
      </c>
      <c r="I6" s="9">
        <f>IF(I8&gt;0,MAX(0,IFERROR(ROUND(Plan!E19,2),0)),0)</f>
        <v>75</v>
      </c>
      <c r="M6" s="9">
        <f>IF(M8&gt;0,MAX(0,IFERROR(ROUND(Plan!E20,2),0)),0)</f>
        <v>200</v>
      </c>
      <c r="Q6" s="9">
        <f>IF(Q8&gt;0,MAX(0,IFERROR(ROUND(Plan!E21,2),0)),0)</f>
        <v>50</v>
      </c>
      <c r="U6" s="9">
        <f>IF(U8&gt;0,MAX(0,IFERROR(ROUND(Plan!E22,2),0)),0)</f>
        <v>0</v>
      </c>
      <c r="Y6" s="9">
        <f>IF(Y8&gt;0,MAX(0,IFERROR(ROUND(Plan!E23,2),0)),0)</f>
        <v>0</v>
      </c>
      <c r="AC6" s="9">
        <f>IF(AC8&gt;0,MAX(0,IFERROR(ROUND(Plan!E24,2),0)),0)</f>
        <v>0</v>
      </c>
      <c r="AG6" s="9">
        <f>IF(AG8&gt;0,MAX(0,IFERROR(ROUND(Plan!E25,2),0)),0)</f>
        <v>0</v>
      </c>
      <c r="AK6" s="9">
        <f>IF(AK8&gt;0,MAX(0,IFERROR(ROUND(Plan!E26,2),0)),0)</f>
        <v>0</v>
      </c>
      <c r="AO6" s="9">
        <f>IF(AO8&gt;0,MAX(0,IFERROR(ROUND(Plan!E27,2),0)),0)</f>
        <v>0</v>
      </c>
      <c r="AS6" s="9">
        <f>IF(AS8&gt;0,MAX(0,IFERROR(ROUND(Plan!E28,2),0)),0)</f>
        <v>0</v>
      </c>
    </row>
    <row r="7" spans="8:45" x14ac:dyDescent="0.25">
      <c r="H7" t="s">
        <v>24</v>
      </c>
      <c r="I7" s="23">
        <f>IF(I8&gt;0,MAX(0,IFERROR(ROUND(Plan!D19,4),0)),0)</f>
        <v>18</v>
      </c>
      <c r="M7" s="23">
        <f>IF(M8&gt;0,MAX(0,IFERROR(ROUND(Plan!D20,4),0)),0)</f>
        <v>6</v>
      </c>
      <c r="Q7" s="23">
        <f>IF(Q8&gt;0,MAX(0,IFERROR(ROUND(Plan!D21,4),0)),0)</f>
        <v>0</v>
      </c>
      <c r="U7" s="23">
        <f>IF(U8&gt;0,MAX(0,IFERROR(ROUND(Plan!D22,4),0)),0)</f>
        <v>0</v>
      </c>
      <c r="Y7" s="23">
        <f>IF(Y8&gt;0,MAX(0,IFERROR(ROUND(Plan!D23,4),0)),0)</f>
        <v>0</v>
      </c>
      <c r="AC7" s="23">
        <f>IF(AC8&gt;0,MAX(0,IFERROR(ROUND(Plan!D24,4),0)),0)</f>
        <v>0</v>
      </c>
      <c r="AG7" s="23">
        <f>IF(AG8&gt;0,MAX(0,IFERROR(ROUND(Plan!D25,4),0)),0)</f>
        <v>0</v>
      </c>
      <c r="AK7" s="23">
        <f>IF(AK8&gt;0,MAX(0,IFERROR(ROUND(Plan!D26,4),0)),0)</f>
        <v>0</v>
      </c>
      <c r="AO7" s="23">
        <f>IF(AO8&gt;0,MAX(0,IFERROR(ROUND(Plan!D27,4),0)),0)</f>
        <v>0</v>
      </c>
      <c r="AS7" s="23">
        <f>IF(AS8&gt;0,MAX(0,IFERROR(ROUND(Plan!D28,4),0)),0)</f>
        <v>0</v>
      </c>
    </row>
    <row r="8" spans="8:45" x14ac:dyDescent="0.25">
      <c r="H8" t="s">
        <v>37</v>
      </c>
      <c r="I8" s="9">
        <f>MAX(0,IFERROR(ROUND(Plan!C19,2),0))</f>
        <v>2500</v>
      </c>
      <c r="M8" s="9">
        <f>MAX(0,IFERROR(ROUND(Plan!C20,2),0))</f>
        <v>9000</v>
      </c>
      <c r="Q8" s="9">
        <f>MAX(0,IFERROR(ROUND(Plan!C21,2),0))</f>
        <v>600</v>
      </c>
      <c r="U8" s="9">
        <f>MAX(0,IFERROR(ROUND(Plan!C22,2),0))</f>
        <v>0</v>
      </c>
      <c r="Y8" s="9">
        <f>MAX(0,IFERROR(ROUND(Plan!C23,2),0))</f>
        <v>0</v>
      </c>
      <c r="AC8" s="9">
        <f>MAX(0,IFERROR(ROUND(Plan!C24,2),0))</f>
        <v>0</v>
      </c>
      <c r="AG8" s="9">
        <f>MAX(0,IFERROR(ROUND(Plan!C25,2),0))</f>
        <v>0</v>
      </c>
      <c r="AK8" s="9">
        <f>MAX(0,IFERROR(ROUND(Plan!C26,2),0))</f>
        <v>0</v>
      </c>
      <c r="AO8" s="9">
        <f>MAX(0,IFERROR(ROUND(Plan!C27,2),0))</f>
        <v>0</v>
      </c>
      <c r="AS8" s="9">
        <f>MAX(0,IFERROR(ROUND(Plan!C28,2),0))</f>
        <v>0</v>
      </c>
    </row>
    <row r="9" spans="8:45" x14ac:dyDescent="0.25">
      <c r="H9" t="s">
        <v>19</v>
      </c>
      <c r="I9" t="str">
        <f>IF(I8&gt;0,IF(I6&lt;=0,"Sin mínimo",IF(I11&lt;=J11,"Muy bajo","OK")),"")</f>
        <v>OK</v>
      </c>
      <c r="M9" t="str">
        <f>IF(M8&gt;0,IF(M6&lt;=0,"Sin mínimo",IF(M11&lt;=N11,"Muy bajo","OK")),"")</f>
        <v>OK</v>
      </c>
      <c r="Q9" t="str">
        <f>IF(Q8&gt;0,IF(Q6&lt;=0,"Sin mínimo",IF(Q11&lt;=R11,"Muy bajo","OK")),"")</f>
        <v>OK</v>
      </c>
      <c r="U9" t="str">
        <f>IF(U8&gt;0,IF(U6&lt;=0,"Sin mínimo",IF(U11&lt;=V11,"Muy bajo","OK")),"")</f>
        <v/>
      </c>
      <c r="Y9" t="str">
        <f>IF(Y8&gt;0,IF(Y6&lt;=0,"Sin mínimo",IF(Y11&lt;=Z11,"Muy bajo","OK")),"")</f>
        <v/>
      </c>
      <c r="AC9" t="str">
        <f>IF(AC8&gt;0,IF(AC6&lt;=0,"Sin mínimo",IF(AC11&lt;=AD11,"Muy bajo","OK")),"")</f>
        <v/>
      </c>
      <c r="AG9" t="str">
        <f>IF(AG8&gt;0,IF(AG6&lt;=0,"Sin mínimo",IF(AG11&lt;=AH11,"Muy bajo","OK")),"")</f>
        <v/>
      </c>
      <c r="AK9" t="str">
        <f>IF(AK8&gt;0,IF(AK6&lt;=0,"Sin mínimo",IF(AK11&lt;=AL11,"Muy bajo","OK")),"")</f>
        <v/>
      </c>
      <c r="AO9" t="str">
        <f>IF(AO8&gt;0,IF(AO6&lt;=0,"Sin mínimo",IF(AO11&lt;=AP11,"Muy bajo","OK")),"")</f>
        <v/>
      </c>
      <c r="AS9" t="str">
        <f>IF(AS8&gt;0,IF(AS6&lt;=0,"Sin mínimo",IF(AS11&lt;=AT11,"Muy bajo","OK")),"")</f>
        <v/>
      </c>
    </row>
    <row r="10" ht="30" customHeight="1" spans="1:48" x14ac:dyDescent="0.25">
      <c r="A10" s="14" t="s">
        <v>38</v>
      </c>
      <c r="B10" s="14" t="s">
        <v>39</v>
      </c>
      <c r="C10" s="14" t="s">
        <v>40</v>
      </c>
      <c r="D10" s="14" t="s">
        <v>41</v>
      </c>
      <c r="E10" s="14" t="s">
        <v>42</v>
      </c>
      <c r="F10" s="14" t="s">
        <v>43</v>
      </c>
      <c r="G10" s="14" t="s">
        <v>44</v>
      </c>
      <c r="H10" s="14" t="s">
        <v>45</v>
      </c>
      <c r="I10" s="14" t="s">
        <v>46</v>
      </c>
      <c r="J10" s="14" t="s">
        <v>44</v>
      </c>
      <c r="K10" s="14" t="s">
        <v>23</v>
      </c>
      <c r="L10" s="14" t="s">
        <v>47</v>
      </c>
      <c r="M10" s="14" t="s">
        <v>46</v>
      </c>
      <c r="N10" s="14" t="s">
        <v>44</v>
      </c>
      <c r="O10" s="14" t="s">
        <v>23</v>
      </c>
      <c r="P10" s="14" t="s">
        <v>47</v>
      </c>
      <c r="Q10" s="14" t="s">
        <v>46</v>
      </c>
      <c r="R10" s="14" t="s">
        <v>44</v>
      </c>
      <c r="S10" s="14" t="s">
        <v>23</v>
      </c>
      <c r="T10" s="14" t="s">
        <v>47</v>
      </c>
      <c r="U10" s="14" t="s">
        <v>46</v>
      </c>
      <c r="V10" s="14" t="s">
        <v>44</v>
      </c>
      <c r="W10" s="14" t="s">
        <v>23</v>
      </c>
      <c r="X10" s="14" t="s">
        <v>47</v>
      </c>
      <c r="Y10" s="14" t="s">
        <v>46</v>
      </c>
      <c r="Z10" s="14" t="s">
        <v>44</v>
      </c>
      <c r="AA10" s="14" t="s">
        <v>23</v>
      </c>
      <c r="AB10" s="14" t="s">
        <v>47</v>
      </c>
      <c r="AC10" s="14" t="s">
        <v>46</v>
      </c>
      <c r="AD10" s="14" t="s">
        <v>44</v>
      </c>
      <c r="AE10" s="14" t="s">
        <v>23</v>
      </c>
      <c r="AF10" s="14" t="s">
        <v>47</v>
      </c>
      <c r="AG10" s="14" t="s">
        <v>46</v>
      </c>
      <c r="AH10" s="14" t="s">
        <v>44</v>
      </c>
      <c r="AI10" s="14" t="s">
        <v>23</v>
      </c>
      <c r="AJ10" s="14" t="s">
        <v>47</v>
      </c>
      <c r="AK10" s="14" t="s">
        <v>46</v>
      </c>
      <c r="AL10" s="14" t="s">
        <v>44</v>
      </c>
      <c r="AM10" s="14" t="s">
        <v>23</v>
      </c>
      <c r="AN10" s="14" t="s">
        <v>47</v>
      </c>
      <c r="AO10" s="14" t="s">
        <v>46</v>
      </c>
      <c r="AP10" s="14" t="s">
        <v>44</v>
      </c>
      <c r="AQ10" s="14" t="s">
        <v>23</v>
      </c>
      <c r="AR10" s="14" t="s">
        <v>47</v>
      </c>
      <c r="AS10" s="14" t="s">
        <v>46</v>
      </c>
      <c r="AT10" s="14" t="s">
        <v>44</v>
      </c>
      <c r="AU10" s="14" t="s">
        <v>23</v>
      </c>
      <c r="AV10" s="14" t="s">
        <v>47</v>
      </c>
    </row>
    <row r="11" spans="1:48" x14ac:dyDescent="0.25">
      <c r="A11" s="17">
        <f>IF(F11&gt;0,1,"")</f>
        <v>1</v>
      </c>
      <c r="B11" s="18">
        <f>IF(F11&gt;0,EDATE($E$6,1),"")</f>
        <v>46362</v>
      </c>
      <c r="C11" s="21">
        <f>IF(SUM($I$8:$AV$8)&gt;0,MIN(IF(I$8&gt;0,I$5,99),IF(M$8&gt;0,M$5,99),IF(Q$8&gt;0,Q$5,99),IF(U$8&gt;0,U$5,99),IF(Y$8&gt;0,Y$5,99),IF(AC$8&gt;0,AC$5,99),IF(AG$8&gt;0,AG$5,99),IF(AK$8&gt;0,AK$5,99),IF(AO$8&gt;0,AO$5,99),IF(AS$8&gt;0,AS$5,99)),0)</f>
        <v>1</v>
      </c>
      <c r="D11" t="str">
        <f>IF(C11&gt;0,INDEX($I$4:$AV$4,1,MATCH(C11,$I$5:$AV$5,0)),"")</f>
        <v>Compra a plazos</v>
      </c>
      <c r="E11" s="24">
        <f>ROUND(IF(AND(I$8&gt;0,I$8=0),I$6,0)+IF(AND(M$8&gt;0,M$8=0),M$6,0)+IF(AND(Q$8&gt;0,Q$8=0),Q$6,0)+IF(AND(U$8&gt;0,U$8=0),U$6,0)+IF(AND(Y$8&gt;0,Y$8=0),Y$6,0)+IF(AND(AC$8&gt;0,AC$8=0),AC$6,0)+IF(AND(AG$8&gt;0,AG$8=0),AG$6,0)+IF(AND(AK$8&gt;0,AK$8=0),AK$6,0)+IF(AND(AO$8&gt;0,AO$8=0),AO$6,0)+IF(AND(AS$8&gt;0,AS$8=0),AS$6,0),2)</f>
        <v>0</v>
      </c>
      <c r="F11" s="24">
        <f>ROUND(I11+M11+Q11+U11+Y11+AC11+AG11+AK11+AO11+AS11,2)</f>
        <v>475</v>
      </c>
      <c r="G11" s="24">
        <f>ROUND(J11+N11+R11+V11+Z11+AD11+AH11+AL11+AP11+AT11,2)</f>
        <v>82.5</v>
      </c>
      <c r="H11" s="24">
        <f>ROUND(K11+O11+S11+W11+AA11+AE11+AI11+AM11+AQ11+AU11,2)</f>
        <v>11707.5</v>
      </c>
      <c r="I11" s="24">
        <f>IF(I$8&gt;0,IF(AND(ROUND(I$8+J11-ROUND(I$6+IF(I$5=$C11,$E$5+$E11,0),2),2)&gt;0,ROUND(I$8+J11-ROUND(I$6+IF(I$5=$C11,$E$5+$E11,0),2),2)&lt;=L11,ROUND(I$8+J11-ROUND(I$6+IF(I$5=$C11,$E$5+$E11,0),2),2)*10&lt;=ROUND(I$6+IF(I$5=$C11,$E$5+$E11,0),2)),ROUND(I$8+J11,2),MIN(ROUND(I$6+IF(I$5=$C11,$E$5+$E11,0),2),ROUND(I$8+J11,2))),0)</f>
        <v>75</v>
      </c>
      <c r="J11" s="24">
        <f>IF(I$8&gt;0,ROUND(ROUND(I$8*100,0)*ROUND(I$7*10000,0)/12000000,0)/100,0)</f>
        <v>37.5</v>
      </c>
      <c r="K11" s="24">
        <f>IF(I$8&gt;0,ROUND(I$8+J11-I11,2),0)</f>
        <v>2462.5</v>
      </c>
      <c r="L11" s="24">
        <f>IF(I$8&gt;0,0.02,0)</f>
        <v>0.02</v>
      </c>
      <c r="M11" s="24">
        <f>IF(M$8&gt;0,IF(AND(ROUND(M$8+N11-ROUND(M$6+IF(M$5=$C11,$E$5+$E11,0),2),2)&gt;0,ROUND(M$8+N11-ROUND(M$6+IF(M$5=$C11,$E$5+$E11,0),2),2)&lt;=P11,ROUND(M$8+N11-ROUND(M$6+IF(M$5=$C11,$E$5+$E11,0),2),2)*10&lt;=ROUND(M$6+IF(M$5=$C11,$E$5+$E11,0),2)),ROUND(M$8+N11,2),MIN(ROUND(M$6+IF(M$5=$C11,$E$5+$E11,0),2),ROUND(M$8+N11,2))),0)</f>
        <v>200</v>
      </c>
      <c r="N11" s="24">
        <f>IF(M$8&gt;0,ROUND(ROUND(M$8*100,0)*ROUND(M$7*10000,0)/12000000,0)/100,0)</f>
        <v>45</v>
      </c>
      <c r="O11" s="24">
        <f>IF(M$8&gt;0,ROUND(M$8+N11-M11,2),0)</f>
        <v>8845</v>
      </c>
      <c r="P11" s="24">
        <f>IF(M$8&gt;0,0.02,0)</f>
        <v>0.02</v>
      </c>
      <c r="Q11" s="24">
        <f>IF(Q$8&gt;0,IF(AND(ROUND(Q$8+R11-ROUND(Q$6+IF(Q$5=$C11,$E$5+$E11,0),2),2)&gt;0,ROUND(Q$8+R11-ROUND(Q$6+IF(Q$5=$C11,$E$5+$E11,0),2),2)&lt;=T11,ROUND(Q$8+R11-ROUND(Q$6+IF(Q$5=$C11,$E$5+$E11,0),2),2)*10&lt;=ROUND(Q$6+IF(Q$5=$C11,$E$5+$E11,0),2)),ROUND(Q$8+R11,2),MIN(ROUND(Q$6+IF(Q$5=$C11,$E$5+$E11,0),2),ROUND(Q$8+R11,2))),0)</f>
        <v>200</v>
      </c>
      <c r="R11" s="24">
        <f>IF(Q$8&gt;0,ROUND(ROUND(Q$8*100,0)*ROUND(Q$7*10000,0)/12000000,0)/100,0)</f>
        <v>0</v>
      </c>
      <c r="S11" s="24">
        <f>IF(Q$8&gt;0,ROUND(Q$8+R11-Q11,2),0)</f>
        <v>400</v>
      </c>
      <c r="T11" s="24">
        <f>IF(Q$8&gt;0,0.02,0)</f>
        <v>0.02</v>
      </c>
      <c r="U11" s="24">
        <f>IF(U$8&gt;0,IF(AND(ROUND(U$8+V11-ROUND(U$6+IF(U$5=$C11,$E$5+$E11,0),2),2)&gt;0,ROUND(U$8+V11-ROUND(U$6+IF(U$5=$C11,$E$5+$E11,0),2),2)&lt;=X11,ROUND(U$8+V11-ROUND(U$6+IF(U$5=$C11,$E$5+$E11,0),2),2)*10&lt;=ROUND(U$6+IF(U$5=$C11,$E$5+$E11,0),2)),ROUND(U$8+V11,2),MIN(ROUND(U$6+IF(U$5=$C11,$E$5+$E11,0),2),ROUND(U$8+V11,2))),0)</f>
        <v>0</v>
      </c>
      <c r="V11" s="24">
        <f>IF(U$8&gt;0,ROUND(ROUND(U$8*100,0)*ROUND(U$7*10000,0)/12000000,0)/100,0)</f>
        <v>0</v>
      </c>
      <c r="W11" s="24">
        <f>IF(U$8&gt;0,ROUND(U$8+V11-U11,2),0)</f>
        <v>0</v>
      </c>
      <c r="X11" s="24">
        <f>IF(U$8&gt;0,0.02,0)</f>
        <v>0</v>
      </c>
      <c r="Y11" s="24">
        <f>IF(Y$8&gt;0,IF(AND(ROUND(Y$8+Z11-ROUND(Y$6+IF(Y$5=$C11,$E$5+$E11,0),2),2)&gt;0,ROUND(Y$8+Z11-ROUND(Y$6+IF(Y$5=$C11,$E$5+$E11,0),2),2)&lt;=AB11,ROUND(Y$8+Z11-ROUND(Y$6+IF(Y$5=$C11,$E$5+$E11,0),2),2)*10&lt;=ROUND(Y$6+IF(Y$5=$C11,$E$5+$E11,0),2)),ROUND(Y$8+Z11,2),MIN(ROUND(Y$6+IF(Y$5=$C11,$E$5+$E11,0),2),ROUND(Y$8+Z11,2))),0)</f>
        <v>0</v>
      </c>
      <c r="Z11" s="24">
        <f>IF(Y$8&gt;0,ROUND(ROUND(Y$8*100,0)*ROUND(Y$7*10000,0)/12000000,0)/100,0)</f>
        <v>0</v>
      </c>
      <c r="AA11" s="24">
        <f>IF(Y$8&gt;0,ROUND(Y$8+Z11-Y11,2),0)</f>
        <v>0</v>
      </c>
      <c r="AB11" s="24">
        <f>IF(Y$8&gt;0,0.02,0)</f>
        <v>0</v>
      </c>
      <c r="AC11" s="24">
        <f>IF(AC$8&gt;0,IF(AND(ROUND(AC$8+AD11-ROUND(AC$6+IF(AC$5=$C11,$E$5+$E11,0),2),2)&gt;0,ROUND(AC$8+AD11-ROUND(AC$6+IF(AC$5=$C11,$E$5+$E11,0),2),2)&lt;=AF11,ROUND(AC$8+AD11-ROUND(AC$6+IF(AC$5=$C11,$E$5+$E11,0),2),2)*10&lt;=ROUND(AC$6+IF(AC$5=$C11,$E$5+$E11,0),2)),ROUND(AC$8+AD11,2),MIN(ROUND(AC$6+IF(AC$5=$C11,$E$5+$E11,0),2),ROUND(AC$8+AD11,2))),0)</f>
        <v>0</v>
      </c>
      <c r="AD11" s="24">
        <f>IF(AC$8&gt;0,ROUND(ROUND(AC$8*100,0)*ROUND(AC$7*10000,0)/12000000,0)/100,0)</f>
        <v>0</v>
      </c>
      <c r="AE11" s="24">
        <f>IF(AC$8&gt;0,ROUND(AC$8+AD11-AC11,2),0)</f>
        <v>0</v>
      </c>
      <c r="AF11" s="24">
        <f>IF(AC$8&gt;0,0.02,0)</f>
        <v>0</v>
      </c>
      <c r="AG11" s="24">
        <f>IF(AG$8&gt;0,IF(AND(ROUND(AG$8+AH11-ROUND(AG$6+IF(AG$5=$C11,$E$5+$E11,0),2),2)&gt;0,ROUND(AG$8+AH11-ROUND(AG$6+IF(AG$5=$C11,$E$5+$E11,0),2),2)&lt;=AJ11,ROUND(AG$8+AH11-ROUND(AG$6+IF(AG$5=$C11,$E$5+$E11,0),2),2)*10&lt;=ROUND(AG$6+IF(AG$5=$C11,$E$5+$E11,0),2)),ROUND(AG$8+AH11,2),MIN(ROUND(AG$6+IF(AG$5=$C11,$E$5+$E11,0),2),ROUND(AG$8+AH11,2))),0)</f>
        <v>0</v>
      </c>
      <c r="AH11" s="24">
        <f>IF(AG$8&gt;0,ROUND(ROUND(AG$8*100,0)*ROUND(AG$7*10000,0)/12000000,0)/100,0)</f>
        <v>0</v>
      </c>
      <c r="AI11" s="24">
        <f>IF(AG$8&gt;0,ROUND(AG$8+AH11-AG11,2),0)</f>
        <v>0</v>
      </c>
      <c r="AJ11" s="24">
        <f>IF(AG$8&gt;0,0.02,0)</f>
        <v>0</v>
      </c>
      <c r="AK11" s="24">
        <f>IF(AK$8&gt;0,IF(AND(ROUND(AK$8+AL11-ROUND(AK$6+IF(AK$5=$C11,$E$5+$E11,0),2),2)&gt;0,ROUND(AK$8+AL11-ROUND(AK$6+IF(AK$5=$C11,$E$5+$E11,0),2),2)&lt;=AN11,ROUND(AK$8+AL11-ROUND(AK$6+IF(AK$5=$C11,$E$5+$E11,0),2),2)*10&lt;=ROUND(AK$6+IF(AK$5=$C11,$E$5+$E11,0),2)),ROUND(AK$8+AL11,2),MIN(ROUND(AK$6+IF(AK$5=$C11,$E$5+$E11,0),2),ROUND(AK$8+AL11,2))),0)</f>
        <v>0</v>
      </c>
      <c r="AL11" s="24">
        <f>IF(AK$8&gt;0,ROUND(ROUND(AK$8*100,0)*ROUND(AK$7*10000,0)/12000000,0)/100,0)</f>
        <v>0</v>
      </c>
      <c r="AM11" s="24">
        <f>IF(AK$8&gt;0,ROUND(AK$8+AL11-AK11,2),0)</f>
        <v>0</v>
      </c>
      <c r="AN11" s="24">
        <f>IF(AK$8&gt;0,0.02,0)</f>
        <v>0</v>
      </c>
      <c r="AO11" s="24">
        <f>IF(AO$8&gt;0,IF(AND(ROUND(AO$8+AP11-ROUND(AO$6+IF(AO$5=$C11,$E$5+$E11,0),2),2)&gt;0,ROUND(AO$8+AP11-ROUND(AO$6+IF(AO$5=$C11,$E$5+$E11,0),2),2)&lt;=AR11,ROUND(AO$8+AP11-ROUND(AO$6+IF(AO$5=$C11,$E$5+$E11,0),2),2)*10&lt;=ROUND(AO$6+IF(AO$5=$C11,$E$5+$E11,0),2)),ROUND(AO$8+AP11,2),MIN(ROUND(AO$6+IF(AO$5=$C11,$E$5+$E11,0),2),ROUND(AO$8+AP11,2))),0)</f>
        <v>0</v>
      </c>
      <c r="AP11" s="24">
        <f>IF(AO$8&gt;0,ROUND(ROUND(AO$8*100,0)*ROUND(AO$7*10000,0)/12000000,0)/100,0)</f>
        <v>0</v>
      </c>
      <c r="AQ11" s="24">
        <f>IF(AO$8&gt;0,ROUND(AO$8+AP11-AO11,2),0)</f>
        <v>0</v>
      </c>
      <c r="AR11" s="24">
        <f>IF(AO$8&gt;0,0.02,0)</f>
        <v>0</v>
      </c>
      <c r="AS11" s="24">
        <f>IF(AS$8&gt;0,IF(AND(ROUND(AS$8+AT11-ROUND(AS$6+IF(AS$5=$C11,$E$5+$E11,0),2),2)&gt;0,ROUND(AS$8+AT11-ROUND(AS$6+IF(AS$5=$C11,$E$5+$E11,0),2),2)&lt;=AV11,ROUND(AS$8+AT11-ROUND(AS$6+IF(AS$5=$C11,$E$5+$E11,0),2),2)*10&lt;=ROUND(AS$6+IF(AS$5=$C11,$E$5+$E11,0),2)),ROUND(AS$8+AT11,2),MIN(ROUND(AS$6+IF(AS$5=$C11,$E$5+$E11,0),2),ROUND(AS$8+AT11,2))),0)</f>
        <v>0</v>
      </c>
      <c r="AT11" s="24">
        <f>IF(AS$8&gt;0,ROUND(ROUND(AS$8*100,0)*ROUND(AS$7*10000,0)/12000000,0)/100,0)</f>
        <v>0</v>
      </c>
      <c r="AU11" s="24">
        <f>IF(AS$8&gt;0,ROUND(AS$8+AT11-AS11,2),0)</f>
        <v>0</v>
      </c>
      <c r="AV11" s="24">
        <f>IF(AS$8&gt;0,0.02,0)</f>
        <v>0</v>
      </c>
    </row>
    <row r="12" spans="1:48" x14ac:dyDescent="0.25">
      <c r="A12" s="17">
        <f>IF(F12&gt;0,2,"")</f>
        <v>2</v>
      </c>
      <c r="B12" s="18">
        <f>IF(F12&gt;0,EDATE($E$6,2),"")</f>
        <v>46393</v>
      </c>
      <c r="C12" s="21">
        <f>IF(H11&gt;0,MIN(IF(K11&gt;0,I$5,99),IF(O11&gt;0,M$5,99),IF(S11&gt;0,Q$5,99),IF(W11&gt;0,U$5,99),IF(AA11&gt;0,Y$5,99),IF(AE11&gt;0,AC$5,99),IF(AI11&gt;0,AG$5,99),IF(AM11&gt;0,AK$5,99),IF(AQ11&gt;0,AO$5,99),IF(AU11&gt;0,AS$5,99)),0)</f>
        <v>1</v>
      </c>
      <c r="D12" t="str">
        <f>IF(C12&gt;0,INDEX($I$4:$AV$4,1,MATCH(C12,$I$5:$AV$5,0)),"")</f>
        <v>Compra a plazos</v>
      </c>
      <c r="E12" s="24">
        <f>ROUND(IF(AND(I$8&gt;0,K11=0),I$6,0)+IF(AND(M$8&gt;0,O11=0),M$6,0)+IF(AND(Q$8&gt;0,S11=0),Q$6,0)+IF(AND(U$8&gt;0,W11=0),U$6,0)+IF(AND(Y$8&gt;0,AA11=0),Y$6,0)+IF(AND(AC$8&gt;0,AE11=0),AC$6,0)+IF(AND(AG$8&gt;0,AI11=0),AG$6,0)+IF(AND(AK$8&gt;0,AM11=0),AK$6,0)+IF(AND(AO$8&gt;0,AQ11=0),AO$6,0)+IF(AND(AS$8&gt;0,AU11=0),AS$6,0),2)</f>
        <v>0</v>
      </c>
      <c r="F12" s="24">
        <f>ROUND(I12+M12+Q12+U12+Y12+AC12+AG12+AK12+AO12+AS12,2)</f>
        <v>475</v>
      </c>
      <c r="G12" s="24">
        <f>ROUND(J12+N12+R12+V12+Z12+AD12+AH12+AL12+AP12+AT12,2)</f>
        <v>81.17</v>
      </c>
      <c r="H12" s="24">
        <f>ROUND(K12+O12+S12+W12+AA12+AE12+AI12+AM12+AQ12+AU12,2)</f>
        <v>11313.67</v>
      </c>
      <c r="I12" s="24">
        <f>IF(K11&gt;0,IF(AND(ROUND(K11+J12-ROUND(I$6+IF(I$5=$C12,$E$5+$E12,0),2),2)&gt;0,ROUND(K11+J12-ROUND(I$6+IF(I$5=$C12,$E$5+$E12,0),2),2)&lt;=L12,ROUND(K11+J12-ROUND(I$6+IF(I$5=$C12,$E$5+$E12,0),2),2)*10&lt;=ROUND(I$6+IF(I$5=$C12,$E$5+$E12,0),2)),ROUND(K11+J12,2),MIN(ROUND(I$6+IF(I$5=$C12,$E$5+$E12,0),2),ROUND(K11+J12,2))),0)</f>
        <v>75</v>
      </c>
      <c r="J12" s="24">
        <f>IF(K11&gt;0,ROUND(ROUND(K11*100,0)*ROUND(I$7*10000,0)/12000000,0)/100,0)</f>
        <v>36.94</v>
      </c>
      <c r="K12" s="24">
        <f>IF(K11&gt;0,ROUND(K11+J12-I12,2),0)</f>
        <v>2424.44</v>
      </c>
      <c r="L12" s="24">
        <f>IF(K11&gt;0,ROUND(L11+ROUND(ROUND(L11*100,0)*ROUND(I$7*10000,0)/12000000,0)/100+0.02,2),0)</f>
        <v>0.04</v>
      </c>
      <c r="M12" s="24">
        <f>IF(O11&gt;0,IF(AND(ROUND(O11+N12-ROUND(M$6+IF(M$5=$C12,$E$5+$E12,0),2),2)&gt;0,ROUND(O11+N12-ROUND(M$6+IF(M$5=$C12,$E$5+$E12,0),2),2)&lt;=P12,ROUND(O11+N12-ROUND(M$6+IF(M$5=$C12,$E$5+$E12,0),2),2)*10&lt;=ROUND(M$6+IF(M$5=$C12,$E$5+$E12,0),2)),ROUND(O11+N12,2),MIN(ROUND(M$6+IF(M$5=$C12,$E$5+$E12,0),2),ROUND(O11+N12,2))),0)</f>
        <v>200</v>
      </c>
      <c r="N12" s="24">
        <f>IF(O11&gt;0,ROUND(ROUND(O11*100,0)*ROUND(M$7*10000,0)/12000000,0)/100,0)</f>
        <v>44.23</v>
      </c>
      <c r="O12" s="24">
        <f>IF(O11&gt;0,ROUND(O11+N12-M12,2),0)</f>
        <v>8689.23</v>
      </c>
      <c r="P12" s="24">
        <f>IF(O11&gt;0,ROUND(P11+ROUND(ROUND(P11*100,0)*ROUND(M$7*10000,0)/12000000,0)/100+0.02,2),0)</f>
        <v>0.04</v>
      </c>
      <c r="Q12" s="24">
        <f>IF(S11&gt;0,IF(AND(ROUND(S11+R12-ROUND(Q$6+IF(Q$5=$C12,$E$5+$E12,0),2),2)&gt;0,ROUND(S11+R12-ROUND(Q$6+IF(Q$5=$C12,$E$5+$E12,0),2),2)&lt;=T12,ROUND(S11+R12-ROUND(Q$6+IF(Q$5=$C12,$E$5+$E12,0),2),2)*10&lt;=ROUND(Q$6+IF(Q$5=$C12,$E$5+$E12,0),2)),ROUND(S11+R12,2),MIN(ROUND(Q$6+IF(Q$5=$C12,$E$5+$E12,0),2),ROUND(S11+R12,2))),0)</f>
        <v>200</v>
      </c>
      <c r="R12" s="24">
        <f>IF(S11&gt;0,ROUND(ROUND(S11*100,0)*ROUND(Q$7*10000,0)/12000000,0)/100,0)</f>
        <v>0</v>
      </c>
      <c r="S12" s="24">
        <f>IF(S11&gt;0,ROUND(S11+R12-Q12,2),0)</f>
        <v>200</v>
      </c>
      <c r="T12" s="24">
        <f>IF(S11&gt;0,ROUND(T11+ROUND(ROUND(T11*100,0)*ROUND(Q$7*10000,0)/12000000,0)/100+0.02,2),0)</f>
        <v>0.04</v>
      </c>
      <c r="U12" s="24">
        <f>IF(W11&gt;0,IF(AND(ROUND(W11+V12-ROUND(U$6+IF(U$5=$C12,$E$5+$E12,0),2),2)&gt;0,ROUND(W11+V12-ROUND(U$6+IF(U$5=$C12,$E$5+$E12,0),2),2)&lt;=X12,ROUND(W11+V12-ROUND(U$6+IF(U$5=$C12,$E$5+$E12,0),2),2)*10&lt;=ROUND(U$6+IF(U$5=$C12,$E$5+$E12,0),2)),ROUND(W11+V12,2),MIN(ROUND(U$6+IF(U$5=$C12,$E$5+$E12,0),2),ROUND(W11+V12,2))),0)</f>
        <v>0</v>
      </c>
      <c r="V12" s="24">
        <f>IF(W11&gt;0,ROUND(ROUND(W11*100,0)*ROUND(U$7*10000,0)/12000000,0)/100,0)</f>
        <v>0</v>
      </c>
      <c r="W12" s="24">
        <f>IF(W11&gt;0,ROUND(W11+V12-U12,2),0)</f>
        <v>0</v>
      </c>
      <c r="X12" s="24">
        <f>IF(W11&gt;0,ROUND(X11+ROUND(ROUND(X11*100,0)*ROUND(U$7*10000,0)/12000000,0)/100+0.02,2),0)</f>
        <v>0</v>
      </c>
      <c r="Y12" s="24">
        <f>IF(AA11&gt;0,IF(AND(ROUND(AA11+Z12-ROUND(Y$6+IF(Y$5=$C12,$E$5+$E12,0),2),2)&gt;0,ROUND(AA11+Z12-ROUND(Y$6+IF(Y$5=$C12,$E$5+$E12,0),2),2)&lt;=AB12,ROUND(AA11+Z12-ROUND(Y$6+IF(Y$5=$C12,$E$5+$E12,0),2),2)*10&lt;=ROUND(Y$6+IF(Y$5=$C12,$E$5+$E12,0),2)),ROUND(AA11+Z12,2),MIN(ROUND(Y$6+IF(Y$5=$C12,$E$5+$E12,0),2),ROUND(AA11+Z12,2))),0)</f>
        <v>0</v>
      </c>
      <c r="Z12" s="24">
        <f>IF(AA11&gt;0,ROUND(ROUND(AA11*100,0)*ROUND(Y$7*10000,0)/12000000,0)/100,0)</f>
        <v>0</v>
      </c>
      <c r="AA12" s="24">
        <f>IF(AA11&gt;0,ROUND(AA11+Z12-Y12,2),0)</f>
        <v>0</v>
      </c>
      <c r="AB12" s="24">
        <f>IF(AA11&gt;0,ROUND(AB11+ROUND(ROUND(AB11*100,0)*ROUND(Y$7*10000,0)/12000000,0)/100+0.02,2),0)</f>
        <v>0</v>
      </c>
      <c r="AC12" s="24">
        <f>IF(AE11&gt;0,IF(AND(ROUND(AE11+AD12-ROUND(AC$6+IF(AC$5=$C12,$E$5+$E12,0),2),2)&gt;0,ROUND(AE11+AD12-ROUND(AC$6+IF(AC$5=$C12,$E$5+$E12,0),2),2)&lt;=AF12,ROUND(AE11+AD12-ROUND(AC$6+IF(AC$5=$C12,$E$5+$E12,0),2),2)*10&lt;=ROUND(AC$6+IF(AC$5=$C12,$E$5+$E12,0),2)),ROUND(AE11+AD12,2),MIN(ROUND(AC$6+IF(AC$5=$C12,$E$5+$E12,0),2),ROUND(AE11+AD12,2))),0)</f>
        <v>0</v>
      </c>
      <c r="AD12" s="24">
        <f>IF(AE11&gt;0,ROUND(ROUND(AE11*100,0)*ROUND(AC$7*10000,0)/12000000,0)/100,0)</f>
        <v>0</v>
      </c>
      <c r="AE12" s="24">
        <f>IF(AE11&gt;0,ROUND(AE11+AD12-AC12,2),0)</f>
        <v>0</v>
      </c>
      <c r="AF12" s="24">
        <f>IF(AE11&gt;0,ROUND(AF11+ROUND(ROUND(AF11*100,0)*ROUND(AC$7*10000,0)/12000000,0)/100+0.02,2),0)</f>
        <v>0</v>
      </c>
      <c r="AG12" s="24">
        <f>IF(AI11&gt;0,IF(AND(ROUND(AI11+AH12-ROUND(AG$6+IF(AG$5=$C12,$E$5+$E12,0),2),2)&gt;0,ROUND(AI11+AH12-ROUND(AG$6+IF(AG$5=$C12,$E$5+$E12,0),2),2)&lt;=AJ12,ROUND(AI11+AH12-ROUND(AG$6+IF(AG$5=$C12,$E$5+$E12,0),2),2)*10&lt;=ROUND(AG$6+IF(AG$5=$C12,$E$5+$E12,0),2)),ROUND(AI11+AH12,2),MIN(ROUND(AG$6+IF(AG$5=$C12,$E$5+$E12,0),2),ROUND(AI11+AH12,2))),0)</f>
        <v>0</v>
      </c>
      <c r="AH12" s="24">
        <f>IF(AI11&gt;0,ROUND(ROUND(AI11*100,0)*ROUND(AG$7*10000,0)/12000000,0)/100,0)</f>
        <v>0</v>
      </c>
      <c r="AI12" s="24">
        <f>IF(AI11&gt;0,ROUND(AI11+AH12-AG12,2),0)</f>
        <v>0</v>
      </c>
      <c r="AJ12" s="24">
        <f>IF(AI11&gt;0,ROUND(AJ11+ROUND(ROUND(AJ11*100,0)*ROUND(AG$7*10000,0)/12000000,0)/100+0.02,2),0)</f>
        <v>0</v>
      </c>
      <c r="AK12" s="24">
        <f>IF(AM11&gt;0,IF(AND(ROUND(AM11+AL12-ROUND(AK$6+IF(AK$5=$C12,$E$5+$E12,0),2),2)&gt;0,ROUND(AM11+AL12-ROUND(AK$6+IF(AK$5=$C12,$E$5+$E12,0),2),2)&lt;=AN12,ROUND(AM11+AL12-ROUND(AK$6+IF(AK$5=$C12,$E$5+$E12,0),2),2)*10&lt;=ROUND(AK$6+IF(AK$5=$C12,$E$5+$E12,0),2)),ROUND(AM11+AL12,2),MIN(ROUND(AK$6+IF(AK$5=$C12,$E$5+$E12,0),2),ROUND(AM11+AL12,2))),0)</f>
        <v>0</v>
      </c>
      <c r="AL12" s="24">
        <f>IF(AM11&gt;0,ROUND(ROUND(AM11*100,0)*ROUND(AK$7*10000,0)/12000000,0)/100,0)</f>
        <v>0</v>
      </c>
      <c r="AM12" s="24">
        <f>IF(AM11&gt;0,ROUND(AM11+AL12-AK12,2),0)</f>
        <v>0</v>
      </c>
      <c r="AN12" s="24">
        <f>IF(AM11&gt;0,ROUND(AN11+ROUND(ROUND(AN11*100,0)*ROUND(AK$7*10000,0)/12000000,0)/100+0.02,2),0)</f>
        <v>0</v>
      </c>
      <c r="AO12" s="24">
        <f>IF(AQ11&gt;0,IF(AND(ROUND(AQ11+AP12-ROUND(AO$6+IF(AO$5=$C12,$E$5+$E12,0),2),2)&gt;0,ROUND(AQ11+AP12-ROUND(AO$6+IF(AO$5=$C12,$E$5+$E12,0),2),2)&lt;=AR12,ROUND(AQ11+AP12-ROUND(AO$6+IF(AO$5=$C12,$E$5+$E12,0),2),2)*10&lt;=ROUND(AO$6+IF(AO$5=$C12,$E$5+$E12,0),2)),ROUND(AQ11+AP12,2),MIN(ROUND(AO$6+IF(AO$5=$C12,$E$5+$E12,0),2),ROUND(AQ11+AP12,2))),0)</f>
        <v>0</v>
      </c>
      <c r="AP12" s="24">
        <f>IF(AQ11&gt;0,ROUND(ROUND(AQ11*100,0)*ROUND(AO$7*10000,0)/12000000,0)/100,0)</f>
        <v>0</v>
      </c>
      <c r="AQ12" s="24">
        <f>IF(AQ11&gt;0,ROUND(AQ11+AP12-AO12,2),0)</f>
        <v>0</v>
      </c>
      <c r="AR12" s="24">
        <f>IF(AQ11&gt;0,ROUND(AR11+ROUND(ROUND(AR11*100,0)*ROUND(AO$7*10000,0)/12000000,0)/100+0.02,2),0)</f>
        <v>0</v>
      </c>
      <c r="AS12" s="24">
        <f>IF(AU11&gt;0,IF(AND(ROUND(AU11+AT12-ROUND(AS$6+IF(AS$5=$C12,$E$5+$E12,0),2),2)&gt;0,ROUND(AU11+AT12-ROUND(AS$6+IF(AS$5=$C12,$E$5+$E12,0),2),2)&lt;=AV12,ROUND(AU11+AT12-ROUND(AS$6+IF(AS$5=$C12,$E$5+$E12,0),2),2)*10&lt;=ROUND(AS$6+IF(AS$5=$C12,$E$5+$E12,0),2)),ROUND(AU11+AT12,2),MIN(ROUND(AS$6+IF(AS$5=$C12,$E$5+$E12,0),2),ROUND(AU11+AT12,2))),0)</f>
        <v>0</v>
      </c>
      <c r="AT12" s="24">
        <f>IF(AU11&gt;0,ROUND(ROUND(AU11*100,0)*ROUND(AS$7*10000,0)/12000000,0)/100,0)</f>
        <v>0</v>
      </c>
      <c r="AU12" s="24">
        <f>IF(AU11&gt;0,ROUND(AU11+AT12-AS12,2),0)</f>
        <v>0</v>
      </c>
      <c r="AV12" s="24">
        <f>IF(AU11&gt;0,ROUND(AV11+ROUND(ROUND(AV11*100,0)*ROUND(AS$7*10000,0)/12000000,0)/100+0.02,2),0)</f>
        <v>0</v>
      </c>
    </row>
    <row r="13" spans="1:48" x14ac:dyDescent="0.25">
      <c r="A13" s="17">
        <f>IF(F13&gt;0,3,"")</f>
        <v>3</v>
      </c>
      <c r="B13" s="18">
        <f>IF(F13&gt;0,EDATE($E$6,3),"")</f>
        <v>46424</v>
      </c>
      <c r="C13" s="21">
        <f>IF(H12&gt;0,MIN(IF(K12&gt;0,I$5,99),IF(O12&gt;0,M$5,99),IF(S12&gt;0,Q$5,99),IF(W12&gt;0,U$5,99),IF(AA12&gt;0,Y$5,99),IF(AE12&gt;0,AC$5,99),IF(AI12&gt;0,AG$5,99),IF(AM12&gt;0,AK$5,99),IF(AQ12&gt;0,AO$5,99),IF(AU12&gt;0,AS$5,99)),0)</f>
        <v>1</v>
      </c>
      <c r="D13" t="str">
        <f>IF(C13&gt;0,INDEX($I$4:$AV$4,1,MATCH(C13,$I$5:$AV$5,0)),"")</f>
        <v>Compra a plazos</v>
      </c>
      <c r="E13" s="24">
        <f>ROUND(IF(AND(I$8&gt;0,K12=0),I$6,0)+IF(AND(M$8&gt;0,O12=0),M$6,0)+IF(AND(Q$8&gt;0,S12=0),Q$6,0)+IF(AND(U$8&gt;0,W12=0),U$6,0)+IF(AND(Y$8&gt;0,AA12=0),Y$6,0)+IF(AND(AC$8&gt;0,AE12=0),AC$6,0)+IF(AND(AG$8&gt;0,AI12=0),AG$6,0)+IF(AND(AK$8&gt;0,AM12=0),AK$6,0)+IF(AND(AO$8&gt;0,AQ12=0),AO$6,0)+IF(AND(AS$8&gt;0,AU12=0),AS$6,0),2)</f>
        <v>0</v>
      </c>
      <c r="F13" s="24">
        <f>ROUND(I13+M13+Q13+U13+Y13+AC13+AG13+AK13+AO13+AS13,2)</f>
        <v>475</v>
      </c>
      <c r="G13" s="24">
        <f>ROUND(J13+N13+R13+V13+Z13+AD13+AH13+AL13+AP13+AT13,2)</f>
        <v>79.82</v>
      </c>
      <c r="H13" s="24">
        <f>ROUND(K13+O13+S13+W13+AA13+AE13+AI13+AM13+AQ13+AU13,2)</f>
        <v>10918.49</v>
      </c>
      <c r="I13" s="24">
        <f>IF(K12&gt;0,IF(AND(ROUND(K12+J13-ROUND(I$6+IF(I$5=$C13,$E$5+$E13,0),2),2)&gt;0,ROUND(K12+J13-ROUND(I$6+IF(I$5=$C13,$E$5+$E13,0),2),2)&lt;=L13,ROUND(K12+J13-ROUND(I$6+IF(I$5=$C13,$E$5+$E13,0),2),2)*10&lt;=ROUND(I$6+IF(I$5=$C13,$E$5+$E13,0),2)),ROUND(K12+J13,2),MIN(ROUND(I$6+IF(I$5=$C13,$E$5+$E13,0),2),ROUND(K12+J13,2))),0)</f>
        <v>75</v>
      </c>
      <c r="J13" s="24">
        <f>IF(K12&gt;0,ROUND(ROUND(K12*100,0)*ROUND(I$7*10000,0)/12000000,0)/100,0)</f>
        <v>36.37</v>
      </c>
      <c r="K13" s="24">
        <f>IF(K12&gt;0,ROUND(K12+J13-I13,2),0)</f>
        <v>2385.81</v>
      </c>
      <c r="L13" s="24">
        <f>IF(K12&gt;0,ROUND(L12+ROUND(ROUND(L12*100,0)*ROUND(I$7*10000,0)/12000000,0)/100+0.02,2),0)</f>
        <v>0.06</v>
      </c>
      <c r="M13" s="24">
        <f>IF(O12&gt;0,IF(AND(ROUND(O12+N13-ROUND(M$6+IF(M$5=$C13,$E$5+$E13,0),2),2)&gt;0,ROUND(O12+N13-ROUND(M$6+IF(M$5=$C13,$E$5+$E13,0),2),2)&lt;=P13,ROUND(O12+N13-ROUND(M$6+IF(M$5=$C13,$E$5+$E13,0),2),2)*10&lt;=ROUND(M$6+IF(M$5=$C13,$E$5+$E13,0),2)),ROUND(O12+N13,2),MIN(ROUND(M$6+IF(M$5=$C13,$E$5+$E13,0),2),ROUND(O12+N13,2))),0)</f>
        <v>200</v>
      </c>
      <c r="N13" s="24">
        <f>IF(O12&gt;0,ROUND(ROUND(O12*100,0)*ROUND(M$7*10000,0)/12000000,0)/100,0)</f>
        <v>43.45</v>
      </c>
      <c r="O13" s="24">
        <f>IF(O12&gt;0,ROUND(O12+N13-M13,2),0)</f>
        <v>8532.68</v>
      </c>
      <c r="P13" s="24">
        <f>IF(O12&gt;0,ROUND(P12+ROUND(ROUND(P12*100,0)*ROUND(M$7*10000,0)/12000000,0)/100+0.02,2),0)</f>
        <v>0.06</v>
      </c>
      <c r="Q13" s="24">
        <f>IF(S12&gt;0,IF(AND(ROUND(S12+R13-ROUND(Q$6+IF(Q$5=$C13,$E$5+$E13,0),2),2)&gt;0,ROUND(S12+R13-ROUND(Q$6+IF(Q$5=$C13,$E$5+$E13,0),2),2)&lt;=T13,ROUND(S12+R13-ROUND(Q$6+IF(Q$5=$C13,$E$5+$E13,0),2),2)*10&lt;=ROUND(Q$6+IF(Q$5=$C13,$E$5+$E13,0),2)),ROUND(S12+R13,2),MIN(ROUND(Q$6+IF(Q$5=$C13,$E$5+$E13,0),2),ROUND(S12+R13,2))),0)</f>
        <v>200</v>
      </c>
      <c r="R13" s="24">
        <f>IF(S12&gt;0,ROUND(ROUND(S12*100,0)*ROUND(Q$7*10000,0)/12000000,0)/100,0)</f>
        <v>0</v>
      </c>
      <c r="S13" s="24">
        <f>IF(S12&gt;0,ROUND(S12+R13-Q13,2),0)</f>
        <v>0</v>
      </c>
      <c r="T13" s="24">
        <f>IF(S12&gt;0,ROUND(T12+ROUND(ROUND(T12*100,0)*ROUND(Q$7*10000,0)/12000000,0)/100+0.02,2),0)</f>
        <v>0.06</v>
      </c>
      <c r="U13" s="24">
        <f>IF(W12&gt;0,IF(AND(ROUND(W12+V13-ROUND(U$6+IF(U$5=$C13,$E$5+$E13,0),2),2)&gt;0,ROUND(W12+V13-ROUND(U$6+IF(U$5=$C13,$E$5+$E13,0),2),2)&lt;=X13,ROUND(W12+V13-ROUND(U$6+IF(U$5=$C13,$E$5+$E13,0),2),2)*10&lt;=ROUND(U$6+IF(U$5=$C13,$E$5+$E13,0),2)),ROUND(W12+V13,2),MIN(ROUND(U$6+IF(U$5=$C13,$E$5+$E13,0),2),ROUND(W12+V13,2))),0)</f>
        <v>0</v>
      </c>
      <c r="V13" s="24">
        <f>IF(W12&gt;0,ROUND(ROUND(W12*100,0)*ROUND(U$7*10000,0)/12000000,0)/100,0)</f>
        <v>0</v>
      </c>
      <c r="W13" s="24">
        <f>IF(W12&gt;0,ROUND(W12+V13-U13,2),0)</f>
        <v>0</v>
      </c>
      <c r="X13" s="24">
        <f>IF(W12&gt;0,ROUND(X12+ROUND(ROUND(X12*100,0)*ROUND(U$7*10000,0)/12000000,0)/100+0.02,2),0)</f>
        <v>0</v>
      </c>
      <c r="Y13" s="24">
        <f>IF(AA12&gt;0,IF(AND(ROUND(AA12+Z13-ROUND(Y$6+IF(Y$5=$C13,$E$5+$E13,0),2),2)&gt;0,ROUND(AA12+Z13-ROUND(Y$6+IF(Y$5=$C13,$E$5+$E13,0),2),2)&lt;=AB13,ROUND(AA12+Z13-ROUND(Y$6+IF(Y$5=$C13,$E$5+$E13,0),2),2)*10&lt;=ROUND(Y$6+IF(Y$5=$C13,$E$5+$E13,0),2)),ROUND(AA12+Z13,2),MIN(ROUND(Y$6+IF(Y$5=$C13,$E$5+$E13,0),2),ROUND(AA12+Z13,2))),0)</f>
        <v>0</v>
      </c>
      <c r="Z13" s="24">
        <f>IF(AA12&gt;0,ROUND(ROUND(AA12*100,0)*ROUND(Y$7*10000,0)/12000000,0)/100,0)</f>
        <v>0</v>
      </c>
      <c r="AA13" s="24">
        <f>IF(AA12&gt;0,ROUND(AA12+Z13-Y13,2),0)</f>
        <v>0</v>
      </c>
      <c r="AB13" s="24">
        <f>IF(AA12&gt;0,ROUND(AB12+ROUND(ROUND(AB12*100,0)*ROUND(Y$7*10000,0)/12000000,0)/100+0.02,2),0)</f>
        <v>0</v>
      </c>
      <c r="AC13" s="24">
        <f>IF(AE12&gt;0,IF(AND(ROUND(AE12+AD13-ROUND(AC$6+IF(AC$5=$C13,$E$5+$E13,0),2),2)&gt;0,ROUND(AE12+AD13-ROUND(AC$6+IF(AC$5=$C13,$E$5+$E13,0),2),2)&lt;=AF13,ROUND(AE12+AD13-ROUND(AC$6+IF(AC$5=$C13,$E$5+$E13,0),2),2)*10&lt;=ROUND(AC$6+IF(AC$5=$C13,$E$5+$E13,0),2)),ROUND(AE12+AD13,2),MIN(ROUND(AC$6+IF(AC$5=$C13,$E$5+$E13,0),2),ROUND(AE12+AD13,2))),0)</f>
        <v>0</v>
      </c>
      <c r="AD13" s="24">
        <f>IF(AE12&gt;0,ROUND(ROUND(AE12*100,0)*ROUND(AC$7*10000,0)/12000000,0)/100,0)</f>
        <v>0</v>
      </c>
      <c r="AE13" s="24">
        <f>IF(AE12&gt;0,ROUND(AE12+AD13-AC13,2),0)</f>
        <v>0</v>
      </c>
      <c r="AF13" s="24">
        <f>IF(AE12&gt;0,ROUND(AF12+ROUND(ROUND(AF12*100,0)*ROUND(AC$7*10000,0)/12000000,0)/100+0.02,2),0)</f>
        <v>0</v>
      </c>
      <c r="AG13" s="24">
        <f>IF(AI12&gt;0,IF(AND(ROUND(AI12+AH13-ROUND(AG$6+IF(AG$5=$C13,$E$5+$E13,0),2),2)&gt;0,ROUND(AI12+AH13-ROUND(AG$6+IF(AG$5=$C13,$E$5+$E13,0),2),2)&lt;=AJ13,ROUND(AI12+AH13-ROUND(AG$6+IF(AG$5=$C13,$E$5+$E13,0),2),2)*10&lt;=ROUND(AG$6+IF(AG$5=$C13,$E$5+$E13,0),2)),ROUND(AI12+AH13,2),MIN(ROUND(AG$6+IF(AG$5=$C13,$E$5+$E13,0),2),ROUND(AI12+AH13,2))),0)</f>
        <v>0</v>
      </c>
      <c r="AH13" s="24">
        <f>IF(AI12&gt;0,ROUND(ROUND(AI12*100,0)*ROUND(AG$7*10000,0)/12000000,0)/100,0)</f>
        <v>0</v>
      </c>
      <c r="AI13" s="24">
        <f>IF(AI12&gt;0,ROUND(AI12+AH13-AG13,2),0)</f>
        <v>0</v>
      </c>
      <c r="AJ13" s="24">
        <f>IF(AI12&gt;0,ROUND(AJ12+ROUND(ROUND(AJ12*100,0)*ROUND(AG$7*10000,0)/12000000,0)/100+0.02,2),0)</f>
        <v>0</v>
      </c>
      <c r="AK13" s="24">
        <f>IF(AM12&gt;0,IF(AND(ROUND(AM12+AL13-ROUND(AK$6+IF(AK$5=$C13,$E$5+$E13,0),2),2)&gt;0,ROUND(AM12+AL13-ROUND(AK$6+IF(AK$5=$C13,$E$5+$E13,0),2),2)&lt;=AN13,ROUND(AM12+AL13-ROUND(AK$6+IF(AK$5=$C13,$E$5+$E13,0),2),2)*10&lt;=ROUND(AK$6+IF(AK$5=$C13,$E$5+$E13,0),2)),ROUND(AM12+AL13,2),MIN(ROUND(AK$6+IF(AK$5=$C13,$E$5+$E13,0),2),ROUND(AM12+AL13,2))),0)</f>
        <v>0</v>
      </c>
      <c r="AL13" s="24">
        <f>IF(AM12&gt;0,ROUND(ROUND(AM12*100,0)*ROUND(AK$7*10000,0)/12000000,0)/100,0)</f>
        <v>0</v>
      </c>
      <c r="AM13" s="24">
        <f>IF(AM12&gt;0,ROUND(AM12+AL13-AK13,2),0)</f>
        <v>0</v>
      </c>
      <c r="AN13" s="24">
        <f>IF(AM12&gt;0,ROUND(AN12+ROUND(ROUND(AN12*100,0)*ROUND(AK$7*10000,0)/12000000,0)/100+0.02,2),0)</f>
        <v>0</v>
      </c>
      <c r="AO13" s="24">
        <f>IF(AQ12&gt;0,IF(AND(ROUND(AQ12+AP13-ROUND(AO$6+IF(AO$5=$C13,$E$5+$E13,0),2),2)&gt;0,ROUND(AQ12+AP13-ROUND(AO$6+IF(AO$5=$C13,$E$5+$E13,0),2),2)&lt;=AR13,ROUND(AQ12+AP13-ROUND(AO$6+IF(AO$5=$C13,$E$5+$E13,0),2),2)*10&lt;=ROUND(AO$6+IF(AO$5=$C13,$E$5+$E13,0),2)),ROUND(AQ12+AP13,2),MIN(ROUND(AO$6+IF(AO$5=$C13,$E$5+$E13,0),2),ROUND(AQ12+AP13,2))),0)</f>
        <v>0</v>
      </c>
      <c r="AP13" s="24">
        <f>IF(AQ12&gt;0,ROUND(ROUND(AQ12*100,0)*ROUND(AO$7*10000,0)/12000000,0)/100,0)</f>
        <v>0</v>
      </c>
      <c r="AQ13" s="24">
        <f>IF(AQ12&gt;0,ROUND(AQ12+AP13-AO13,2),0)</f>
        <v>0</v>
      </c>
      <c r="AR13" s="24">
        <f>IF(AQ12&gt;0,ROUND(AR12+ROUND(ROUND(AR12*100,0)*ROUND(AO$7*10000,0)/12000000,0)/100+0.02,2),0)</f>
        <v>0</v>
      </c>
      <c r="AS13" s="24">
        <f>IF(AU12&gt;0,IF(AND(ROUND(AU12+AT13-ROUND(AS$6+IF(AS$5=$C13,$E$5+$E13,0),2),2)&gt;0,ROUND(AU12+AT13-ROUND(AS$6+IF(AS$5=$C13,$E$5+$E13,0),2),2)&lt;=AV13,ROUND(AU12+AT13-ROUND(AS$6+IF(AS$5=$C13,$E$5+$E13,0),2),2)*10&lt;=ROUND(AS$6+IF(AS$5=$C13,$E$5+$E13,0),2)),ROUND(AU12+AT13,2),MIN(ROUND(AS$6+IF(AS$5=$C13,$E$5+$E13,0),2),ROUND(AU12+AT13,2))),0)</f>
        <v>0</v>
      </c>
      <c r="AT13" s="24">
        <f>IF(AU12&gt;0,ROUND(ROUND(AU12*100,0)*ROUND(AS$7*10000,0)/12000000,0)/100,0)</f>
        <v>0</v>
      </c>
      <c r="AU13" s="24">
        <f>IF(AU12&gt;0,ROUND(AU12+AT13-AS13,2),0)</f>
        <v>0</v>
      </c>
      <c r="AV13" s="24">
        <f>IF(AU12&gt;0,ROUND(AV12+ROUND(ROUND(AV12*100,0)*ROUND(AS$7*10000,0)/12000000,0)/100+0.02,2),0)</f>
        <v>0</v>
      </c>
    </row>
    <row r="14" spans="1:48" x14ac:dyDescent="0.25">
      <c r="A14" s="17">
        <f>IF(F14&gt;0,4,"")</f>
        <v>4</v>
      </c>
      <c r="B14" s="18">
        <f>IF(F14&gt;0,EDATE($E$6,4),"")</f>
        <v>46452</v>
      </c>
      <c r="C14" s="21">
        <f>IF(H13&gt;0,MIN(IF(K13&gt;0,I$5,99),IF(O13&gt;0,M$5,99),IF(S13&gt;0,Q$5,99),IF(W13&gt;0,U$5,99),IF(AA13&gt;0,Y$5,99),IF(AE13&gt;0,AC$5,99),IF(AI13&gt;0,AG$5,99),IF(AM13&gt;0,AK$5,99),IF(AQ13&gt;0,AO$5,99),IF(AU13&gt;0,AS$5,99)),0)</f>
        <v>2</v>
      </c>
      <c r="D14" t="str">
        <f>IF(C14&gt;0,INDEX($I$4:$AV$4,1,MATCH(C14,$I$5:$AV$5,0)),"")</f>
        <v>Tarjeta de crédito</v>
      </c>
      <c r="E14" s="24">
        <f>ROUND(IF(AND(I$8&gt;0,K13=0),I$6,0)+IF(AND(M$8&gt;0,O13=0),M$6,0)+IF(AND(Q$8&gt;0,S13=0),Q$6,0)+IF(AND(U$8&gt;0,W13=0),U$6,0)+IF(AND(Y$8&gt;0,AA13=0),Y$6,0)+IF(AND(AC$8&gt;0,AE13=0),AC$6,0)+IF(AND(AG$8&gt;0,AI13=0),AG$6,0)+IF(AND(AK$8&gt;0,AM13=0),AK$6,0)+IF(AND(AO$8&gt;0,AQ13=0),AO$6,0)+IF(AND(AS$8&gt;0,AU13=0),AS$6,0),2)</f>
        <v>50</v>
      </c>
      <c r="F14" s="24">
        <f>ROUND(I14+M14+Q14+U14+Y14+AC14+AG14+AK14+AO14+AS14,2)</f>
        <v>475</v>
      </c>
      <c r="G14" s="24">
        <f>ROUND(J14+N14+R14+V14+Z14+AD14+AH14+AL14+AP14+AT14,2)</f>
        <v>78.45</v>
      </c>
      <c r="H14" s="24">
        <f>ROUND(K14+O14+S14+W14+AA14+AE14+AI14+AM14+AQ14+AU14,2)</f>
        <v>10521.94</v>
      </c>
      <c r="I14" s="24">
        <f>IF(K13&gt;0,IF(AND(ROUND(K13+J14-ROUND(I$6+IF(I$5=$C14,$E$5+$E14,0),2),2)&gt;0,ROUND(K13+J14-ROUND(I$6+IF(I$5=$C14,$E$5+$E14,0),2),2)&lt;=L14,ROUND(K13+J14-ROUND(I$6+IF(I$5=$C14,$E$5+$E14,0),2),2)*10&lt;=ROUND(I$6+IF(I$5=$C14,$E$5+$E14,0),2)),ROUND(K13+J14,2),MIN(ROUND(I$6+IF(I$5=$C14,$E$5+$E14,0),2),ROUND(K13+J14,2))),0)</f>
        <v>275</v>
      </c>
      <c r="J14" s="24">
        <f>IF(K13&gt;0,ROUND(ROUND(K13*100,0)*ROUND(I$7*10000,0)/12000000,0)/100,0)</f>
        <v>35.79</v>
      </c>
      <c r="K14" s="24">
        <f>IF(K13&gt;0,ROUND(K13+J14-I14,2),0)</f>
        <v>2146.6</v>
      </c>
      <c r="L14" s="24">
        <f>IF(K13&gt;0,ROUND(L13+ROUND(ROUND(L13*100,0)*ROUND(I$7*10000,0)/12000000,0)/100+0.02,2),0)</f>
        <v>0.08</v>
      </c>
      <c r="M14" s="24">
        <f>IF(O13&gt;0,IF(AND(ROUND(O13+N14-ROUND(M$6+IF(M$5=$C14,$E$5+$E14,0),2),2)&gt;0,ROUND(O13+N14-ROUND(M$6+IF(M$5=$C14,$E$5+$E14,0),2),2)&lt;=P14,ROUND(O13+N14-ROUND(M$6+IF(M$5=$C14,$E$5+$E14,0),2),2)*10&lt;=ROUND(M$6+IF(M$5=$C14,$E$5+$E14,0),2)),ROUND(O13+N14,2),MIN(ROUND(M$6+IF(M$5=$C14,$E$5+$E14,0),2),ROUND(O13+N14,2))),0)</f>
        <v>200</v>
      </c>
      <c r="N14" s="24">
        <f>IF(O13&gt;0,ROUND(ROUND(O13*100,0)*ROUND(M$7*10000,0)/12000000,0)/100,0)</f>
        <v>42.66</v>
      </c>
      <c r="O14" s="24">
        <f>IF(O13&gt;0,ROUND(O13+N14-M14,2),0)</f>
        <v>8375.34</v>
      </c>
      <c r="P14" s="24">
        <f>IF(O13&gt;0,ROUND(P13+ROUND(ROUND(P13*100,0)*ROUND(M$7*10000,0)/12000000,0)/100+0.02,2),0)</f>
        <v>0.08</v>
      </c>
      <c r="Q14" s="24">
        <f>IF(S13&gt;0,IF(AND(ROUND(S13+R14-ROUND(Q$6+IF(Q$5=$C14,$E$5+$E14,0),2),2)&gt;0,ROUND(S13+R14-ROUND(Q$6+IF(Q$5=$C14,$E$5+$E14,0),2),2)&lt;=T14,ROUND(S13+R14-ROUND(Q$6+IF(Q$5=$C14,$E$5+$E14,0),2),2)*10&lt;=ROUND(Q$6+IF(Q$5=$C14,$E$5+$E14,0),2)),ROUND(S13+R14,2),MIN(ROUND(Q$6+IF(Q$5=$C14,$E$5+$E14,0),2),ROUND(S13+R14,2))),0)</f>
        <v>0</v>
      </c>
      <c r="R14" s="24">
        <f>IF(S13&gt;0,ROUND(ROUND(S13*100,0)*ROUND(Q$7*10000,0)/12000000,0)/100,0)</f>
        <v>0</v>
      </c>
      <c r="S14" s="24">
        <f>IF(S13&gt;0,ROUND(S13+R14-Q14,2),0)</f>
        <v>0</v>
      </c>
      <c r="T14" s="24">
        <f>IF(S13&gt;0,ROUND(T13+ROUND(ROUND(T13*100,0)*ROUND(Q$7*10000,0)/12000000,0)/100+0.02,2),0)</f>
        <v>0</v>
      </c>
      <c r="U14" s="24">
        <f>IF(W13&gt;0,IF(AND(ROUND(W13+V14-ROUND(U$6+IF(U$5=$C14,$E$5+$E14,0),2),2)&gt;0,ROUND(W13+V14-ROUND(U$6+IF(U$5=$C14,$E$5+$E14,0),2),2)&lt;=X14,ROUND(W13+V14-ROUND(U$6+IF(U$5=$C14,$E$5+$E14,0),2),2)*10&lt;=ROUND(U$6+IF(U$5=$C14,$E$5+$E14,0),2)),ROUND(W13+V14,2),MIN(ROUND(U$6+IF(U$5=$C14,$E$5+$E14,0),2),ROUND(W13+V14,2))),0)</f>
        <v>0</v>
      </c>
      <c r="V14" s="24">
        <f>IF(W13&gt;0,ROUND(ROUND(W13*100,0)*ROUND(U$7*10000,0)/12000000,0)/100,0)</f>
        <v>0</v>
      </c>
      <c r="W14" s="24">
        <f>IF(W13&gt;0,ROUND(W13+V14-U14,2),0)</f>
        <v>0</v>
      </c>
      <c r="X14" s="24">
        <f>IF(W13&gt;0,ROUND(X13+ROUND(ROUND(X13*100,0)*ROUND(U$7*10000,0)/12000000,0)/100+0.02,2),0)</f>
        <v>0</v>
      </c>
      <c r="Y14" s="24">
        <f>IF(AA13&gt;0,IF(AND(ROUND(AA13+Z14-ROUND(Y$6+IF(Y$5=$C14,$E$5+$E14,0),2),2)&gt;0,ROUND(AA13+Z14-ROUND(Y$6+IF(Y$5=$C14,$E$5+$E14,0),2),2)&lt;=AB14,ROUND(AA13+Z14-ROUND(Y$6+IF(Y$5=$C14,$E$5+$E14,0),2),2)*10&lt;=ROUND(Y$6+IF(Y$5=$C14,$E$5+$E14,0),2)),ROUND(AA13+Z14,2),MIN(ROUND(Y$6+IF(Y$5=$C14,$E$5+$E14,0),2),ROUND(AA13+Z14,2))),0)</f>
        <v>0</v>
      </c>
      <c r="Z14" s="24">
        <f>IF(AA13&gt;0,ROUND(ROUND(AA13*100,0)*ROUND(Y$7*10000,0)/12000000,0)/100,0)</f>
        <v>0</v>
      </c>
      <c r="AA14" s="24">
        <f>IF(AA13&gt;0,ROUND(AA13+Z14-Y14,2),0)</f>
        <v>0</v>
      </c>
      <c r="AB14" s="24">
        <f>IF(AA13&gt;0,ROUND(AB13+ROUND(ROUND(AB13*100,0)*ROUND(Y$7*10000,0)/12000000,0)/100+0.02,2),0)</f>
        <v>0</v>
      </c>
      <c r="AC14" s="24">
        <f>IF(AE13&gt;0,IF(AND(ROUND(AE13+AD14-ROUND(AC$6+IF(AC$5=$C14,$E$5+$E14,0),2),2)&gt;0,ROUND(AE13+AD14-ROUND(AC$6+IF(AC$5=$C14,$E$5+$E14,0),2),2)&lt;=AF14,ROUND(AE13+AD14-ROUND(AC$6+IF(AC$5=$C14,$E$5+$E14,0),2),2)*10&lt;=ROUND(AC$6+IF(AC$5=$C14,$E$5+$E14,0),2)),ROUND(AE13+AD14,2),MIN(ROUND(AC$6+IF(AC$5=$C14,$E$5+$E14,0),2),ROUND(AE13+AD14,2))),0)</f>
        <v>0</v>
      </c>
      <c r="AD14" s="24">
        <f>IF(AE13&gt;0,ROUND(ROUND(AE13*100,0)*ROUND(AC$7*10000,0)/12000000,0)/100,0)</f>
        <v>0</v>
      </c>
      <c r="AE14" s="24">
        <f>IF(AE13&gt;0,ROUND(AE13+AD14-AC14,2),0)</f>
        <v>0</v>
      </c>
      <c r="AF14" s="24">
        <f>IF(AE13&gt;0,ROUND(AF13+ROUND(ROUND(AF13*100,0)*ROUND(AC$7*10000,0)/12000000,0)/100+0.02,2),0)</f>
        <v>0</v>
      </c>
      <c r="AG14" s="24">
        <f>IF(AI13&gt;0,IF(AND(ROUND(AI13+AH14-ROUND(AG$6+IF(AG$5=$C14,$E$5+$E14,0),2),2)&gt;0,ROUND(AI13+AH14-ROUND(AG$6+IF(AG$5=$C14,$E$5+$E14,0),2),2)&lt;=AJ14,ROUND(AI13+AH14-ROUND(AG$6+IF(AG$5=$C14,$E$5+$E14,0),2),2)*10&lt;=ROUND(AG$6+IF(AG$5=$C14,$E$5+$E14,0),2)),ROUND(AI13+AH14,2),MIN(ROUND(AG$6+IF(AG$5=$C14,$E$5+$E14,0),2),ROUND(AI13+AH14,2))),0)</f>
        <v>0</v>
      </c>
      <c r="AH14" s="24">
        <f>IF(AI13&gt;0,ROUND(ROUND(AI13*100,0)*ROUND(AG$7*10000,0)/12000000,0)/100,0)</f>
        <v>0</v>
      </c>
      <c r="AI14" s="24">
        <f>IF(AI13&gt;0,ROUND(AI13+AH14-AG14,2),0)</f>
        <v>0</v>
      </c>
      <c r="AJ14" s="24">
        <f>IF(AI13&gt;0,ROUND(AJ13+ROUND(ROUND(AJ13*100,0)*ROUND(AG$7*10000,0)/12000000,0)/100+0.02,2),0)</f>
        <v>0</v>
      </c>
      <c r="AK14" s="24">
        <f>IF(AM13&gt;0,IF(AND(ROUND(AM13+AL14-ROUND(AK$6+IF(AK$5=$C14,$E$5+$E14,0),2),2)&gt;0,ROUND(AM13+AL14-ROUND(AK$6+IF(AK$5=$C14,$E$5+$E14,0),2),2)&lt;=AN14,ROUND(AM13+AL14-ROUND(AK$6+IF(AK$5=$C14,$E$5+$E14,0),2),2)*10&lt;=ROUND(AK$6+IF(AK$5=$C14,$E$5+$E14,0),2)),ROUND(AM13+AL14,2),MIN(ROUND(AK$6+IF(AK$5=$C14,$E$5+$E14,0),2),ROUND(AM13+AL14,2))),0)</f>
        <v>0</v>
      </c>
      <c r="AL14" s="24">
        <f>IF(AM13&gt;0,ROUND(ROUND(AM13*100,0)*ROUND(AK$7*10000,0)/12000000,0)/100,0)</f>
        <v>0</v>
      </c>
      <c r="AM14" s="24">
        <f>IF(AM13&gt;0,ROUND(AM13+AL14-AK14,2),0)</f>
        <v>0</v>
      </c>
      <c r="AN14" s="24">
        <f>IF(AM13&gt;0,ROUND(AN13+ROUND(ROUND(AN13*100,0)*ROUND(AK$7*10000,0)/12000000,0)/100+0.02,2),0)</f>
        <v>0</v>
      </c>
      <c r="AO14" s="24">
        <f>IF(AQ13&gt;0,IF(AND(ROUND(AQ13+AP14-ROUND(AO$6+IF(AO$5=$C14,$E$5+$E14,0),2),2)&gt;0,ROUND(AQ13+AP14-ROUND(AO$6+IF(AO$5=$C14,$E$5+$E14,0),2),2)&lt;=AR14,ROUND(AQ13+AP14-ROUND(AO$6+IF(AO$5=$C14,$E$5+$E14,0),2),2)*10&lt;=ROUND(AO$6+IF(AO$5=$C14,$E$5+$E14,0),2)),ROUND(AQ13+AP14,2),MIN(ROUND(AO$6+IF(AO$5=$C14,$E$5+$E14,0),2),ROUND(AQ13+AP14,2))),0)</f>
        <v>0</v>
      </c>
      <c r="AP14" s="24">
        <f>IF(AQ13&gt;0,ROUND(ROUND(AQ13*100,0)*ROUND(AO$7*10000,0)/12000000,0)/100,0)</f>
        <v>0</v>
      </c>
      <c r="AQ14" s="24">
        <f>IF(AQ13&gt;0,ROUND(AQ13+AP14-AO14,2),0)</f>
        <v>0</v>
      </c>
      <c r="AR14" s="24">
        <f>IF(AQ13&gt;0,ROUND(AR13+ROUND(ROUND(AR13*100,0)*ROUND(AO$7*10000,0)/12000000,0)/100+0.02,2),0)</f>
        <v>0</v>
      </c>
      <c r="AS14" s="24">
        <f>IF(AU13&gt;0,IF(AND(ROUND(AU13+AT14-ROUND(AS$6+IF(AS$5=$C14,$E$5+$E14,0),2),2)&gt;0,ROUND(AU13+AT14-ROUND(AS$6+IF(AS$5=$C14,$E$5+$E14,0),2),2)&lt;=AV14,ROUND(AU13+AT14-ROUND(AS$6+IF(AS$5=$C14,$E$5+$E14,0),2),2)*10&lt;=ROUND(AS$6+IF(AS$5=$C14,$E$5+$E14,0),2)),ROUND(AU13+AT14,2),MIN(ROUND(AS$6+IF(AS$5=$C14,$E$5+$E14,0),2),ROUND(AU13+AT14,2))),0)</f>
        <v>0</v>
      </c>
      <c r="AT14" s="24">
        <f>IF(AU13&gt;0,ROUND(ROUND(AU13*100,0)*ROUND(AS$7*10000,0)/12000000,0)/100,0)</f>
        <v>0</v>
      </c>
      <c r="AU14" s="24">
        <f>IF(AU13&gt;0,ROUND(AU13+AT14-AS14,2),0)</f>
        <v>0</v>
      </c>
      <c r="AV14" s="24">
        <f>IF(AU13&gt;0,ROUND(AV13+ROUND(ROUND(AV13*100,0)*ROUND(AS$7*10000,0)/12000000,0)/100+0.02,2),0)</f>
        <v>0</v>
      </c>
    </row>
    <row r="15" spans="1:48" x14ac:dyDescent="0.25">
      <c r="A15" s="17">
        <f>IF(F15&gt;0,5,"")</f>
        <v>5</v>
      </c>
      <c r="B15" s="18">
        <f>IF(F15&gt;0,EDATE($E$6,5),"")</f>
        <v>46483</v>
      </c>
      <c r="C15" s="21">
        <f>IF(H14&gt;0,MIN(IF(K14&gt;0,I$5,99),IF(O14&gt;0,M$5,99),IF(S14&gt;0,Q$5,99),IF(W14&gt;0,U$5,99),IF(AA14&gt;0,Y$5,99),IF(AE14&gt;0,AC$5,99),IF(AI14&gt;0,AG$5,99),IF(AM14&gt;0,AK$5,99),IF(AQ14&gt;0,AO$5,99),IF(AU14&gt;0,AS$5,99)),0)</f>
        <v>2</v>
      </c>
      <c r="D15" t="str">
        <f>IF(C15&gt;0,INDEX($I$4:$AV$4,1,MATCH(C15,$I$5:$AV$5,0)),"")</f>
        <v>Tarjeta de crédito</v>
      </c>
      <c r="E15" s="24">
        <f>ROUND(IF(AND(I$8&gt;0,K14=0),I$6,0)+IF(AND(M$8&gt;0,O14=0),M$6,0)+IF(AND(Q$8&gt;0,S14=0),Q$6,0)+IF(AND(U$8&gt;0,W14=0),U$6,0)+IF(AND(Y$8&gt;0,AA14=0),Y$6,0)+IF(AND(AC$8&gt;0,AE14=0),AC$6,0)+IF(AND(AG$8&gt;0,AI14=0),AG$6,0)+IF(AND(AK$8&gt;0,AM14=0),AK$6,0)+IF(AND(AO$8&gt;0,AQ14=0),AO$6,0)+IF(AND(AS$8&gt;0,AU14=0),AS$6,0),2)</f>
        <v>50</v>
      </c>
      <c r="F15" s="24">
        <f>ROUND(I15+M15+Q15+U15+Y15+AC15+AG15+AK15+AO15+AS15,2)</f>
        <v>475</v>
      </c>
      <c r="G15" s="24">
        <f>ROUND(J15+N15+R15+V15+Z15+AD15+AH15+AL15+AP15+AT15,2)</f>
        <v>74.08</v>
      </c>
      <c r="H15" s="24">
        <f>ROUND(K15+O15+S15+W15+AA15+AE15+AI15+AM15+AQ15+AU15,2)</f>
        <v>10121.02</v>
      </c>
      <c r="I15" s="24">
        <f>IF(K14&gt;0,IF(AND(ROUND(K14+J15-ROUND(I$6+IF(I$5=$C15,$E$5+$E15,0),2),2)&gt;0,ROUND(K14+J15-ROUND(I$6+IF(I$5=$C15,$E$5+$E15,0),2),2)&lt;=L15,ROUND(K14+J15-ROUND(I$6+IF(I$5=$C15,$E$5+$E15,0),2),2)*10&lt;=ROUND(I$6+IF(I$5=$C15,$E$5+$E15,0),2)),ROUND(K14+J15,2),MIN(ROUND(I$6+IF(I$5=$C15,$E$5+$E15,0),2),ROUND(K14+J15,2))),0)</f>
        <v>275</v>
      </c>
      <c r="J15" s="24">
        <f>IF(K14&gt;0,ROUND(ROUND(K14*100,0)*ROUND(I$7*10000,0)/12000000,0)/100,0)</f>
        <v>32.2</v>
      </c>
      <c r="K15" s="24">
        <f>IF(K14&gt;0,ROUND(K14+J15-I15,2),0)</f>
        <v>1903.8</v>
      </c>
      <c r="L15" s="24">
        <f>IF(K14&gt;0,ROUND(L14+ROUND(ROUND(L14*100,0)*ROUND(I$7*10000,0)/12000000,0)/100+0.02,2),0)</f>
        <v>0.1</v>
      </c>
      <c r="M15" s="24">
        <f>IF(O14&gt;0,IF(AND(ROUND(O14+N15-ROUND(M$6+IF(M$5=$C15,$E$5+$E15,0),2),2)&gt;0,ROUND(O14+N15-ROUND(M$6+IF(M$5=$C15,$E$5+$E15,0),2),2)&lt;=P15,ROUND(O14+N15-ROUND(M$6+IF(M$5=$C15,$E$5+$E15,0),2),2)*10&lt;=ROUND(M$6+IF(M$5=$C15,$E$5+$E15,0),2)),ROUND(O14+N15,2),MIN(ROUND(M$6+IF(M$5=$C15,$E$5+$E15,0),2),ROUND(O14+N15,2))),0)</f>
        <v>200</v>
      </c>
      <c r="N15" s="24">
        <f>IF(O14&gt;0,ROUND(ROUND(O14*100,0)*ROUND(M$7*10000,0)/12000000,0)/100,0)</f>
        <v>41.88</v>
      </c>
      <c r="O15" s="24">
        <f>IF(O14&gt;0,ROUND(O14+N15-M15,2),0)</f>
        <v>8217.22</v>
      </c>
      <c r="P15" s="24">
        <f>IF(O14&gt;0,ROUND(P14+ROUND(ROUND(P14*100,0)*ROUND(M$7*10000,0)/12000000,0)/100+0.02,2),0)</f>
        <v>0.1</v>
      </c>
      <c r="Q15" s="24">
        <f>IF(S14&gt;0,IF(AND(ROUND(S14+R15-ROUND(Q$6+IF(Q$5=$C15,$E$5+$E15,0),2),2)&gt;0,ROUND(S14+R15-ROUND(Q$6+IF(Q$5=$C15,$E$5+$E15,0),2),2)&lt;=T15,ROUND(S14+R15-ROUND(Q$6+IF(Q$5=$C15,$E$5+$E15,0),2),2)*10&lt;=ROUND(Q$6+IF(Q$5=$C15,$E$5+$E15,0),2)),ROUND(S14+R15,2),MIN(ROUND(Q$6+IF(Q$5=$C15,$E$5+$E15,0),2),ROUND(S14+R15,2))),0)</f>
        <v>0</v>
      </c>
      <c r="R15" s="24">
        <f>IF(S14&gt;0,ROUND(ROUND(S14*100,0)*ROUND(Q$7*10000,0)/12000000,0)/100,0)</f>
        <v>0</v>
      </c>
      <c r="S15" s="24">
        <f>IF(S14&gt;0,ROUND(S14+R15-Q15,2),0)</f>
        <v>0</v>
      </c>
      <c r="T15" s="24">
        <f>IF(S14&gt;0,ROUND(T14+ROUND(ROUND(T14*100,0)*ROUND(Q$7*10000,0)/12000000,0)/100+0.02,2),0)</f>
        <v>0</v>
      </c>
      <c r="U15" s="24">
        <f>IF(W14&gt;0,IF(AND(ROUND(W14+V15-ROUND(U$6+IF(U$5=$C15,$E$5+$E15,0),2),2)&gt;0,ROUND(W14+V15-ROUND(U$6+IF(U$5=$C15,$E$5+$E15,0),2),2)&lt;=X15,ROUND(W14+V15-ROUND(U$6+IF(U$5=$C15,$E$5+$E15,0),2),2)*10&lt;=ROUND(U$6+IF(U$5=$C15,$E$5+$E15,0),2)),ROUND(W14+V15,2),MIN(ROUND(U$6+IF(U$5=$C15,$E$5+$E15,0),2),ROUND(W14+V15,2))),0)</f>
        <v>0</v>
      </c>
      <c r="V15" s="24">
        <f>IF(W14&gt;0,ROUND(ROUND(W14*100,0)*ROUND(U$7*10000,0)/12000000,0)/100,0)</f>
        <v>0</v>
      </c>
      <c r="W15" s="24">
        <f>IF(W14&gt;0,ROUND(W14+V15-U15,2),0)</f>
        <v>0</v>
      </c>
      <c r="X15" s="24">
        <f>IF(W14&gt;0,ROUND(X14+ROUND(ROUND(X14*100,0)*ROUND(U$7*10000,0)/12000000,0)/100+0.02,2),0)</f>
        <v>0</v>
      </c>
      <c r="Y15" s="24">
        <f>IF(AA14&gt;0,IF(AND(ROUND(AA14+Z15-ROUND(Y$6+IF(Y$5=$C15,$E$5+$E15,0),2),2)&gt;0,ROUND(AA14+Z15-ROUND(Y$6+IF(Y$5=$C15,$E$5+$E15,0),2),2)&lt;=AB15,ROUND(AA14+Z15-ROUND(Y$6+IF(Y$5=$C15,$E$5+$E15,0),2),2)*10&lt;=ROUND(Y$6+IF(Y$5=$C15,$E$5+$E15,0),2)),ROUND(AA14+Z15,2),MIN(ROUND(Y$6+IF(Y$5=$C15,$E$5+$E15,0),2),ROUND(AA14+Z15,2))),0)</f>
        <v>0</v>
      </c>
      <c r="Z15" s="24">
        <f>IF(AA14&gt;0,ROUND(ROUND(AA14*100,0)*ROUND(Y$7*10000,0)/12000000,0)/100,0)</f>
        <v>0</v>
      </c>
      <c r="AA15" s="24">
        <f>IF(AA14&gt;0,ROUND(AA14+Z15-Y15,2),0)</f>
        <v>0</v>
      </c>
      <c r="AB15" s="24">
        <f>IF(AA14&gt;0,ROUND(AB14+ROUND(ROUND(AB14*100,0)*ROUND(Y$7*10000,0)/12000000,0)/100+0.02,2),0)</f>
        <v>0</v>
      </c>
      <c r="AC15" s="24">
        <f>IF(AE14&gt;0,IF(AND(ROUND(AE14+AD15-ROUND(AC$6+IF(AC$5=$C15,$E$5+$E15,0),2),2)&gt;0,ROUND(AE14+AD15-ROUND(AC$6+IF(AC$5=$C15,$E$5+$E15,0),2),2)&lt;=AF15,ROUND(AE14+AD15-ROUND(AC$6+IF(AC$5=$C15,$E$5+$E15,0),2),2)*10&lt;=ROUND(AC$6+IF(AC$5=$C15,$E$5+$E15,0),2)),ROUND(AE14+AD15,2),MIN(ROUND(AC$6+IF(AC$5=$C15,$E$5+$E15,0),2),ROUND(AE14+AD15,2))),0)</f>
        <v>0</v>
      </c>
      <c r="AD15" s="24">
        <f>IF(AE14&gt;0,ROUND(ROUND(AE14*100,0)*ROUND(AC$7*10000,0)/12000000,0)/100,0)</f>
        <v>0</v>
      </c>
      <c r="AE15" s="24">
        <f>IF(AE14&gt;0,ROUND(AE14+AD15-AC15,2),0)</f>
        <v>0</v>
      </c>
      <c r="AF15" s="24">
        <f>IF(AE14&gt;0,ROUND(AF14+ROUND(ROUND(AF14*100,0)*ROUND(AC$7*10000,0)/12000000,0)/100+0.02,2),0)</f>
        <v>0</v>
      </c>
      <c r="AG15" s="24">
        <f>IF(AI14&gt;0,IF(AND(ROUND(AI14+AH15-ROUND(AG$6+IF(AG$5=$C15,$E$5+$E15,0),2),2)&gt;0,ROUND(AI14+AH15-ROUND(AG$6+IF(AG$5=$C15,$E$5+$E15,0),2),2)&lt;=AJ15,ROUND(AI14+AH15-ROUND(AG$6+IF(AG$5=$C15,$E$5+$E15,0),2),2)*10&lt;=ROUND(AG$6+IF(AG$5=$C15,$E$5+$E15,0),2)),ROUND(AI14+AH15,2),MIN(ROUND(AG$6+IF(AG$5=$C15,$E$5+$E15,0),2),ROUND(AI14+AH15,2))),0)</f>
        <v>0</v>
      </c>
      <c r="AH15" s="24">
        <f>IF(AI14&gt;0,ROUND(ROUND(AI14*100,0)*ROUND(AG$7*10000,0)/12000000,0)/100,0)</f>
        <v>0</v>
      </c>
      <c r="AI15" s="24">
        <f>IF(AI14&gt;0,ROUND(AI14+AH15-AG15,2),0)</f>
        <v>0</v>
      </c>
      <c r="AJ15" s="24">
        <f>IF(AI14&gt;0,ROUND(AJ14+ROUND(ROUND(AJ14*100,0)*ROUND(AG$7*10000,0)/12000000,0)/100+0.02,2),0)</f>
        <v>0</v>
      </c>
      <c r="AK15" s="24">
        <f>IF(AM14&gt;0,IF(AND(ROUND(AM14+AL15-ROUND(AK$6+IF(AK$5=$C15,$E$5+$E15,0),2),2)&gt;0,ROUND(AM14+AL15-ROUND(AK$6+IF(AK$5=$C15,$E$5+$E15,0),2),2)&lt;=AN15,ROUND(AM14+AL15-ROUND(AK$6+IF(AK$5=$C15,$E$5+$E15,0),2),2)*10&lt;=ROUND(AK$6+IF(AK$5=$C15,$E$5+$E15,0),2)),ROUND(AM14+AL15,2),MIN(ROUND(AK$6+IF(AK$5=$C15,$E$5+$E15,0),2),ROUND(AM14+AL15,2))),0)</f>
        <v>0</v>
      </c>
      <c r="AL15" s="24">
        <f>IF(AM14&gt;0,ROUND(ROUND(AM14*100,0)*ROUND(AK$7*10000,0)/12000000,0)/100,0)</f>
        <v>0</v>
      </c>
      <c r="AM15" s="24">
        <f>IF(AM14&gt;0,ROUND(AM14+AL15-AK15,2),0)</f>
        <v>0</v>
      </c>
      <c r="AN15" s="24">
        <f>IF(AM14&gt;0,ROUND(AN14+ROUND(ROUND(AN14*100,0)*ROUND(AK$7*10000,0)/12000000,0)/100+0.02,2),0)</f>
        <v>0</v>
      </c>
      <c r="AO15" s="24">
        <f>IF(AQ14&gt;0,IF(AND(ROUND(AQ14+AP15-ROUND(AO$6+IF(AO$5=$C15,$E$5+$E15,0),2),2)&gt;0,ROUND(AQ14+AP15-ROUND(AO$6+IF(AO$5=$C15,$E$5+$E15,0),2),2)&lt;=AR15,ROUND(AQ14+AP15-ROUND(AO$6+IF(AO$5=$C15,$E$5+$E15,0),2),2)*10&lt;=ROUND(AO$6+IF(AO$5=$C15,$E$5+$E15,0),2)),ROUND(AQ14+AP15,2),MIN(ROUND(AO$6+IF(AO$5=$C15,$E$5+$E15,0),2),ROUND(AQ14+AP15,2))),0)</f>
        <v>0</v>
      </c>
      <c r="AP15" s="24">
        <f>IF(AQ14&gt;0,ROUND(ROUND(AQ14*100,0)*ROUND(AO$7*10000,0)/12000000,0)/100,0)</f>
        <v>0</v>
      </c>
      <c r="AQ15" s="24">
        <f>IF(AQ14&gt;0,ROUND(AQ14+AP15-AO15,2),0)</f>
        <v>0</v>
      </c>
      <c r="AR15" s="24">
        <f>IF(AQ14&gt;0,ROUND(AR14+ROUND(ROUND(AR14*100,0)*ROUND(AO$7*10000,0)/12000000,0)/100+0.02,2),0)</f>
        <v>0</v>
      </c>
      <c r="AS15" s="24">
        <f>IF(AU14&gt;0,IF(AND(ROUND(AU14+AT15-ROUND(AS$6+IF(AS$5=$C15,$E$5+$E15,0),2),2)&gt;0,ROUND(AU14+AT15-ROUND(AS$6+IF(AS$5=$C15,$E$5+$E15,0),2),2)&lt;=AV15,ROUND(AU14+AT15-ROUND(AS$6+IF(AS$5=$C15,$E$5+$E15,0),2),2)*10&lt;=ROUND(AS$6+IF(AS$5=$C15,$E$5+$E15,0),2)),ROUND(AU14+AT15,2),MIN(ROUND(AS$6+IF(AS$5=$C15,$E$5+$E15,0),2),ROUND(AU14+AT15,2))),0)</f>
        <v>0</v>
      </c>
      <c r="AT15" s="24">
        <f>IF(AU14&gt;0,ROUND(ROUND(AU14*100,0)*ROUND(AS$7*10000,0)/12000000,0)/100,0)</f>
        <v>0</v>
      </c>
      <c r="AU15" s="24">
        <f>IF(AU14&gt;0,ROUND(AU14+AT15-AS15,2),0)</f>
        <v>0</v>
      </c>
      <c r="AV15" s="24">
        <f>IF(AU14&gt;0,ROUND(AV14+ROUND(ROUND(AV14*100,0)*ROUND(AS$7*10000,0)/12000000,0)/100+0.02,2),0)</f>
        <v>0</v>
      </c>
    </row>
    <row r="16" spans="1:48" x14ac:dyDescent="0.25">
      <c r="A16" s="17">
        <f>IF(F16&gt;0,6,"")</f>
        <v>6</v>
      </c>
      <c r="B16" s="18">
        <f>IF(F16&gt;0,EDATE($E$6,6),"")</f>
        <v>46513</v>
      </c>
      <c r="C16" s="21">
        <f>IF(H15&gt;0,MIN(IF(K15&gt;0,I$5,99),IF(O15&gt;0,M$5,99),IF(S15&gt;0,Q$5,99),IF(W15&gt;0,U$5,99),IF(AA15&gt;0,Y$5,99),IF(AE15&gt;0,AC$5,99),IF(AI15&gt;0,AG$5,99),IF(AM15&gt;0,AK$5,99),IF(AQ15&gt;0,AO$5,99),IF(AU15&gt;0,AS$5,99)),0)</f>
        <v>2</v>
      </c>
      <c r="D16" t="str">
        <f>IF(C16&gt;0,INDEX($I$4:$AV$4,1,MATCH(C16,$I$5:$AV$5,0)),"")</f>
        <v>Tarjeta de crédito</v>
      </c>
      <c r="E16" s="24">
        <f>ROUND(IF(AND(I$8&gt;0,K15=0),I$6,0)+IF(AND(M$8&gt;0,O15=0),M$6,0)+IF(AND(Q$8&gt;0,S15=0),Q$6,0)+IF(AND(U$8&gt;0,W15=0),U$6,0)+IF(AND(Y$8&gt;0,AA15=0),Y$6,0)+IF(AND(AC$8&gt;0,AE15=0),AC$6,0)+IF(AND(AG$8&gt;0,AI15=0),AG$6,0)+IF(AND(AK$8&gt;0,AM15=0),AK$6,0)+IF(AND(AO$8&gt;0,AQ15=0),AO$6,0)+IF(AND(AS$8&gt;0,AU15=0),AS$6,0),2)</f>
        <v>50</v>
      </c>
      <c r="F16" s="24">
        <f>ROUND(I16+M16+Q16+U16+Y16+AC16+AG16+AK16+AO16+AS16,2)</f>
        <v>475</v>
      </c>
      <c r="G16" s="24">
        <f>ROUND(J16+N16+R16+V16+Z16+AD16+AH16+AL16+AP16+AT16,2)</f>
        <v>69.65</v>
      </c>
      <c r="H16" s="24">
        <f>ROUND(K16+O16+S16+W16+AA16+AE16+AI16+AM16+AQ16+AU16,2)</f>
        <v>9715.67</v>
      </c>
      <c r="I16" s="24">
        <f>IF(K15&gt;0,IF(AND(ROUND(K15+J16-ROUND(I$6+IF(I$5=$C16,$E$5+$E16,0),2),2)&gt;0,ROUND(K15+J16-ROUND(I$6+IF(I$5=$C16,$E$5+$E16,0),2),2)&lt;=L16,ROUND(K15+J16-ROUND(I$6+IF(I$5=$C16,$E$5+$E16,0),2),2)*10&lt;=ROUND(I$6+IF(I$5=$C16,$E$5+$E16,0),2)),ROUND(K15+J16,2),MIN(ROUND(I$6+IF(I$5=$C16,$E$5+$E16,0),2),ROUND(K15+J16,2))),0)</f>
        <v>275</v>
      </c>
      <c r="J16" s="24">
        <f>IF(K15&gt;0,ROUND(ROUND(K15*100,0)*ROUND(I$7*10000,0)/12000000,0)/100,0)</f>
        <v>28.56</v>
      </c>
      <c r="K16" s="24">
        <f>IF(K15&gt;0,ROUND(K15+J16-I16,2),0)</f>
        <v>1657.36</v>
      </c>
      <c r="L16" s="24">
        <f>IF(K15&gt;0,ROUND(L15+ROUND(ROUND(L15*100,0)*ROUND(I$7*10000,0)/12000000,0)/100+0.02,2),0)</f>
        <v>0.12</v>
      </c>
      <c r="M16" s="24">
        <f>IF(O15&gt;0,IF(AND(ROUND(O15+N16-ROUND(M$6+IF(M$5=$C16,$E$5+$E16,0),2),2)&gt;0,ROUND(O15+N16-ROUND(M$6+IF(M$5=$C16,$E$5+$E16,0),2),2)&lt;=P16,ROUND(O15+N16-ROUND(M$6+IF(M$5=$C16,$E$5+$E16,0),2),2)*10&lt;=ROUND(M$6+IF(M$5=$C16,$E$5+$E16,0),2)),ROUND(O15+N16,2),MIN(ROUND(M$6+IF(M$5=$C16,$E$5+$E16,0),2),ROUND(O15+N16,2))),0)</f>
        <v>200</v>
      </c>
      <c r="N16" s="24">
        <f>IF(O15&gt;0,ROUND(ROUND(O15*100,0)*ROUND(M$7*10000,0)/12000000,0)/100,0)</f>
        <v>41.09</v>
      </c>
      <c r="O16" s="24">
        <f>IF(O15&gt;0,ROUND(O15+N16-M16,2),0)</f>
        <v>8058.31</v>
      </c>
      <c r="P16" s="24">
        <f>IF(O15&gt;0,ROUND(P15+ROUND(ROUND(P15*100,0)*ROUND(M$7*10000,0)/12000000,0)/100+0.02,2),0)</f>
        <v>0.12</v>
      </c>
      <c r="Q16" s="24">
        <f>IF(S15&gt;0,IF(AND(ROUND(S15+R16-ROUND(Q$6+IF(Q$5=$C16,$E$5+$E16,0),2),2)&gt;0,ROUND(S15+R16-ROUND(Q$6+IF(Q$5=$C16,$E$5+$E16,0),2),2)&lt;=T16,ROUND(S15+R16-ROUND(Q$6+IF(Q$5=$C16,$E$5+$E16,0),2),2)*10&lt;=ROUND(Q$6+IF(Q$5=$C16,$E$5+$E16,0),2)),ROUND(S15+R16,2),MIN(ROUND(Q$6+IF(Q$5=$C16,$E$5+$E16,0),2),ROUND(S15+R16,2))),0)</f>
        <v>0</v>
      </c>
      <c r="R16" s="24">
        <f>IF(S15&gt;0,ROUND(ROUND(S15*100,0)*ROUND(Q$7*10000,0)/12000000,0)/100,0)</f>
        <v>0</v>
      </c>
      <c r="S16" s="24">
        <f>IF(S15&gt;0,ROUND(S15+R16-Q16,2),0)</f>
        <v>0</v>
      </c>
      <c r="T16" s="24">
        <f>IF(S15&gt;0,ROUND(T15+ROUND(ROUND(T15*100,0)*ROUND(Q$7*10000,0)/12000000,0)/100+0.02,2),0)</f>
        <v>0</v>
      </c>
      <c r="U16" s="24">
        <f>IF(W15&gt;0,IF(AND(ROUND(W15+V16-ROUND(U$6+IF(U$5=$C16,$E$5+$E16,0),2),2)&gt;0,ROUND(W15+V16-ROUND(U$6+IF(U$5=$C16,$E$5+$E16,0),2),2)&lt;=X16,ROUND(W15+V16-ROUND(U$6+IF(U$5=$C16,$E$5+$E16,0),2),2)*10&lt;=ROUND(U$6+IF(U$5=$C16,$E$5+$E16,0),2)),ROUND(W15+V16,2),MIN(ROUND(U$6+IF(U$5=$C16,$E$5+$E16,0),2),ROUND(W15+V16,2))),0)</f>
        <v>0</v>
      </c>
      <c r="V16" s="24">
        <f>IF(W15&gt;0,ROUND(ROUND(W15*100,0)*ROUND(U$7*10000,0)/12000000,0)/100,0)</f>
        <v>0</v>
      </c>
      <c r="W16" s="24">
        <f>IF(W15&gt;0,ROUND(W15+V16-U16,2),0)</f>
        <v>0</v>
      </c>
      <c r="X16" s="24">
        <f>IF(W15&gt;0,ROUND(X15+ROUND(ROUND(X15*100,0)*ROUND(U$7*10000,0)/12000000,0)/100+0.02,2),0)</f>
        <v>0</v>
      </c>
      <c r="Y16" s="24">
        <f>IF(AA15&gt;0,IF(AND(ROUND(AA15+Z16-ROUND(Y$6+IF(Y$5=$C16,$E$5+$E16,0),2),2)&gt;0,ROUND(AA15+Z16-ROUND(Y$6+IF(Y$5=$C16,$E$5+$E16,0),2),2)&lt;=AB16,ROUND(AA15+Z16-ROUND(Y$6+IF(Y$5=$C16,$E$5+$E16,0),2),2)*10&lt;=ROUND(Y$6+IF(Y$5=$C16,$E$5+$E16,0),2)),ROUND(AA15+Z16,2),MIN(ROUND(Y$6+IF(Y$5=$C16,$E$5+$E16,0),2),ROUND(AA15+Z16,2))),0)</f>
        <v>0</v>
      </c>
      <c r="Z16" s="24">
        <f>IF(AA15&gt;0,ROUND(ROUND(AA15*100,0)*ROUND(Y$7*10000,0)/12000000,0)/100,0)</f>
        <v>0</v>
      </c>
      <c r="AA16" s="24">
        <f>IF(AA15&gt;0,ROUND(AA15+Z16-Y16,2),0)</f>
        <v>0</v>
      </c>
      <c r="AB16" s="24">
        <f>IF(AA15&gt;0,ROUND(AB15+ROUND(ROUND(AB15*100,0)*ROUND(Y$7*10000,0)/12000000,0)/100+0.02,2),0)</f>
        <v>0</v>
      </c>
      <c r="AC16" s="24">
        <f>IF(AE15&gt;0,IF(AND(ROUND(AE15+AD16-ROUND(AC$6+IF(AC$5=$C16,$E$5+$E16,0),2),2)&gt;0,ROUND(AE15+AD16-ROUND(AC$6+IF(AC$5=$C16,$E$5+$E16,0),2),2)&lt;=AF16,ROUND(AE15+AD16-ROUND(AC$6+IF(AC$5=$C16,$E$5+$E16,0),2),2)*10&lt;=ROUND(AC$6+IF(AC$5=$C16,$E$5+$E16,0),2)),ROUND(AE15+AD16,2),MIN(ROUND(AC$6+IF(AC$5=$C16,$E$5+$E16,0),2),ROUND(AE15+AD16,2))),0)</f>
        <v>0</v>
      </c>
      <c r="AD16" s="24">
        <f>IF(AE15&gt;0,ROUND(ROUND(AE15*100,0)*ROUND(AC$7*10000,0)/12000000,0)/100,0)</f>
        <v>0</v>
      </c>
      <c r="AE16" s="24">
        <f>IF(AE15&gt;0,ROUND(AE15+AD16-AC16,2),0)</f>
        <v>0</v>
      </c>
      <c r="AF16" s="24">
        <f>IF(AE15&gt;0,ROUND(AF15+ROUND(ROUND(AF15*100,0)*ROUND(AC$7*10000,0)/12000000,0)/100+0.02,2),0)</f>
        <v>0</v>
      </c>
      <c r="AG16" s="24">
        <f>IF(AI15&gt;0,IF(AND(ROUND(AI15+AH16-ROUND(AG$6+IF(AG$5=$C16,$E$5+$E16,0),2),2)&gt;0,ROUND(AI15+AH16-ROUND(AG$6+IF(AG$5=$C16,$E$5+$E16,0),2),2)&lt;=AJ16,ROUND(AI15+AH16-ROUND(AG$6+IF(AG$5=$C16,$E$5+$E16,0),2),2)*10&lt;=ROUND(AG$6+IF(AG$5=$C16,$E$5+$E16,0),2)),ROUND(AI15+AH16,2),MIN(ROUND(AG$6+IF(AG$5=$C16,$E$5+$E16,0),2),ROUND(AI15+AH16,2))),0)</f>
        <v>0</v>
      </c>
      <c r="AH16" s="24">
        <f>IF(AI15&gt;0,ROUND(ROUND(AI15*100,0)*ROUND(AG$7*10000,0)/12000000,0)/100,0)</f>
        <v>0</v>
      </c>
      <c r="AI16" s="24">
        <f>IF(AI15&gt;0,ROUND(AI15+AH16-AG16,2),0)</f>
        <v>0</v>
      </c>
      <c r="AJ16" s="24">
        <f>IF(AI15&gt;0,ROUND(AJ15+ROUND(ROUND(AJ15*100,0)*ROUND(AG$7*10000,0)/12000000,0)/100+0.02,2),0)</f>
        <v>0</v>
      </c>
      <c r="AK16" s="24">
        <f>IF(AM15&gt;0,IF(AND(ROUND(AM15+AL16-ROUND(AK$6+IF(AK$5=$C16,$E$5+$E16,0),2),2)&gt;0,ROUND(AM15+AL16-ROUND(AK$6+IF(AK$5=$C16,$E$5+$E16,0),2),2)&lt;=AN16,ROUND(AM15+AL16-ROUND(AK$6+IF(AK$5=$C16,$E$5+$E16,0),2),2)*10&lt;=ROUND(AK$6+IF(AK$5=$C16,$E$5+$E16,0),2)),ROUND(AM15+AL16,2),MIN(ROUND(AK$6+IF(AK$5=$C16,$E$5+$E16,0),2),ROUND(AM15+AL16,2))),0)</f>
        <v>0</v>
      </c>
      <c r="AL16" s="24">
        <f>IF(AM15&gt;0,ROUND(ROUND(AM15*100,0)*ROUND(AK$7*10000,0)/12000000,0)/100,0)</f>
        <v>0</v>
      </c>
      <c r="AM16" s="24">
        <f>IF(AM15&gt;0,ROUND(AM15+AL16-AK16,2),0)</f>
        <v>0</v>
      </c>
      <c r="AN16" s="24">
        <f>IF(AM15&gt;0,ROUND(AN15+ROUND(ROUND(AN15*100,0)*ROUND(AK$7*10000,0)/12000000,0)/100+0.02,2),0)</f>
        <v>0</v>
      </c>
      <c r="AO16" s="24">
        <f>IF(AQ15&gt;0,IF(AND(ROUND(AQ15+AP16-ROUND(AO$6+IF(AO$5=$C16,$E$5+$E16,0),2),2)&gt;0,ROUND(AQ15+AP16-ROUND(AO$6+IF(AO$5=$C16,$E$5+$E16,0),2),2)&lt;=AR16,ROUND(AQ15+AP16-ROUND(AO$6+IF(AO$5=$C16,$E$5+$E16,0),2),2)*10&lt;=ROUND(AO$6+IF(AO$5=$C16,$E$5+$E16,0),2)),ROUND(AQ15+AP16,2),MIN(ROUND(AO$6+IF(AO$5=$C16,$E$5+$E16,0),2),ROUND(AQ15+AP16,2))),0)</f>
        <v>0</v>
      </c>
      <c r="AP16" s="24">
        <f>IF(AQ15&gt;0,ROUND(ROUND(AQ15*100,0)*ROUND(AO$7*10000,0)/12000000,0)/100,0)</f>
        <v>0</v>
      </c>
      <c r="AQ16" s="24">
        <f>IF(AQ15&gt;0,ROUND(AQ15+AP16-AO16,2),0)</f>
        <v>0</v>
      </c>
      <c r="AR16" s="24">
        <f>IF(AQ15&gt;0,ROUND(AR15+ROUND(ROUND(AR15*100,0)*ROUND(AO$7*10000,0)/12000000,0)/100+0.02,2),0)</f>
        <v>0</v>
      </c>
      <c r="AS16" s="24">
        <f>IF(AU15&gt;0,IF(AND(ROUND(AU15+AT16-ROUND(AS$6+IF(AS$5=$C16,$E$5+$E16,0),2),2)&gt;0,ROUND(AU15+AT16-ROUND(AS$6+IF(AS$5=$C16,$E$5+$E16,0),2),2)&lt;=AV16,ROUND(AU15+AT16-ROUND(AS$6+IF(AS$5=$C16,$E$5+$E16,0),2),2)*10&lt;=ROUND(AS$6+IF(AS$5=$C16,$E$5+$E16,0),2)),ROUND(AU15+AT16,2),MIN(ROUND(AS$6+IF(AS$5=$C16,$E$5+$E16,0),2),ROUND(AU15+AT16,2))),0)</f>
        <v>0</v>
      </c>
      <c r="AT16" s="24">
        <f>IF(AU15&gt;0,ROUND(ROUND(AU15*100,0)*ROUND(AS$7*10000,0)/12000000,0)/100,0)</f>
        <v>0</v>
      </c>
      <c r="AU16" s="24">
        <f>IF(AU15&gt;0,ROUND(AU15+AT16-AS16,2),0)</f>
        <v>0</v>
      </c>
      <c r="AV16" s="24">
        <f>IF(AU15&gt;0,ROUND(AV15+ROUND(ROUND(AV15*100,0)*ROUND(AS$7*10000,0)/12000000,0)/100+0.02,2),0)</f>
        <v>0</v>
      </c>
    </row>
    <row r="17" spans="1:48" x14ac:dyDescent="0.25">
      <c r="A17" s="17">
        <f>IF(F17&gt;0,7,"")</f>
        <v>7</v>
      </c>
      <c r="B17" s="18">
        <f>IF(F17&gt;0,EDATE($E$6,7),"")</f>
        <v>46544</v>
      </c>
      <c r="C17" s="21">
        <f>IF(H16&gt;0,MIN(IF(K16&gt;0,I$5,99),IF(O16&gt;0,M$5,99),IF(S16&gt;0,Q$5,99),IF(W16&gt;0,U$5,99),IF(AA16&gt;0,Y$5,99),IF(AE16&gt;0,AC$5,99),IF(AI16&gt;0,AG$5,99),IF(AM16&gt;0,AK$5,99),IF(AQ16&gt;0,AO$5,99),IF(AU16&gt;0,AS$5,99)),0)</f>
        <v>2</v>
      </c>
      <c r="D17" t="str">
        <f>IF(C17&gt;0,INDEX($I$4:$AV$4,1,MATCH(C17,$I$5:$AV$5,0)),"")</f>
        <v>Tarjeta de crédito</v>
      </c>
      <c r="E17" s="24">
        <f>ROUND(IF(AND(I$8&gt;0,K16=0),I$6,0)+IF(AND(M$8&gt;0,O16=0),M$6,0)+IF(AND(Q$8&gt;0,S16=0),Q$6,0)+IF(AND(U$8&gt;0,W16=0),U$6,0)+IF(AND(Y$8&gt;0,AA16=0),Y$6,0)+IF(AND(AC$8&gt;0,AE16=0),AC$6,0)+IF(AND(AG$8&gt;0,AI16=0),AG$6,0)+IF(AND(AK$8&gt;0,AM16=0),AK$6,0)+IF(AND(AO$8&gt;0,AQ16=0),AO$6,0)+IF(AND(AS$8&gt;0,AU16=0),AS$6,0),2)</f>
        <v>50</v>
      </c>
      <c r="F17" s="24">
        <f>ROUND(I17+M17+Q17+U17+Y17+AC17+AG17+AK17+AO17+AS17,2)</f>
        <v>475</v>
      </c>
      <c r="G17" s="24">
        <f>ROUND(J17+N17+R17+V17+Z17+AD17+AH17+AL17+AP17+AT17,2)</f>
        <v>65.15</v>
      </c>
      <c r="H17" s="24">
        <f>ROUND(K17+O17+S17+W17+AA17+AE17+AI17+AM17+AQ17+AU17,2)</f>
        <v>9305.82</v>
      </c>
      <c r="I17" s="24">
        <f>IF(K16&gt;0,IF(AND(ROUND(K16+J17-ROUND(I$6+IF(I$5=$C17,$E$5+$E17,0),2),2)&gt;0,ROUND(K16+J17-ROUND(I$6+IF(I$5=$C17,$E$5+$E17,0),2),2)&lt;=L17,ROUND(K16+J17-ROUND(I$6+IF(I$5=$C17,$E$5+$E17,0),2),2)*10&lt;=ROUND(I$6+IF(I$5=$C17,$E$5+$E17,0),2)),ROUND(K16+J17,2),MIN(ROUND(I$6+IF(I$5=$C17,$E$5+$E17,0),2),ROUND(K16+J17,2))),0)</f>
        <v>275</v>
      </c>
      <c r="J17" s="24">
        <f>IF(K16&gt;0,ROUND(ROUND(K16*100,0)*ROUND(I$7*10000,0)/12000000,0)/100,0)</f>
        <v>24.86</v>
      </c>
      <c r="K17" s="24">
        <f>IF(K16&gt;0,ROUND(K16+J17-I17,2),0)</f>
        <v>1407.22</v>
      </c>
      <c r="L17" s="24">
        <f>IF(K16&gt;0,ROUND(L16+ROUND(ROUND(L16*100,0)*ROUND(I$7*10000,0)/12000000,0)/100+0.02,2),0)</f>
        <v>0.14</v>
      </c>
      <c r="M17" s="24">
        <f>IF(O16&gt;0,IF(AND(ROUND(O16+N17-ROUND(M$6+IF(M$5=$C17,$E$5+$E17,0),2),2)&gt;0,ROUND(O16+N17-ROUND(M$6+IF(M$5=$C17,$E$5+$E17,0),2),2)&lt;=P17,ROUND(O16+N17-ROUND(M$6+IF(M$5=$C17,$E$5+$E17,0),2),2)*10&lt;=ROUND(M$6+IF(M$5=$C17,$E$5+$E17,0),2)),ROUND(O16+N17,2),MIN(ROUND(M$6+IF(M$5=$C17,$E$5+$E17,0),2),ROUND(O16+N17,2))),0)</f>
        <v>200</v>
      </c>
      <c r="N17" s="24">
        <f>IF(O16&gt;0,ROUND(ROUND(O16*100,0)*ROUND(M$7*10000,0)/12000000,0)/100,0)</f>
        <v>40.29</v>
      </c>
      <c r="O17" s="24">
        <f>IF(O16&gt;0,ROUND(O16+N17-M17,2),0)</f>
        <v>7898.6</v>
      </c>
      <c r="P17" s="24">
        <f>IF(O16&gt;0,ROUND(P16+ROUND(ROUND(P16*100,0)*ROUND(M$7*10000,0)/12000000,0)/100+0.02,2),0)</f>
        <v>0.14</v>
      </c>
      <c r="Q17" s="24">
        <f>IF(S16&gt;0,IF(AND(ROUND(S16+R17-ROUND(Q$6+IF(Q$5=$C17,$E$5+$E17,0),2),2)&gt;0,ROUND(S16+R17-ROUND(Q$6+IF(Q$5=$C17,$E$5+$E17,0),2),2)&lt;=T17,ROUND(S16+R17-ROUND(Q$6+IF(Q$5=$C17,$E$5+$E17,0),2),2)*10&lt;=ROUND(Q$6+IF(Q$5=$C17,$E$5+$E17,0),2)),ROUND(S16+R17,2),MIN(ROUND(Q$6+IF(Q$5=$C17,$E$5+$E17,0),2),ROUND(S16+R17,2))),0)</f>
        <v>0</v>
      </c>
      <c r="R17" s="24">
        <f>IF(S16&gt;0,ROUND(ROUND(S16*100,0)*ROUND(Q$7*10000,0)/12000000,0)/100,0)</f>
        <v>0</v>
      </c>
      <c r="S17" s="24">
        <f>IF(S16&gt;0,ROUND(S16+R17-Q17,2),0)</f>
        <v>0</v>
      </c>
      <c r="T17" s="24">
        <f>IF(S16&gt;0,ROUND(T16+ROUND(ROUND(T16*100,0)*ROUND(Q$7*10000,0)/12000000,0)/100+0.02,2),0)</f>
        <v>0</v>
      </c>
      <c r="U17" s="24">
        <f>IF(W16&gt;0,IF(AND(ROUND(W16+V17-ROUND(U$6+IF(U$5=$C17,$E$5+$E17,0),2),2)&gt;0,ROUND(W16+V17-ROUND(U$6+IF(U$5=$C17,$E$5+$E17,0),2),2)&lt;=X17,ROUND(W16+V17-ROUND(U$6+IF(U$5=$C17,$E$5+$E17,0),2),2)*10&lt;=ROUND(U$6+IF(U$5=$C17,$E$5+$E17,0),2)),ROUND(W16+V17,2),MIN(ROUND(U$6+IF(U$5=$C17,$E$5+$E17,0),2),ROUND(W16+V17,2))),0)</f>
        <v>0</v>
      </c>
      <c r="V17" s="24">
        <f>IF(W16&gt;0,ROUND(ROUND(W16*100,0)*ROUND(U$7*10000,0)/12000000,0)/100,0)</f>
        <v>0</v>
      </c>
      <c r="W17" s="24">
        <f>IF(W16&gt;0,ROUND(W16+V17-U17,2),0)</f>
        <v>0</v>
      </c>
      <c r="X17" s="24">
        <f>IF(W16&gt;0,ROUND(X16+ROUND(ROUND(X16*100,0)*ROUND(U$7*10000,0)/12000000,0)/100+0.02,2),0)</f>
        <v>0</v>
      </c>
      <c r="Y17" s="24">
        <f>IF(AA16&gt;0,IF(AND(ROUND(AA16+Z17-ROUND(Y$6+IF(Y$5=$C17,$E$5+$E17,0),2),2)&gt;0,ROUND(AA16+Z17-ROUND(Y$6+IF(Y$5=$C17,$E$5+$E17,0),2),2)&lt;=AB17,ROUND(AA16+Z17-ROUND(Y$6+IF(Y$5=$C17,$E$5+$E17,0),2),2)*10&lt;=ROUND(Y$6+IF(Y$5=$C17,$E$5+$E17,0),2)),ROUND(AA16+Z17,2),MIN(ROUND(Y$6+IF(Y$5=$C17,$E$5+$E17,0),2),ROUND(AA16+Z17,2))),0)</f>
        <v>0</v>
      </c>
      <c r="Z17" s="24">
        <f>IF(AA16&gt;0,ROUND(ROUND(AA16*100,0)*ROUND(Y$7*10000,0)/12000000,0)/100,0)</f>
        <v>0</v>
      </c>
      <c r="AA17" s="24">
        <f>IF(AA16&gt;0,ROUND(AA16+Z17-Y17,2),0)</f>
        <v>0</v>
      </c>
      <c r="AB17" s="24">
        <f>IF(AA16&gt;0,ROUND(AB16+ROUND(ROUND(AB16*100,0)*ROUND(Y$7*10000,0)/12000000,0)/100+0.02,2),0)</f>
        <v>0</v>
      </c>
      <c r="AC17" s="24">
        <f>IF(AE16&gt;0,IF(AND(ROUND(AE16+AD17-ROUND(AC$6+IF(AC$5=$C17,$E$5+$E17,0),2),2)&gt;0,ROUND(AE16+AD17-ROUND(AC$6+IF(AC$5=$C17,$E$5+$E17,0),2),2)&lt;=AF17,ROUND(AE16+AD17-ROUND(AC$6+IF(AC$5=$C17,$E$5+$E17,0),2),2)*10&lt;=ROUND(AC$6+IF(AC$5=$C17,$E$5+$E17,0),2)),ROUND(AE16+AD17,2),MIN(ROUND(AC$6+IF(AC$5=$C17,$E$5+$E17,0),2),ROUND(AE16+AD17,2))),0)</f>
        <v>0</v>
      </c>
      <c r="AD17" s="24">
        <f>IF(AE16&gt;0,ROUND(ROUND(AE16*100,0)*ROUND(AC$7*10000,0)/12000000,0)/100,0)</f>
        <v>0</v>
      </c>
      <c r="AE17" s="24">
        <f>IF(AE16&gt;0,ROUND(AE16+AD17-AC17,2),0)</f>
        <v>0</v>
      </c>
      <c r="AF17" s="24">
        <f>IF(AE16&gt;0,ROUND(AF16+ROUND(ROUND(AF16*100,0)*ROUND(AC$7*10000,0)/12000000,0)/100+0.02,2),0)</f>
        <v>0</v>
      </c>
      <c r="AG17" s="24">
        <f>IF(AI16&gt;0,IF(AND(ROUND(AI16+AH17-ROUND(AG$6+IF(AG$5=$C17,$E$5+$E17,0),2),2)&gt;0,ROUND(AI16+AH17-ROUND(AG$6+IF(AG$5=$C17,$E$5+$E17,0),2),2)&lt;=AJ17,ROUND(AI16+AH17-ROUND(AG$6+IF(AG$5=$C17,$E$5+$E17,0),2),2)*10&lt;=ROUND(AG$6+IF(AG$5=$C17,$E$5+$E17,0),2)),ROUND(AI16+AH17,2),MIN(ROUND(AG$6+IF(AG$5=$C17,$E$5+$E17,0),2),ROUND(AI16+AH17,2))),0)</f>
        <v>0</v>
      </c>
      <c r="AH17" s="24">
        <f>IF(AI16&gt;0,ROUND(ROUND(AI16*100,0)*ROUND(AG$7*10000,0)/12000000,0)/100,0)</f>
        <v>0</v>
      </c>
      <c r="AI17" s="24">
        <f>IF(AI16&gt;0,ROUND(AI16+AH17-AG17,2),0)</f>
        <v>0</v>
      </c>
      <c r="AJ17" s="24">
        <f>IF(AI16&gt;0,ROUND(AJ16+ROUND(ROUND(AJ16*100,0)*ROUND(AG$7*10000,0)/12000000,0)/100+0.02,2),0)</f>
        <v>0</v>
      </c>
      <c r="AK17" s="24">
        <f>IF(AM16&gt;0,IF(AND(ROUND(AM16+AL17-ROUND(AK$6+IF(AK$5=$C17,$E$5+$E17,0),2),2)&gt;0,ROUND(AM16+AL17-ROUND(AK$6+IF(AK$5=$C17,$E$5+$E17,0),2),2)&lt;=AN17,ROUND(AM16+AL17-ROUND(AK$6+IF(AK$5=$C17,$E$5+$E17,0),2),2)*10&lt;=ROUND(AK$6+IF(AK$5=$C17,$E$5+$E17,0),2)),ROUND(AM16+AL17,2),MIN(ROUND(AK$6+IF(AK$5=$C17,$E$5+$E17,0),2),ROUND(AM16+AL17,2))),0)</f>
        <v>0</v>
      </c>
      <c r="AL17" s="24">
        <f>IF(AM16&gt;0,ROUND(ROUND(AM16*100,0)*ROUND(AK$7*10000,0)/12000000,0)/100,0)</f>
        <v>0</v>
      </c>
      <c r="AM17" s="24">
        <f>IF(AM16&gt;0,ROUND(AM16+AL17-AK17,2),0)</f>
        <v>0</v>
      </c>
      <c r="AN17" s="24">
        <f>IF(AM16&gt;0,ROUND(AN16+ROUND(ROUND(AN16*100,0)*ROUND(AK$7*10000,0)/12000000,0)/100+0.02,2),0)</f>
        <v>0</v>
      </c>
      <c r="AO17" s="24">
        <f>IF(AQ16&gt;0,IF(AND(ROUND(AQ16+AP17-ROUND(AO$6+IF(AO$5=$C17,$E$5+$E17,0),2),2)&gt;0,ROUND(AQ16+AP17-ROUND(AO$6+IF(AO$5=$C17,$E$5+$E17,0),2),2)&lt;=AR17,ROUND(AQ16+AP17-ROUND(AO$6+IF(AO$5=$C17,$E$5+$E17,0),2),2)*10&lt;=ROUND(AO$6+IF(AO$5=$C17,$E$5+$E17,0),2)),ROUND(AQ16+AP17,2),MIN(ROUND(AO$6+IF(AO$5=$C17,$E$5+$E17,0),2),ROUND(AQ16+AP17,2))),0)</f>
        <v>0</v>
      </c>
      <c r="AP17" s="24">
        <f>IF(AQ16&gt;0,ROUND(ROUND(AQ16*100,0)*ROUND(AO$7*10000,0)/12000000,0)/100,0)</f>
        <v>0</v>
      </c>
      <c r="AQ17" s="24">
        <f>IF(AQ16&gt;0,ROUND(AQ16+AP17-AO17,2),0)</f>
        <v>0</v>
      </c>
      <c r="AR17" s="24">
        <f>IF(AQ16&gt;0,ROUND(AR16+ROUND(ROUND(AR16*100,0)*ROUND(AO$7*10000,0)/12000000,0)/100+0.02,2),0)</f>
        <v>0</v>
      </c>
      <c r="AS17" s="24">
        <f>IF(AU16&gt;0,IF(AND(ROUND(AU16+AT17-ROUND(AS$6+IF(AS$5=$C17,$E$5+$E17,0),2),2)&gt;0,ROUND(AU16+AT17-ROUND(AS$6+IF(AS$5=$C17,$E$5+$E17,0),2),2)&lt;=AV17,ROUND(AU16+AT17-ROUND(AS$6+IF(AS$5=$C17,$E$5+$E17,0),2),2)*10&lt;=ROUND(AS$6+IF(AS$5=$C17,$E$5+$E17,0),2)),ROUND(AU16+AT17,2),MIN(ROUND(AS$6+IF(AS$5=$C17,$E$5+$E17,0),2),ROUND(AU16+AT17,2))),0)</f>
        <v>0</v>
      </c>
      <c r="AT17" s="24">
        <f>IF(AU16&gt;0,ROUND(ROUND(AU16*100,0)*ROUND(AS$7*10000,0)/12000000,0)/100,0)</f>
        <v>0</v>
      </c>
      <c r="AU17" s="24">
        <f>IF(AU16&gt;0,ROUND(AU16+AT17-AS17,2),0)</f>
        <v>0</v>
      </c>
      <c r="AV17" s="24">
        <f>IF(AU16&gt;0,ROUND(AV16+ROUND(ROUND(AV16*100,0)*ROUND(AS$7*10000,0)/12000000,0)/100+0.02,2),0)</f>
        <v>0</v>
      </c>
    </row>
    <row r="18" spans="1:48" x14ac:dyDescent="0.25">
      <c r="A18" s="17">
        <f>IF(F18&gt;0,8,"")</f>
        <v>8</v>
      </c>
      <c r="B18" s="18">
        <f>IF(F18&gt;0,EDATE($E$6,8),"")</f>
        <v>46574</v>
      </c>
      <c r="C18" s="21">
        <f>IF(H17&gt;0,MIN(IF(K17&gt;0,I$5,99),IF(O17&gt;0,M$5,99),IF(S17&gt;0,Q$5,99),IF(W17&gt;0,U$5,99),IF(AA17&gt;0,Y$5,99),IF(AE17&gt;0,AC$5,99),IF(AI17&gt;0,AG$5,99),IF(AM17&gt;0,AK$5,99),IF(AQ17&gt;0,AO$5,99),IF(AU17&gt;0,AS$5,99)),0)</f>
        <v>2</v>
      </c>
      <c r="D18" t="str">
        <f>IF(C18&gt;0,INDEX($I$4:$AV$4,1,MATCH(C18,$I$5:$AV$5,0)),"")</f>
        <v>Tarjeta de crédito</v>
      </c>
      <c r="E18" s="24">
        <f>ROUND(IF(AND(I$8&gt;0,K17=0),I$6,0)+IF(AND(M$8&gt;0,O17=0),M$6,0)+IF(AND(Q$8&gt;0,S17=0),Q$6,0)+IF(AND(U$8&gt;0,W17=0),U$6,0)+IF(AND(Y$8&gt;0,AA17=0),Y$6,0)+IF(AND(AC$8&gt;0,AE17=0),AC$6,0)+IF(AND(AG$8&gt;0,AI17=0),AG$6,0)+IF(AND(AK$8&gt;0,AM17=0),AK$6,0)+IF(AND(AO$8&gt;0,AQ17=0),AO$6,0)+IF(AND(AS$8&gt;0,AU17=0),AS$6,0),2)</f>
        <v>50</v>
      </c>
      <c r="F18" s="24">
        <f>ROUND(I18+M18+Q18+U18+Y18+AC18+AG18+AK18+AO18+AS18,2)</f>
        <v>475</v>
      </c>
      <c r="G18" s="24">
        <f>ROUND(J18+N18+R18+V18+Z18+AD18+AH18+AL18+AP18+AT18,2)</f>
        <v>60.6</v>
      </c>
      <c r="H18" s="24">
        <f>ROUND(K18+O18+S18+W18+AA18+AE18+AI18+AM18+AQ18+AU18,2)</f>
        <v>8891.42</v>
      </c>
      <c r="I18" s="24">
        <f>IF(K17&gt;0,IF(AND(ROUND(K17+J18-ROUND(I$6+IF(I$5=$C18,$E$5+$E18,0),2),2)&gt;0,ROUND(K17+J18-ROUND(I$6+IF(I$5=$C18,$E$5+$E18,0),2),2)&lt;=L18,ROUND(K17+J18-ROUND(I$6+IF(I$5=$C18,$E$5+$E18,0),2),2)*10&lt;=ROUND(I$6+IF(I$5=$C18,$E$5+$E18,0),2)),ROUND(K17+J18,2),MIN(ROUND(I$6+IF(I$5=$C18,$E$5+$E18,0),2),ROUND(K17+J18,2))),0)</f>
        <v>275</v>
      </c>
      <c r="J18" s="24">
        <f>IF(K17&gt;0,ROUND(ROUND(K17*100,0)*ROUND(I$7*10000,0)/12000000,0)/100,0)</f>
        <v>21.11</v>
      </c>
      <c r="K18" s="24">
        <f>IF(K17&gt;0,ROUND(K17+J18-I18,2),0)</f>
        <v>1153.33</v>
      </c>
      <c r="L18" s="24">
        <f>IF(K17&gt;0,ROUND(L17+ROUND(ROUND(L17*100,0)*ROUND(I$7*10000,0)/12000000,0)/100+0.02,2),0)</f>
        <v>0.16</v>
      </c>
      <c r="M18" s="24">
        <f>IF(O17&gt;0,IF(AND(ROUND(O17+N18-ROUND(M$6+IF(M$5=$C18,$E$5+$E18,0),2),2)&gt;0,ROUND(O17+N18-ROUND(M$6+IF(M$5=$C18,$E$5+$E18,0),2),2)&lt;=P18,ROUND(O17+N18-ROUND(M$6+IF(M$5=$C18,$E$5+$E18,0),2),2)*10&lt;=ROUND(M$6+IF(M$5=$C18,$E$5+$E18,0),2)),ROUND(O17+N18,2),MIN(ROUND(M$6+IF(M$5=$C18,$E$5+$E18,0),2),ROUND(O17+N18,2))),0)</f>
        <v>200</v>
      </c>
      <c r="N18" s="24">
        <f>IF(O17&gt;0,ROUND(ROUND(O17*100,0)*ROUND(M$7*10000,0)/12000000,0)/100,0)</f>
        <v>39.49</v>
      </c>
      <c r="O18" s="24">
        <f>IF(O17&gt;0,ROUND(O17+N18-M18,2),0)</f>
        <v>7738.09</v>
      </c>
      <c r="P18" s="24">
        <f>IF(O17&gt;0,ROUND(P17+ROUND(ROUND(P17*100,0)*ROUND(M$7*10000,0)/12000000,0)/100+0.02,2),0)</f>
        <v>0.16</v>
      </c>
      <c r="Q18" s="24">
        <f>IF(S17&gt;0,IF(AND(ROUND(S17+R18-ROUND(Q$6+IF(Q$5=$C18,$E$5+$E18,0),2),2)&gt;0,ROUND(S17+R18-ROUND(Q$6+IF(Q$5=$C18,$E$5+$E18,0),2),2)&lt;=T18,ROUND(S17+R18-ROUND(Q$6+IF(Q$5=$C18,$E$5+$E18,0),2),2)*10&lt;=ROUND(Q$6+IF(Q$5=$C18,$E$5+$E18,0),2)),ROUND(S17+R18,2),MIN(ROUND(Q$6+IF(Q$5=$C18,$E$5+$E18,0),2),ROUND(S17+R18,2))),0)</f>
        <v>0</v>
      </c>
      <c r="R18" s="24">
        <f>IF(S17&gt;0,ROUND(ROUND(S17*100,0)*ROUND(Q$7*10000,0)/12000000,0)/100,0)</f>
        <v>0</v>
      </c>
      <c r="S18" s="24">
        <f>IF(S17&gt;0,ROUND(S17+R18-Q18,2),0)</f>
        <v>0</v>
      </c>
      <c r="T18" s="24">
        <f>IF(S17&gt;0,ROUND(T17+ROUND(ROUND(T17*100,0)*ROUND(Q$7*10000,0)/12000000,0)/100+0.02,2),0)</f>
        <v>0</v>
      </c>
      <c r="U18" s="24">
        <f>IF(W17&gt;0,IF(AND(ROUND(W17+V18-ROUND(U$6+IF(U$5=$C18,$E$5+$E18,0),2),2)&gt;0,ROUND(W17+V18-ROUND(U$6+IF(U$5=$C18,$E$5+$E18,0),2),2)&lt;=X18,ROUND(W17+V18-ROUND(U$6+IF(U$5=$C18,$E$5+$E18,0),2),2)*10&lt;=ROUND(U$6+IF(U$5=$C18,$E$5+$E18,0),2)),ROUND(W17+V18,2),MIN(ROUND(U$6+IF(U$5=$C18,$E$5+$E18,0),2),ROUND(W17+V18,2))),0)</f>
        <v>0</v>
      </c>
      <c r="V18" s="24">
        <f>IF(W17&gt;0,ROUND(ROUND(W17*100,0)*ROUND(U$7*10000,0)/12000000,0)/100,0)</f>
        <v>0</v>
      </c>
      <c r="W18" s="24">
        <f>IF(W17&gt;0,ROUND(W17+V18-U18,2),0)</f>
        <v>0</v>
      </c>
      <c r="X18" s="24">
        <f>IF(W17&gt;0,ROUND(X17+ROUND(ROUND(X17*100,0)*ROUND(U$7*10000,0)/12000000,0)/100+0.02,2),0)</f>
        <v>0</v>
      </c>
      <c r="Y18" s="24">
        <f>IF(AA17&gt;0,IF(AND(ROUND(AA17+Z18-ROUND(Y$6+IF(Y$5=$C18,$E$5+$E18,0),2),2)&gt;0,ROUND(AA17+Z18-ROUND(Y$6+IF(Y$5=$C18,$E$5+$E18,0),2),2)&lt;=AB18,ROUND(AA17+Z18-ROUND(Y$6+IF(Y$5=$C18,$E$5+$E18,0),2),2)*10&lt;=ROUND(Y$6+IF(Y$5=$C18,$E$5+$E18,0),2)),ROUND(AA17+Z18,2),MIN(ROUND(Y$6+IF(Y$5=$C18,$E$5+$E18,0),2),ROUND(AA17+Z18,2))),0)</f>
        <v>0</v>
      </c>
      <c r="Z18" s="24">
        <f>IF(AA17&gt;0,ROUND(ROUND(AA17*100,0)*ROUND(Y$7*10000,0)/12000000,0)/100,0)</f>
        <v>0</v>
      </c>
      <c r="AA18" s="24">
        <f>IF(AA17&gt;0,ROUND(AA17+Z18-Y18,2),0)</f>
        <v>0</v>
      </c>
      <c r="AB18" s="24">
        <f>IF(AA17&gt;0,ROUND(AB17+ROUND(ROUND(AB17*100,0)*ROUND(Y$7*10000,0)/12000000,0)/100+0.02,2),0)</f>
        <v>0</v>
      </c>
      <c r="AC18" s="24">
        <f>IF(AE17&gt;0,IF(AND(ROUND(AE17+AD18-ROUND(AC$6+IF(AC$5=$C18,$E$5+$E18,0),2),2)&gt;0,ROUND(AE17+AD18-ROUND(AC$6+IF(AC$5=$C18,$E$5+$E18,0),2),2)&lt;=AF18,ROUND(AE17+AD18-ROUND(AC$6+IF(AC$5=$C18,$E$5+$E18,0),2),2)*10&lt;=ROUND(AC$6+IF(AC$5=$C18,$E$5+$E18,0),2)),ROUND(AE17+AD18,2),MIN(ROUND(AC$6+IF(AC$5=$C18,$E$5+$E18,0),2),ROUND(AE17+AD18,2))),0)</f>
        <v>0</v>
      </c>
      <c r="AD18" s="24">
        <f>IF(AE17&gt;0,ROUND(ROUND(AE17*100,0)*ROUND(AC$7*10000,0)/12000000,0)/100,0)</f>
        <v>0</v>
      </c>
      <c r="AE18" s="24">
        <f>IF(AE17&gt;0,ROUND(AE17+AD18-AC18,2),0)</f>
        <v>0</v>
      </c>
      <c r="AF18" s="24">
        <f>IF(AE17&gt;0,ROUND(AF17+ROUND(ROUND(AF17*100,0)*ROUND(AC$7*10000,0)/12000000,0)/100+0.02,2),0)</f>
        <v>0</v>
      </c>
      <c r="AG18" s="24">
        <f>IF(AI17&gt;0,IF(AND(ROUND(AI17+AH18-ROUND(AG$6+IF(AG$5=$C18,$E$5+$E18,0),2),2)&gt;0,ROUND(AI17+AH18-ROUND(AG$6+IF(AG$5=$C18,$E$5+$E18,0),2),2)&lt;=AJ18,ROUND(AI17+AH18-ROUND(AG$6+IF(AG$5=$C18,$E$5+$E18,0),2),2)*10&lt;=ROUND(AG$6+IF(AG$5=$C18,$E$5+$E18,0),2)),ROUND(AI17+AH18,2),MIN(ROUND(AG$6+IF(AG$5=$C18,$E$5+$E18,0),2),ROUND(AI17+AH18,2))),0)</f>
        <v>0</v>
      </c>
      <c r="AH18" s="24">
        <f>IF(AI17&gt;0,ROUND(ROUND(AI17*100,0)*ROUND(AG$7*10000,0)/12000000,0)/100,0)</f>
        <v>0</v>
      </c>
      <c r="AI18" s="24">
        <f>IF(AI17&gt;0,ROUND(AI17+AH18-AG18,2),0)</f>
        <v>0</v>
      </c>
      <c r="AJ18" s="24">
        <f>IF(AI17&gt;0,ROUND(AJ17+ROUND(ROUND(AJ17*100,0)*ROUND(AG$7*10000,0)/12000000,0)/100+0.02,2),0)</f>
        <v>0</v>
      </c>
      <c r="AK18" s="24">
        <f>IF(AM17&gt;0,IF(AND(ROUND(AM17+AL18-ROUND(AK$6+IF(AK$5=$C18,$E$5+$E18,0),2),2)&gt;0,ROUND(AM17+AL18-ROUND(AK$6+IF(AK$5=$C18,$E$5+$E18,0),2),2)&lt;=AN18,ROUND(AM17+AL18-ROUND(AK$6+IF(AK$5=$C18,$E$5+$E18,0),2),2)*10&lt;=ROUND(AK$6+IF(AK$5=$C18,$E$5+$E18,0),2)),ROUND(AM17+AL18,2),MIN(ROUND(AK$6+IF(AK$5=$C18,$E$5+$E18,0),2),ROUND(AM17+AL18,2))),0)</f>
        <v>0</v>
      </c>
      <c r="AL18" s="24">
        <f>IF(AM17&gt;0,ROUND(ROUND(AM17*100,0)*ROUND(AK$7*10000,0)/12000000,0)/100,0)</f>
        <v>0</v>
      </c>
      <c r="AM18" s="24">
        <f>IF(AM17&gt;0,ROUND(AM17+AL18-AK18,2),0)</f>
        <v>0</v>
      </c>
      <c r="AN18" s="24">
        <f>IF(AM17&gt;0,ROUND(AN17+ROUND(ROUND(AN17*100,0)*ROUND(AK$7*10000,0)/12000000,0)/100+0.02,2),0)</f>
        <v>0</v>
      </c>
      <c r="AO18" s="24">
        <f>IF(AQ17&gt;0,IF(AND(ROUND(AQ17+AP18-ROUND(AO$6+IF(AO$5=$C18,$E$5+$E18,0),2),2)&gt;0,ROUND(AQ17+AP18-ROUND(AO$6+IF(AO$5=$C18,$E$5+$E18,0),2),2)&lt;=AR18,ROUND(AQ17+AP18-ROUND(AO$6+IF(AO$5=$C18,$E$5+$E18,0),2),2)*10&lt;=ROUND(AO$6+IF(AO$5=$C18,$E$5+$E18,0),2)),ROUND(AQ17+AP18,2),MIN(ROUND(AO$6+IF(AO$5=$C18,$E$5+$E18,0),2),ROUND(AQ17+AP18,2))),0)</f>
        <v>0</v>
      </c>
      <c r="AP18" s="24">
        <f>IF(AQ17&gt;0,ROUND(ROUND(AQ17*100,0)*ROUND(AO$7*10000,0)/12000000,0)/100,0)</f>
        <v>0</v>
      </c>
      <c r="AQ18" s="24">
        <f>IF(AQ17&gt;0,ROUND(AQ17+AP18-AO18,2),0)</f>
        <v>0</v>
      </c>
      <c r="AR18" s="24">
        <f>IF(AQ17&gt;0,ROUND(AR17+ROUND(ROUND(AR17*100,0)*ROUND(AO$7*10000,0)/12000000,0)/100+0.02,2),0)</f>
        <v>0</v>
      </c>
      <c r="AS18" s="24">
        <f>IF(AU17&gt;0,IF(AND(ROUND(AU17+AT18-ROUND(AS$6+IF(AS$5=$C18,$E$5+$E18,0),2),2)&gt;0,ROUND(AU17+AT18-ROUND(AS$6+IF(AS$5=$C18,$E$5+$E18,0),2),2)&lt;=AV18,ROUND(AU17+AT18-ROUND(AS$6+IF(AS$5=$C18,$E$5+$E18,0),2),2)*10&lt;=ROUND(AS$6+IF(AS$5=$C18,$E$5+$E18,0),2)),ROUND(AU17+AT18,2),MIN(ROUND(AS$6+IF(AS$5=$C18,$E$5+$E18,0),2),ROUND(AU17+AT18,2))),0)</f>
        <v>0</v>
      </c>
      <c r="AT18" s="24">
        <f>IF(AU17&gt;0,ROUND(ROUND(AU17*100,0)*ROUND(AS$7*10000,0)/12000000,0)/100,0)</f>
        <v>0</v>
      </c>
      <c r="AU18" s="24">
        <f>IF(AU17&gt;0,ROUND(AU17+AT18-AS18,2),0)</f>
        <v>0</v>
      </c>
      <c r="AV18" s="24">
        <f>IF(AU17&gt;0,ROUND(AV17+ROUND(ROUND(AV17*100,0)*ROUND(AS$7*10000,0)/12000000,0)/100+0.02,2),0)</f>
        <v>0</v>
      </c>
    </row>
    <row r="19" spans="1:48" x14ac:dyDescent="0.25">
      <c r="A19" s="17">
        <f>IF(F19&gt;0,9,"")</f>
        <v>9</v>
      </c>
      <c r="B19" s="18">
        <f>IF(F19&gt;0,EDATE($E$6,9),"")</f>
        <v>46605</v>
      </c>
      <c r="C19" s="21">
        <f>IF(H18&gt;0,MIN(IF(K18&gt;0,I$5,99),IF(O18&gt;0,M$5,99),IF(S18&gt;0,Q$5,99),IF(W18&gt;0,U$5,99),IF(AA18&gt;0,Y$5,99),IF(AE18&gt;0,AC$5,99),IF(AI18&gt;0,AG$5,99),IF(AM18&gt;0,AK$5,99),IF(AQ18&gt;0,AO$5,99),IF(AU18&gt;0,AS$5,99)),0)</f>
        <v>2</v>
      </c>
      <c r="D19" t="str">
        <f>IF(C19&gt;0,INDEX($I$4:$AV$4,1,MATCH(C19,$I$5:$AV$5,0)),"")</f>
        <v>Tarjeta de crédito</v>
      </c>
      <c r="E19" s="24">
        <f>ROUND(IF(AND(I$8&gt;0,K18=0),I$6,0)+IF(AND(M$8&gt;0,O18=0),M$6,0)+IF(AND(Q$8&gt;0,S18=0),Q$6,0)+IF(AND(U$8&gt;0,W18=0),U$6,0)+IF(AND(Y$8&gt;0,AA18=0),Y$6,0)+IF(AND(AC$8&gt;0,AE18=0),AC$6,0)+IF(AND(AG$8&gt;0,AI18=0),AG$6,0)+IF(AND(AK$8&gt;0,AM18=0),AK$6,0)+IF(AND(AO$8&gt;0,AQ18=0),AO$6,0)+IF(AND(AS$8&gt;0,AU18=0),AS$6,0),2)</f>
        <v>50</v>
      </c>
      <c r="F19" s="24">
        <f>ROUND(I19+M19+Q19+U19+Y19+AC19+AG19+AK19+AO19+AS19,2)</f>
        <v>475</v>
      </c>
      <c r="G19" s="24">
        <f>ROUND(J19+N19+R19+V19+Z19+AD19+AH19+AL19+AP19+AT19,2)</f>
        <v>55.99</v>
      </c>
      <c r="H19" s="24">
        <f>ROUND(K19+O19+S19+W19+AA19+AE19+AI19+AM19+AQ19+AU19,2)</f>
        <v>8472.41</v>
      </c>
      <c r="I19" s="24">
        <f>IF(K18&gt;0,IF(AND(ROUND(K18+J19-ROUND(I$6+IF(I$5=$C19,$E$5+$E19,0),2),2)&gt;0,ROUND(K18+J19-ROUND(I$6+IF(I$5=$C19,$E$5+$E19,0),2),2)&lt;=L19,ROUND(K18+J19-ROUND(I$6+IF(I$5=$C19,$E$5+$E19,0),2),2)*10&lt;=ROUND(I$6+IF(I$5=$C19,$E$5+$E19,0),2)),ROUND(K18+J19,2),MIN(ROUND(I$6+IF(I$5=$C19,$E$5+$E19,0),2),ROUND(K18+J19,2))),0)</f>
        <v>275</v>
      </c>
      <c r="J19" s="24">
        <f>IF(K18&gt;0,ROUND(ROUND(K18*100,0)*ROUND(I$7*10000,0)/12000000,0)/100,0)</f>
        <v>17.3</v>
      </c>
      <c r="K19" s="24">
        <f>IF(K18&gt;0,ROUND(K18+J19-I19,2),0)</f>
        <v>895.63</v>
      </c>
      <c r="L19" s="24">
        <f>IF(K18&gt;0,ROUND(L18+ROUND(ROUND(L18*100,0)*ROUND(I$7*10000,0)/12000000,0)/100+0.02,2),0)</f>
        <v>0.18</v>
      </c>
      <c r="M19" s="24">
        <f>IF(O18&gt;0,IF(AND(ROUND(O18+N19-ROUND(M$6+IF(M$5=$C19,$E$5+$E19,0),2),2)&gt;0,ROUND(O18+N19-ROUND(M$6+IF(M$5=$C19,$E$5+$E19,0),2),2)&lt;=P19,ROUND(O18+N19-ROUND(M$6+IF(M$5=$C19,$E$5+$E19,0),2),2)*10&lt;=ROUND(M$6+IF(M$5=$C19,$E$5+$E19,0),2)),ROUND(O18+N19,2),MIN(ROUND(M$6+IF(M$5=$C19,$E$5+$E19,0),2),ROUND(O18+N19,2))),0)</f>
        <v>200</v>
      </c>
      <c r="N19" s="24">
        <f>IF(O18&gt;0,ROUND(ROUND(O18*100,0)*ROUND(M$7*10000,0)/12000000,0)/100,0)</f>
        <v>38.69</v>
      </c>
      <c r="O19" s="24">
        <f>IF(O18&gt;0,ROUND(O18+N19-M19,2),0)</f>
        <v>7576.78</v>
      </c>
      <c r="P19" s="24">
        <f>IF(O18&gt;0,ROUND(P18+ROUND(ROUND(P18*100,0)*ROUND(M$7*10000,0)/12000000,0)/100+0.02,2),0)</f>
        <v>0.18</v>
      </c>
      <c r="Q19" s="24">
        <f>IF(S18&gt;0,IF(AND(ROUND(S18+R19-ROUND(Q$6+IF(Q$5=$C19,$E$5+$E19,0),2),2)&gt;0,ROUND(S18+R19-ROUND(Q$6+IF(Q$5=$C19,$E$5+$E19,0),2),2)&lt;=T19,ROUND(S18+R19-ROUND(Q$6+IF(Q$5=$C19,$E$5+$E19,0),2),2)*10&lt;=ROUND(Q$6+IF(Q$5=$C19,$E$5+$E19,0),2)),ROUND(S18+R19,2),MIN(ROUND(Q$6+IF(Q$5=$C19,$E$5+$E19,0),2),ROUND(S18+R19,2))),0)</f>
        <v>0</v>
      </c>
      <c r="R19" s="24">
        <f>IF(S18&gt;0,ROUND(ROUND(S18*100,0)*ROUND(Q$7*10000,0)/12000000,0)/100,0)</f>
        <v>0</v>
      </c>
      <c r="S19" s="24">
        <f>IF(S18&gt;0,ROUND(S18+R19-Q19,2),0)</f>
        <v>0</v>
      </c>
      <c r="T19" s="24">
        <f>IF(S18&gt;0,ROUND(T18+ROUND(ROUND(T18*100,0)*ROUND(Q$7*10000,0)/12000000,0)/100+0.02,2),0)</f>
        <v>0</v>
      </c>
      <c r="U19" s="24">
        <f>IF(W18&gt;0,IF(AND(ROUND(W18+V19-ROUND(U$6+IF(U$5=$C19,$E$5+$E19,0),2),2)&gt;0,ROUND(W18+V19-ROUND(U$6+IF(U$5=$C19,$E$5+$E19,0),2),2)&lt;=X19,ROUND(W18+V19-ROUND(U$6+IF(U$5=$C19,$E$5+$E19,0),2),2)*10&lt;=ROUND(U$6+IF(U$5=$C19,$E$5+$E19,0),2)),ROUND(W18+V19,2),MIN(ROUND(U$6+IF(U$5=$C19,$E$5+$E19,0),2),ROUND(W18+V19,2))),0)</f>
        <v>0</v>
      </c>
      <c r="V19" s="24">
        <f>IF(W18&gt;0,ROUND(ROUND(W18*100,0)*ROUND(U$7*10000,0)/12000000,0)/100,0)</f>
        <v>0</v>
      </c>
      <c r="W19" s="24">
        <f>IF(W18&gt;0,ROUND(W18+V19-U19,2),0)</f>
        <v>0</v>
      </c>
      <c r="X19" s="24">
        <f>IF(W18&gt;0,ROUND(X18+ROUND(ROUND(X18*100,0)*ROUND(U$7*10000,0)/12000000,0)/100+0.02,2),0)</f>
        <v>0</v>
      </c>
      <c r="Y19" s="24">
        <f>IF(AA18&gt;0,IF(AND(ROUND(AA18+Z19-ROUND(Y$6+IF(Y$5=$C19,$E$5+$E19,0),2),2)&gt;0,ROUND(AA18+Z19-ROUND(Y$6+IF(Y$5=$C19,$E$5+$E19,0),2),2)&lt;=AB19,ROUND(AA18+Z19-ROUND(Y$6+IF(Y$5=$C19,$E$5+$E19,0),2),2)*10&lt;=ROUND(Y$6+IF(Y$5=$C19,$E$5+$E19,0),2)),ROUND(AA18+Z19,2),MIN(ROUND(Y$6+IF(Y$5=$C19,$E$5+$E19,0),2),ROUND(AA18+Z19,2))),0)</f>
        <v>0</v>
      </c>
      <c r="Z19" s="24">
        <f>IF(AA18&gt;0,ROUND(ROUND(AA18*100,0)*ROUND(Y$7*10000,0)/12000000,0)/100,0)</f>
        <v>0</v>
      </c>
      <c r="AA19" s="24">
        <f>IF(AA18&gt;0,ROUND(AA18+Z19-Y19,2),0)</f>
        <v>0</v>
      </c>
      <c r="AB19" s="24">
        <f>IF(AA18&gt;0,ROUND(AB18+ROUND(ROUND(AB18*100,0)*ROUND(Y$7*10000,0)/12000000,0)/100+0.02,2),0)</f>
        <v>0</v>
      </c>
      <c r="AC19" s="24">
        <f>IF(AE18&gt;0,IF(AND(ROUND(AE18+AD19-ROUND(AC$6+IF(AC$5=$C19,$E$5+$E19,0),2),2)&gt;0,ROUND(AE18+AD19-ROUND(AC$6+IF(AC$5=$C19,$E$5+$E19,0),2),2)&lt;=AF19,ROUND(AE18+AD19-ROUND(AC$6+IF(AC$5=$C19,$E$5+$E19,0),2),2)*10&lt;=ROUND(AC$6+IF(AC$5=$C19,$E$5+$E19,0),2)),ROUND(AE18+AD19,2),MIN(ROUND(AC$6+IF(AC$5=$C19,$E$5+$E19,0),2),ROUND(AE18+AD19,2))),0)</f>
        <v>0</v>
      </c>
      <c r="AD19" s="24">
        <f>IF(AE18&gt;0,ROUND(ROUND(AE18*100,0)*ROUND(AC$7*10000,0)/12000000,0)/100,0)</f>
        <v>0</v>
      </c>
      <c r="AE19" s="24">
        <f>IF(AE18&gt;0,ROUND(AE18+AD19-AC19,2),0)</f>
        <v>0</v>
      </c>
      <c r="AF19" s="24">
        <f>IF(AE18&gt;0,ROUND(AF18+ROUND(ROUND(AF18*100,0)*ROUND(AC$7*10000,0)/12000000,0)/100+0.02,2),0)</f>
        <v>0</v>
      </c>
      <c r="AG19" s="24">
        <f>IF(AI18&gt;0,IF(AND(ROUND(AI18+AH19-ROUND(AG$6+IF(AG$5=$C19,$E$5+$E19,0),2),2)&gt;0,ROUND(AI18+AH19-ROUND(AG$6+IF(AG$5=$C19,$E$5+$E19,0),2),2)&lt;=AJ19,ROUND(AI18+AH19-ROUND(AG$6+IF(AG$5=$C19,$E$5+$E19,0),2),2)*10&lt;=ROUND(AG$6+IF(AG$5=$C19,$E$5+$E19,0),2)),ROUND(AI18+AH19,2),MIN(ROUND(AG$6+IF(AG$5=$C19,$E$5+$E19,0),2),ROUND(AI18+AH19,2))),0)</f>
        <v>0</v>
      </c>
      <c r="AH19" s="24">
        <f>IF(AI18&gt;0,ROUND(ROUND(AI18*100,0)*ROUND(AG$7*10000,0)/12000000,0)/100,0)</f>
        <v>0</v>
      </c>
      <c r="AI19" s="24">
        <f>IF(AI18&gt;0,ROUND(AI18+AH19-AG19,2),0)</f>
        <v>0</v>
      </c>
      <c r="AJ19" s="24">
        <f>IF(AI18&gt;0,ROUND(AJ18+ROUND(ROUND(AJ18*100,0)*ROUND(AG$7*10000,0)/12000000,0)/100+0.02,2),0)</f>
        <v>0</v>
      </c>
      <c r="AK19" s="24">
        <f>IF(AM18&gt;0,IF(AND(ROUND(AM18+AL19-ROUND(AK$6+IF(AK$5=$C19,$E$5+$E19,0),2),2)&gt;0,ROUND(AM18+AL19-ROUND(AK$6+IF(AK$5=$C19,$E$5+$E19,0),2),2)&lt;=AN19,ROUND(AM18+AL19-ROUND(AK$6+IF(AK$5=$C19,$E$5+$E19,0),2),2)*10&lt;=ROUND(AK$6+IF(AK$5=$C19,$E$5+$E19,0),2)),ROUND(AM18+AL19,2),MIN(ROUND(AK$6+IF(AK$5=$C19,$E$5+$E19,0),2),ROUND(AM18+AL19,2))),0)</f>
        <v>0</v>
      </c>
      <c r="AL19" s="24">
        <f>IF(AM18&gt;0,ROUND(ROUND(AM18*100,0)*ROUND(AK$7*10000,0)/12000000,0)/100,0)</f>
        <v>0</v>
      </c>
      <c r="AM19" s="24">
        <f>IF(AM18&gt;0,ROUND(AM18+AL19-AK19,2),0)</f>
        <v>0</v>
      </c>
      <c r="AN19" s="24">
        <f>IF(AM18&gt;0,ROUND(AN18+ROUND(ROUND(AN18*100,0)*ROUND(AK$7*10000,0)/12000000,0)/100+0.02,2),0)</f>
        <v>0</v>
      </c>
      <c r="AO19" s="24">
        <f>IF(AQ18&gt;0,IF(AND(ROUND(AQ18+AP19-ROUND(AO$6+IF(AO$5=$C19,$E$5+$E19,0),2),2)&gt;0,ROUND(AQ18+AP19-ROUND(AO$6+IF(AO$5=$C19,$E$5+$E19,0),2),2)&lt;=AR19,ROUND(AQ18+AP19-ROUND(AO$6+IF(AO$5=$C19,$E$5+$E19,0),2),2)*10&lt;=ROUND(AO$6+IF(AO$5=$C19,$E$5+$E19,0),2)),ROUND(AQ18+AP19,2),MIN(ROUND(AO$6+IF(AO$5=$C19,$E$5+$E19,0),2),ROUND(AQ18+AP19,2))),0)</f>
        <v>0</v>
      </c>
      <c r="AP19" s="24">
        <f>IF(AQ18&gt;0,ROUND(ROUND(AQ18*100,0)*ROUND(AO$7*10000,0)/12000000,0)/100,0)</f>
        <v>0</v>
      </c>
      <c r="AQ19" s="24">
        <f>IF(AQ18&gt;0,ROUND(AQ18+AP19-AO19,2),0)</f>
        <v>0</v>
      </c>
      <c r="AR19" s="24">
        <f>IF(AQ18&gt;0,ROUND(AR18+ROUND(ROUND(AR18*100,0)*ROUND(AO$7*10000,0)/12000000,0)/100+0.02,2),0)</f>
        <v>0</v>
      </c>
      <c r="AS19" s="24">
        <f>IF(AU18&gt;0,IF(AND(ROUND(AU18+AT19-ROUND(AS$6+IF(AS$5=$C19,$E$5+$E19,0),2),2)&gt;0,ROUND(AU18+AT19-ROUND(AS$6+IF(AS$5=$C19,$E$5+$E19,0),2),2)&lt;=AV19,ROUND(AU18+AT19-ROUND(AS$6+IF(AS$5=$C19,$E$5+$E19,0),2),2)*10&lt;=ROUND(AS$6+IF(AS$5=$C19,$E$5+$E19,0),2)),ROUND(AU18+AT19,2),MIN(ROUND(AS$6+IF(AS$5=$C19,$E$5+$E19,0),2),ROUND(AU18+AT19,2))),0)</f>
        <v>0</v>
      </c>
      <c r="AT19" s="24">
        <f>IF(AU18&gt;0,ROUND(ROUND(AU18*100,0)*ROUND(AS$7*10000,0)/12000000,0)/100,0)</f>
        <v>0</v>
      </c>
      <c r="AU19" s="24">
        <f>IF(AU18&gt;0,ROUND(AU18+AT19-AS19,2),0)</f>
        <v>0</v>
      </c>
      <c r="AV19" s="24">
        <f>IF(AU18&gt;0,ROUND(AV18+ROUND(ROUND(AV18*100,0)*ROUND(AS$7*10000,0)/12000000,0)/100+0.02,2),0)</f>
        <v>0</v>
      </c>
    </row>
    <row r="20" spans="1:48" x14ac:dyDescent="0.25">
      <c r="A20" s="17">
        <f>IF(F20&gt;0,10,"")</f>
        <v>10</v>
      </c>
      <c r="B20" s="18">
        <f>IF(F20&gt;0,EDATE($E$6,10),"")</f>
        <v>46636</v>
      </c>
      <c r="C20" s="21">
        <f>IF(H19&gt;0,MIN(IF(K19&gt;0,I$5,99),IF(O19&gt;0,M$5,99),IF(S19&gt;0,Q$5,99),IF(W19&gt;0,U$5,99),IF(AA19&gt;0,Y$5,99),IF(AE19&gt;0,AC$5,99),IF(AI19&gt;0,AG$5,99),IF(AM19&gt;0,AK$5,99),IF(AQ19&gt;0,AO$5,99),IF(AU19&gt;0,AS$5,99)),0)</f>
        <v>2</v>
      </c>
      <c r="D20" t="str">
        <f>IF(C20&gt;0,INDEX($I$4:$AV$4,1,MATCH(C20,$I$5:$AV$5,0)),"")</f>
        <v>Tarjeta de crédito</v>
      </c>
      <c r="E20" s="24">
        <f>ROUND(IF(AND(I$8&gt;0,K19=0),I$6,0)+IF(AND(M$8&gt;0,O19=0),M$6,0)+IF(AND(Q$8&gt;0,S19=0),Q$6,0)+IF(AND(U$8&gt;0,W19=0),U$6,0)+IF(AND(Y$8&gt;0,AA19=0),Y$6,0)+IF(AND(AC$8&gt;0,AE19=0),AC$6,0)+IF(AND(AG$8&gt;0,AI19=0),AG$6,0)+IF(AND(AK$8&gt;0,AM19=0),AK$6,0)+IF(AND(AO$8&gt;0,AQ19=0),AO$6,0)+IF(AND(AS$8&gt;0,AU19=0),AS$6,0),2)</f>
        <v>50</v>
      </c>
      <c r="F20" s="24">
        <f>ROUND(I20+M20+Q20+U20+Y20+AC20+AG20+AK20+AO20+AS20,2)</f>
        <v>475</v>
      </c>
      <c r="G20" s="24">
        <f>ROUND(J20+N20+R20+V20+Z20+AD20+AH20+AL20+AP20+AT20,2)</f>
        <v>51.31</v>
      </c>
      <c r="H20" s="24">
        <f>ROUND(K20+O20+S20+W20+AA20+AE20+AI20+AM20+AQ20+AU20,2)</f>
        <v>8048.72</v>
      </c>
      <c r="I20" s="24">
        <f>IF(K19&gt;0,IF(AND(ROUND(K19+J20-ROUND(I$6+IF(I$5=$C20,$E$5+$E20,0),2),2)&gt;0,ROUND(K19+J20-ROUND(I$6+IF(I$5=$C20,$E$5+$E20,0),2),2)&lt;=L20,ROUND(K19+J20-ROUND(I$6+IF(I$5=$C20,$E$5+$E20,0),2),2)*10&lt;=ROUND(I$6+IF(I$5=$C20,$E$5+$E20,0),2)),ROUND(K19+J20,2),MIN(ROUND(I$6+IF(I$5=$C20,$E$5+$E20,0),2),ROUND(K19+J20,2))),0)</f>
        <v>275</v>
      </c>
      <c r="J20" s="24">
        <f>IF(K19&gt;0,ROUND(ROUND(K19*100,0)*ROUND(I$7*10000,0)/12000000,0)/100,0)</f>
        <v>13.43</v>
      </c>
      <c r="K20" s="24">
        <f>IF(K19&gt;0,ROUND(K19+J20-I20,2),0)</f>
        <v>634.06</v>
      </c>
      <c r="L20" s="24">
        <f>IF(K19&gt;0,ROUND(L19+ROUND(ROUND(L19*100,0)*ROUND(I$7*10000,0)/12000000,0)/100+0.02,2),0)</f>
        <v>0.2</v>
      </c>
      <c r="M20" s="24">
        <f>IF(O19&gt;0,IF(AND(ROUND(O19+N20-ROUND(M$6+IF(M$5=$C20,$E$5+$E20,0),2),2)&gt;0,ROUND(O19+N20-ROUND(M$6+IF(M$5=$C20,$E$5+$E20,0),2),2)&lt;=P20,ROUND(O19+N20-ROUND(M$6+IF(M$5=$C20,$E$5+$E20,0),2),2)*10&lt;=ROUND(M$6+IF(M$5=$C20,$E$5+$E20,0),2)),ROUND(O19+N20,2),MIN(ROUND(M$6+IF(M$5=$C20,$E$5+$E20,0),2),ROUND(O19+N20,2))),0)</f>
        <v>200</v>
      </c>
      <c r="N20" s="24">
        <f>IF(O19&gt;0,ROUND(ROUND(O19*100,0)*ROUND(M$7*10000,0)/12000000,0)/100,0)</f>
        <v>37.88</v>
      </c>
      <c r="O20" s="24">
        <f>IF(O19&gt;0,ROUND(O19+N20-M20,2),0)</f>
        <v>7414.66</v>
      </c>
      <c r="P20" s="24">
        <f>IF(O19&gt;0,ROUND(P19+ROUND(ROUND(P19*100,0)*ROUND(M$7*10000,0)/12000000,0)/100+0.02,2),0)</f>
        <v>0.2</v>
      </c>
      <c r="Q20" s="24">
        <f>IF(S19&gt;0,IF(AND(ROUND(S19+R20-ROUND(Q$6+IF(Q$5=$C20,$E$5+$E20,0),2),2)&gt;0,ROUND(S19+R20-ROUND(Q$6+IF(Q$5=$C20,$E$5+$E20,0),2),2)&lt;=T20,ROUND(S19+R20-ROUND(Q$6+IF(Q$5=$C20,$E$5+$E20,0),2),2)*10&lt;=ROUND(Q$6+IF(Q$5=$C20,$E$5+$E20,0),2)),ROUND(S19+R20,2),MIN(ROUND(Q$6+IF(Q$5=$C20,$E$5+$E20,0),2),ROUND(S19+R20,2))),0)</f>
        <v>0</v>
      </c>
      <c r="R20" s="24">
        <f>IF(S19&gt;0,ROUND(ROUND(S19*100,0)*ROUND(Q$7*10000,0)/12000000,0)/100,0)</f>
        <v>0</v>
      </c>
      <c r="S20" s="24">
        <f>IF(S19&gt;0,ROUND(S19+R20-Q20,2),0)</f>
        <v>0</v>
      </c>
      <c r="T20" s="24">
        <f>IF(S19&gt;0,ROUND(T19+ROUND(ROUND(T19*100,0)*ROUND(Q$7*10000,0)/12000000,0)/100+0.02,2),0)</f>
        <v>0</v>
      </c>
      <c r="U20" s="24">
        <f>IF(W19&gt;0,IF(AND(ROUND(W19+V20-ROUND(U$6+IF(U$5=$C20,$E$5+$E20,0),2),2)&gt;0,ROUND(W19+V20-ROUND(U$6+IF(U$5=$C20,$E$5+$E20,0),2),2)&lt;=X20,ROUND(W19+V20-ROUND(U$6+IF(U$5=$C20,$E$5+$E20,0),2),2)*10&lt;=ROUND(U$6+IF(U$5=$C20,$E$5+$E20,0),2)),ROUND(W19+V20,2),MIN(ROUND(U$6+IF(U$5=$C20,$E$5+$E20,0),2),ROUND(W19+V20,2))),0)</f>
        <v>0</v>
      </c>
      <c r="V20" s="24">
        <f>IF(W19&gt;0,ROUND(ROUND(W19*100,0)*ROUND(U$7*10000,0)/12000000,0)/100,0)</f>
        <v>0</v>
      </c>
      <c r="W20" s="24">
        <f>IF(W19&gt;0,ROUND(W19+V20-U20,2),0)</f>
        <v>0</v>
      </c>
      <c r="X20" s="24">
        <f>IF(W19&gt;0,ROUND(X19+ROUND(ROUND(X19*100,0)*ROUND(U$7*10000,0)/12000000,0)/100+0.02,2),0)</f>
        <v>0</v>
      </c>
      <c r="Y20" s="24">
        <f>IF(AA19&gt;0,IF(AND(ROUND(AA19+Z20-ROUND(Y$6+IF(Y$5=$C20,$E$5+$E20,0),2),2)&gt;0,ROUND(AA19+Z20-ROUND(Y$6+IF(Y$5=$C20,$E$5+$E20,0),2),2)&lt;=AB20,ROUND(AA19+Z20-ROUND(Y$6+IF(Y$5=$C20,$E$5+$E20,0),2),2)*10&lt;=ROUND(Y$6+IF(Y$5=$C20,$E$5+$E20,0),2)),ROUND(AA19+Z20,2),MIN(ROUND(Y$6+IF(Y$5=$C20,$E$5+$E20,0),2),ROUND(AA19+Z20,2))),0)</f>
        <v>0</v>
      </c>
      <c r="Z20" s="24">
        <f>IF(AA19&gt;0,ROUND(ROUND(AA19*100,0)*ROUND(Y$7*10000,0)/12000000,0)/100,0)</f>
        <v>0</v>
      </c>
      <c r="AA20" s="24">
        <f>IF(AA19&gt;0,ROUND(AA19+Z20-Y20,2),0)</f>
        <v>0</v>
      </c>
      <c r="AB20" s="24">
        <f>IF(AA19&gt;0,ROUND(AB19+ROUND(ROUND(AB19*100,0)*ROUND(Y$7*10000,0)/12000000,0)/100+0.02,2),0)</f>
        <v>0</v>
      </c>
      <c r="AC20" s="24">
        <f>IF(AE19&gt;0,IF(AND(ROUND(AE19+AD20-ROUND(AC$6+IF(AC$5=$C20,$E$5+$E20,0),2),2)&gt;0,ROUND(AE19+AD20-ROUND(AC$6+IF(AC$5=$C20,$E$5+$E20,0),2),2)&lt;=AF20,ROUND(AE19+AD20-ROUND(AC$6+IF(AC$5=$C20,$E$5+$E20,0),2),2)*10&lt;=ROUND(AC$6+IF(AC$5=$C20,$E$5+$E20,0),2)),ROUND(AE19+AD20,2),MIN(ROUND(AC$6+IF(AC$5=$C20,$E$5+$E20,0),2),ROUND(AE19+AD20,2))),0)</f>
        <v>0</v>
      </c>
      <c r="AD20" s="24">
        <f>IF(AE19&gt;0,ROUND(ROUND(AE19*100,0)*ROUND(AC$7*10000,0)/12000000,0)/100,0)</f>
        <v>0</v>
      </c>
      <c r="AE20" s="24">
        <f>IF(AE19&gt;0,ROUND(AE19+AD20-AC20,2),0)</f>
        <v>0</v>
      </c>
      <c r="AF20" s="24">
        <f>IF(AE19&gt;0,ROUND(AF19+ROUND(ROUND(AF19*100,0)*ROUND(AC$7*10000,0)/12000000,0)/100+0.02,2),0)</f>
        <v>0</v>
      </c>
      <c r="AG20" s="24">
        <f>IF(AI19&gt;0,IF(AND(ROUND(AI19+AH20-ROUND(AG$6+IF(AG$5=$C20,$E$5+$E20,0),2),2)&gt;0,ROUND(AI19+AH20-ROUND(AG$6+IF(AG$5=$C20,$E$5+$E20,0),2),2)&lt;=AJ20,ROUND(AI19+AH20-ROUND(AG$6+IF(AG$5=$C20,$E$5+$E20,0),2),2)*10&lt;=ROUND(AG$6+IF(AG$5=$C20,$E$5+$E20,0),2)),ROUND(AI19+AH20,2),MIN(ROUND(AG$6+IF(AG$5=$C20,$E$5+$E20,0),2),ROUND(AI19+AH20,2))),0)</f>
        <v>0</v>
      </c>
      <c r="AH20" s="24">
        <f>IF(AI19&gt;0,ROUND(ROUND(AI19*100,0)*ROUND(AG$7*10000,0)/12000000,0)/100,0)</f>
        <v>0</v>
      </c>
      <c r="AI20" s="24">
        <f>IF(AI19&gt;0,ROUND(AI19+AH20-AG20,2),0)</f>
        <v>0</v>
      </c>
      <c r="AJ20" s="24">
        <f>IF(AI19&gt;0,ROUND(AJ19+ROUND(ROUND(AJ19*100,0)*ROUND(AG$7*10000,0)/12000000,0)/100+0.02,2),0)</f>
        <v>0</v>
      </c>
      <c r="AK20" s="24">
        <f>IF(AM19&gt;0,IF(AND(ROUND(AM19+AL20-ROUND(AK$6+IF(AK$5=$C20,$E$5+$E20,0),2),2)&gt;0,ROUND(AM19+AL20-ROUND(AK$6+IF(AK$5=$C20,$E$5+$E20,0),2),2)&lt;=AN20,ROUND(AM19+AL20-ROUND(AK$6+IF(AK$5=$C20,$E$5+$E20,0),2),2)*10&lt;=ROUND(AK$6+IF(AK$5=$C20,$E$5+$E20,0),2)),ROUND(AM19+AL20,2),MIN(ROUND(AK$6+IF(AK$5=$C20,$E$5+$E20,0),2),ROUND(AM19+AL20,2))),0)</f>
        <v>0</v>
      </c>
      <c r="AL20" s="24">
        <f>IF(AM19&gt;0,ROUND(ROUND(AM19*100,0)*ROUND(AK$7*10000,0)/12000000,0)/100,0)</f>
        <v>0</v>
      </c>
      <c r="AM20" s="24">
        <f>IF(AM19&gt;0,ROUND(AM19+AL20-AK20,2),0)</f>
        <v>0</v>
      </c>
      <c r="AN20" s="24">
        <f>IF(AM19&gt;0,ROUND(AN19+ROUND(ROUND(AN19*100,0)*ROUND(AK$7*10000,0)/12000000,0)/100+0.02,2),0)</f>
        <v>0</v>
      </c>
      <c r="AO20" s="24">
        <f>IF(AQ19&gt;0,IF(AND(ROUND(AQ19+AP20-ROUND(AO$6+IF(AO$5=$C20,$E$5+$E20,0),2),2)&gt;0,ROUND(AQ19+AP20-ROUND(AO$6+IF(AO$5=$C20,$E$5+$E20,0),2),2)&lt;=AR20,ROUND(AQ19+AP20-ROUND(AO$6+IF(AO$5=$C20,$E$5+$E20,0),2),2)*10&lt;=ROUND(AO$6+IF(AO$5=$C20,$E$5+$E20,0),2)),ROUND(AQ19+AP20,2),MIN(ROUND(AO$6+IF(AO$5=$C20,$E$5+$E20,0),2),ROUND(AQ19+AP20,2))),0)</f>
        <v>0</v>
      </c>
      <c r="AP20" s="24">
        <f>IF(AQ19&gt;0,ROUND(ROUND(AQ19*100,0)*ROUND(AO$7*10000,0)/12000000,0)/100,0)</f>
        <v>0</v>
      </c>
      <c r="AQ20" s="24">
        <f>IF(AQ19&gt;0,ROUND(AQ19+AP20-AO20,2),0)</f>
        <v>0</v>
      </c>
      <c r="AR20" s="24">
        <f>IF(AQ19&gt;0,ROUND(AR19+ROUND(ROUND(AR19*100,0)*ROUND(AO$7*10000,0)/12000000,0)/100+0.02,2),0)</f>
        <v>0</v>
      </c>
      <c r="AS20" s="24">
        <f>IF(AU19&gt;0,IF(AND(ROUND(AU19+AT20-ROUND(AS$6+IF(AS$5=$C20,$E$5+$E20,0),2),2)&gt;0,ROUND(AU19+AT20-ROUND(AS$6+IF(AS$5=$C20,$E$5+$E20,0),2),2)&lt;=AV20,ROUND(AU19+AT20-ROUND(AS$6+IF(AS$5=$C20,$E$5+$E20,0),2),2)*10&lt;=ROUND(AS$6+IF(AS$5=$C20,$E$5+$E20,0),2)),ROUND(AU19+AT20,2),MIN(ROUND(AS$6+IF(AS$5=$C20,$E$5+$E20,0),2),ROUND(AU19+AT20,2))),0)</f>
        <v>0</v>
      </c>
      <c r="AT20" s="24">
        <f>IF(AU19&gt;0,ROUND(ROUND(AU19*100,0)*ROUND(AS$7*10000,0)/12000000,0)/100,0)</f>
        <v>0</v>
      </c>
      <c r="AU20" s="24">
        <f>IF(AU19&gt;0,ROUND(AU19+AT20-AS20,2),0)</f>
        <v>0</v>
      </c>
      <c r="AV20" s="24">
        <f>IF(AU19&gt;0,ROUND(AV19+ROUND(ROUND(AV19*100,0)*ROUND(AS$7*10000,0)/12000000,0)/100+0.02,2),0)</f>
        <v>0</v>
      </c>
    </row>
    <row r="21" spans="1:48" x14ac:dyDescent="0.25">
      <c r="A21" s="17">
        <f>IF(F21&gt;0,11,"")</f>
        <v>11</v>
      </c>
      <c r="B21" s="18">
        <f>IF(F21&gt;0,EDATE($E$6,11),"")</f>
        <v>46666</v>
      </c>
      <c r="C21" s="21">
        <f>IF(H20&gt;0,MIN(IF(K20&gt;0,I$5,99),IF(O20&gt;0,M$5,99),IF(S20&gt;0,Q$5,99),IF(W20&gt;0,U$5,99),IF(AA20&gt;0,Y$5,99),IF(AE20&gt;0,AC$5,99),IF(AI20&gt;0,AG$5,99),IF(AM20&gt;0,AK$5,99),IF(AQ20&gt;0,AO$5,99),IF(AU20&gt;0,AS$5,99)),0)</f>
        <v>2</v>
      </c>
      <c r="D21" t="str">
        <f>IF(C21&gt;0,INDEX($I$4:$AV$4,1,MATCH(C21,$I$5:$AV$5,0)),"")</f>
        <v>Tarjeta de crédito</v>
      </c>
      <c r="E21" s="24">
        <f>ROUND(IF(AND(I$8&gt;0,K20=0),I$6,0)+IF(AND(M$8&gt;0,O20=0),M$6,0)+IF(AND(Q$8&gt;0,S20=0),Q$6,0)+IF(AND(U$8&gt;0,W20=0),U$6,0)+IF(AND(Y$8&gt;0,AA20=0),Y$6,0)+IF(AND(AC$8&gt;0,AE20=0),AC$6,0)+IF(AND(AG$8&gt;0,AI20=0),AG$6,0)+IF(AND(AK$8&gt;0,AM20=0),AK$6,0)+IF(AND(AO$8&gt;0,AQ20=0),AO$6,0)+IF(AND(AS$8&gt;0,AU20=0),AS$6,0),2)</f>
        <v>50</v>
      </c>
      <c r="F21" s="24">
        <f>ROUND(I21+M21+Q21+U21+Y21+AC21+AG21+AK21+AO21+AS21,2)</f>
        <v>475</v>
      </c>
      <c r="G21" s="24">
        <f>ROUND(J21+N21+R21+V21+Z21+AD21+AH21+AL21+AP21+AT21,2)</f>
        <v>46.58</v>
      </c>
      <c r="H21" s="24">
        <f>ROUND(K21+O21+S21+W21+AA21+AE21+AI21+AM21+AQ21+AU21,2)</f>
        <v>7620.3</v>
      </c>
      <c r="I21" s="24">
        <f>IF(K20&gt;0,IF(AND(ROUND(K20+J21-ROUND(I$6+IF(I$5=$C21,$E$5+$E21,0),2),2)&gt;0,ROUND(K20+J21-ROUND(I$6+IF(I$5=$C21,$E$5+$E21,0),2),2)&lt;=L21,ROUND(K20+J21-ROUND(I$6+IF(I$5=$C21,$E$5+$E21,0),2),2)*10&lt;=ROUND(I$6+IF(I$5=$C21,$E$5+$E21,0),2)),ROUND(K20+J21,2),MIN(ROUND(I$6+IF(I$5=$C21,$E$5+$E21,0),2),ROUND(K20+J21,2))),0)</f>
        <v>275</v>
      </c>
      <c r="J21" s="24">
        <f>IF(K20&gt;0,ROUND(ROUND(K20*100,0)*ROUND(I$7*10000,0)/12000000,0)/100,0)</f>
        <v>9.51</v>
      </c>
      <c r="K21" s="24">
        <f>IF(K20&gt;0,ROUND(K20+J21-I21,2),0)</f>
        <v>368.57</v>
      </c>
      <c r="L21" s="24">
        <f>IF(K20&gt;0,ROUND(L20+ROUND(ROUND(L20*100,0)*ROUND(I$7*10000,0)/12000000,0)/100+0.02,2),0)</f>
        <v>0.22</v>
      </c>
      <c r="M21" s="24">
        <f>IF(O20&gt;0,IF(AND(ROUND(O20+N21-ROUND(M$6+IF(M$5=$C21,$E$5+$E21,0),2),2)&gt;0,ROUND(O20+N21-ROUND(M$6+IF(M$5=$C21,$E$5+$E21,0),2),2)&lt;=P21,ROUND(O20+N21-ROUND(M$6+IF(M$5=$C21,$E$5+$E21,0),2),2)*10&lt;=ROUND(M$6+IF(M$5=$C21,$E$5+$E21,0),2)),ROUND(O20+N21,2),MIN(ROUND(M$6+IF(M$5=$C21,$E$5+$E21,0),2),ROUND(O20+N21,2))),0)</f>
        <v>200</v>
      </c>
      <c r="N21" s="24">
        <f>IF(O20&gt;0,ROUND(ROUND(O20*100,0)*ROUND(M$7*10000,0)/12000000,0)/100,0)</f>
        <v>37.07</v>
      </c>
      <c r="O21" s="24">
        <f>IF(O20&gt;0,ROUND(O20+N21-M21,2),0)</f>
        <v>7251.73</v>
      </c>
      <c r="P21" s="24">
        <f>IF(O20&gt;0,ROUND(P20+ROUND(ROUND(P20*100,0)*ROUND(M$7*10000,0)/12000000,0)/100+0.02,2),0)</f>
        <v>0.22</v>
      </c>
      <c r="Q21" s="24">
        <f>IF(S20&gt;0,IF(AND(ROUND(S20+R21-ROUND(Q$6+IF(Q$5=$C21,$E$5+$E21,0),2),2)&gt;0,ROUND(S20+R21-ROUND(Q$6+IF(Q$5=$C21,$E$5+$E21,0),2),2)&lt;=T21,ROUND(S20+R21-ROUND(Q$6+IF(Q$5=$C21,$E$5+$E21,0),2),2)*10&lt;=ROUND(Q$6+IF(Q$5=$C21,$E$5+$E21,0),2)),ROUND(S20+R21,2),MIN(ROUND(Q$6+IF(Q$5=$C21,$E$5+$E21,0),2),ROUND(S20+R21,2))),0)</f>
        <v>0</v>
      </c>
      <c r="R21" s="24">
        <f>IF(S20&gt;0,ROUND(ROUND(S20*100,0)*ROUND(Q$7*10000,0)/12000000,0)/100,0)</f>
        <v>0</v>
      </c>
      <c r="S21" s="24">
        <f>IF(S20&gt;0,ROUND(S20+R21-Q21,2),0)</f>
        <v>0</v>
      </c>
      <c r="T21" s="24">
        <f>IF(S20&gt;0,ROUND(T20+ROUND(ROUND(T20*100,0)*ROUND(Q$7*10000,0)/12000000,0)/100+0.02,2),0)</f>
        <v>0</v>
      </c>
      <c r="U21" s="24">
        <f>IF(W20&gt;0,IF(AND(ROUND(W20+V21-ROUND(U$6+IF(U$5=$C21,$E$5+$E21,0),2),2)&gt;0,ROUND(W20+V21-ROUND(U$6+IF(U$5=$C21,$E$5+$E21,0),2),2)&lt;=X21,ROUND(W20+V21-ROUND(U$6+IF(U$5=$C21,$E$5+$E21,0),2),2)*10&lt;=ROUND(U$6+IF(U$5=$C21,$E$5+$E21,0),2)),ROUND(W20+V21,2),MIN(ROUND(U$6+IF(U$5=$C21,$E$5+$E21,0),2),ROUND(W20+V21,2))),0)</f>
        <v>0</v>
      </c>
      <c r="V21" s="24">
        <f>IF(W20&gt;0,ROUND(ROUND(W20*100,0)*ROUND(U$7*10000,0)/12000000,0)/100,0)</f>
        <v>0</v>
      </c>
      <c r="W21" s="24">
        <f>IF(W20&gt;0,ROUND(W20+V21-U21,2),0)</f>
        <v>0</v>
      </c>
      <c r="X21" s="24">
        <f>IF(W20&gt;0,ROUND(X20+ROUND(ROUND(X20*100,0)*ROUND(U$7*10000,0)/12000000,0)/100+0.02,2),0)</f>
        <v>0</v>
      </c>
      <c r="Y21" s="24">
        <f>IF(AA20&gt;0,IF(AND(ROUND(AA20+Z21-ROUND(Y$6+IF(Y$5=$C21,$E$5+$E21,0),2),2)&gt;0,ROUND(AA20+Z21-ROUND(Y$6+IF(Y$5=$C21,$E$5+$E21,0),2),2)&lt;=AB21,ROUND(AA20+Z21-ROUND(Y$6+IF(Y$5=$C21,$E$5+$E21,0),2),2)*10&lt;=ROUND(Y$6+IF(Y$5=$C21,$E$5+$E21,0),2)),ROUND(AA20+Z21,2),MIN(ROUND(Y$6+IF(Y$5=$C21,$E$5+$E21,0),2),ROUND(AA20+Z21,2))),0)</f>
        <v>0</v>
      </c>
      <c r="Z21" s="24">
        <f>IF(AA20&gt;0,ROUND(ROUND(AA20*100,0)*ROUND(Y$7*10000,0)/12000000,0)/100,0)</f>
        <v>0</v>
      </c>
      <c r="AA21" s="24">
        <f>IF(AA20&gt;0,ROUND(AA20+Z21-Y21,2),0)</f>
        <v>0</v>
      </c>
      <c r="AB21" s="24">
        <f>IF(AA20&gt;0,ROUND(AB20+ROUND(ROUND(AB20*100,0)*ROUND(Y$7*10000,0)/12000000,0)/100+0.02,2),0)</f>
        <v>0</v>
      </c>
      <c r="AC21" s="24">
        <f>IF(AE20&gt;0,IF(AND(ROUND(AE20+AD21-ROUND(AC$6+IF(AC$5=$C21,$E$5+$E21,0),2),2)&gt;0,ROUND(AE20+AD21-ROUND(AC$6+IF(AC$5=$C21,$E$5+$E21,0),2),2)&lt;=AF21,ROUND(AE20+AD21-ROUND(AC$6+IF(AC$5=$C21,$E$5+$E21,0),2),2)*10&lt;=ROUND(AC$6+IF(AC$5=$C21,$E$5+$E21,0),2)),ROUND(AE20+AD21,2),MIN(ROUND(AC$6+IF(AC$5=$C21,$E$5+$E21,0),2),ROUND(AE20+AD21,2))),0)</f>
        <v>0</v>
      </c>
      <c r="AD21" s="24">
        <f>IF(AE20&gt;0,ROUND(ROUND(AE20*100,0)*ROUND(AC$7*10000,0)/12000000,0)/100,0)</f>
        <v>0</v>
      </c>
      <c r="AE21" s="24">
        <f>IF(AE20&gt;0,ROUND(AE20+AD21-AC21,2),0)</f>
        <v>0</v>
      </c>
      <c r="AF21" s="24">
        <f>IF(AE20&gt;0,ROUND(AF20+ROUND(ROUND(AF20*100,0)*ROUND(AC$7*10000,0)/12000000,0)/100+0.02,2),0)</f>
        <v>0</v>
      </c>
      <c r="AG21" s="24">
        <f>IF(AI20&gt;0,IF(AND(ROUND(AI20+AH21-ROUND(AG$6+IF(AG$5=$C21,$E$5+$E21,0),2),2)&gt;0,ROUND(AI20+AH21-ROUND(AG$6+IF(AG$5=$C21,$E$5+$E21,0),2),2)&lt;=AJ21,ROUND(AI20+AH21-ROUND(AG$6+IF(AG$5=$C21,$E$5+$E21,0),2),2)*10&lt;=ROUND(AG$6+IF(AG$5=$C21,$E$5+$E21,0),2)),ROUND(AI20+AH21,2),MIN(ROUND(AG$6+IF(AG$5=$C21,$E$5+$E21,0),2),ROUND(AI20+AH21,2))),0)</f>
        <v>0</v>
      </c>
      <c r="AH21" s="24">
        <f>IF(AI20&gt;0,ROUND(ROUND(AI20*100,0)*ROUND(AG$7*10000,0)/12000000,0)/100,0)</f>
        <v>0</v>
      </c>
      <c r="AI21" s="24">
        <f>IF(AI20&gt;0,ROUND(AI20+AH21-AG21,2),0)</f>
        <v>0</v>
      </c>
      <c r="AJ21" s="24">
        <f>IF(AI20&gt;0,ROUND(AJ20+ROUND(ROUND(AJ20*100,0)*ROUND(AG$7*10000,0)/12000000,0)/100+0.02,2),0)</f>
        <v>0</v>
      </c>
      <c r="AK21" s="24">
        <f>IF(AM20&gt;0,IF(AND(ROUND(AM20+AL21-ROUND(AK$6+IF(AK$5=$C21,$E$5+$E21,0),2),2)&gt;0,ROUND(AM20+AL21-ROUND(AK$6+IF(AK$5=$C21,$E$5+$E21,0),2),2)&lt;=AN21,ROUND(AM20+AL21-ROUND(AK$6+IF(AK$5=$C21,$E$5+$E21,0),2),2)*10&lt;=ROUND(AK$6+IF(AK$5=$C21,$E$5+$E21,0),2)),ROUND(AM20+AL21,2),MIN(ROUND(AK$6+IF(AK$5=$C21,$E$5+$E21,0),2),ROUND(AM20+AL21,2))),0)</f>
        <v>0</v>
      </c>
      <c r="AL21" s="24">
        <f>IF(AM20&gt;0,ROUND(ROUND(AM20*100,0)*ROUND(AK$7*10000,0)/12000000,0)/100,0)</f>
        <v>0</v>
      </c>
      <c r="AM21" s="24">
        <f>IF(AM20&gt;0,ROUND(AM20+AL21-AK21,2),0)</f>
        <v>0</v>
      </c>
      <c r="AN21" s="24">
        <f>IF(AM20&gt;0,ROUND(AN20+ROUND(ROUND(AN20*100,0)*ROUND(AK$7*10000,0)/12000000,0)/100+0.02,2),0)</f>
        <v>0</v>
      </c>
      <c r="AO21" s="24">
        <f>IF(AQ20&gt;0,IF(AND(ROUND(AQ20+AP21-ROUND(AO$6+IF(AO$5=$C21,$E$5+$E21,0),2),2)&gt;0,ROUND(AQ20+AP21-ROUND(AO$6+IF(AO$5=$C21,$E$5+$E21,0),2),2)&lt;=AR21,ROUND(AQ20+AP21-ROUND(AO$6+IF(AO$5=$C21,$E$5+$E21,0),2),2)*10&lt;=ROUND(AO$6+IF(AO$5=$C21,$E$5+$E21,0),2)),ROUND(AQ20+AP21,2),MIN(ROUND(AO$6+IF(AO$5=$C21,$E$5+$E21,0),2),ROUND(AQ20+AP21,2))),0)</f>
        <v>0</v>
      </c>
      <c r="AP21" s="24">
        <f>IF(AQ20&gt;0,ROUND(ROUND(AQ20*100,0)*ROUND(AO$7*10000,0)/12000000,0)/100,0)</f>
        <v>0</v>
      </c>
      <c r="AQ21" s="24">
        <f>IF(AQ20&gt;0,ROUND(AQ20+AP21-AO21,2),0)</f>
        <v>0</v>
      </c>
      <c r="AR21" s="24">
        <f>IF(AQ20&gt;0,ROUND(AR20+ROUND(ROUND(AR20*100,0)*ROUND(AO$7*10000,0)/12000000,0)/100+0.02,2),0)</f>
        <v>0</v>
      </c>
      <c r="AS21" s="24">
        <f>IF(AU20&gt;0,IF(AND(ROUND(AU20+AT21-ROUND(AS$6+IF(AS$5=$C21,$E$5+$E21,0),2),2)&gt;0,ROUND(AU20+AT21-ROUND(AS$6+IF(AS$5=$C21,$E$5+$E21,0),2),2)&lt;=AV21,ROUND(AU20+AT21-ROUND(AS$6+IF(AS$5=$C21,$E$5+$E21,0),2),2)*10&lt;=ROUND(AS$6+IF(AS$5=$C21,$E$5+$E21,0),2)),ROUND(AU20+AT21,2),MIN(ROUND(AS$6+IF(AS$5=$C21,$E$5+$E21,0),2),ROUND(AU20+AT21,2))),0)</f>
        <v>0</v>
      </c>
      <c r="AT21" s="24">
        <f>IF(AU20&gt;0,ROUND(ROUND(AU20*100,0)*ROUND(AS$7*10000,0)/12000000,0)/100,0)</f>
        <v>0</v>
      </c>
      <c r="AU21" s="24">
        <f>IF(AU20&gt;0,ROUND(AU20+AT21-AS21,2),0)</f>
        <v>0</v>
      </c>
      <c r="AV21" s="24">
        <f>IF(AU20&gt;0,ROUND(AV20+ROUND(ROUND(AV20*100,0)*ROUND(AS$7*10000,0)/12000000,0)/100+0.02,2),0)</f>
        <v>0</v>
      </c>
    </row>
    <row r="22" spans="1:48" x14ac:dyDescent="0.25">
      <c r="A22" s="17">
        <f>IF(F22&gt;0,12,"")</f>
        <v>12</v>
      </c>
      <c r="B22" s="18">
        <f>IF(F22&gt;0,EDATE($E$6,12),"")</f>
        <v>46697</v>
      </c>
      <c r="C22" s="21">
        <f>IF(H21&gt;0,MIN(IF(K21&gt;0,I$5,99),IF(O21&gt;0,M$5,99),IF(S21&gt;0,Q$5,99),IF(W21&gt;0,U$5,99),IF(AA21&gt;0,Y$5,99),IF(AE21&gt;0,AC$5,99),IF(AI21&gt;0,AG$5,99),IF(AM21&gt;0,AK$5,99),IF(AQ21&gt;0,AO$5,99),IF(AU21&gt;0,AS$5,99)),0)</f>
        <v>2</v>
      </c>
      <c r="D22" t="str">
        <f>IF(C22&gt;0,INDEX($I$4:$AV$4,1,MATCH(C22,$I$5:$AV$5,0)),"")</f>
        <v>Tarjeta de crédito</v>
      </c>
      <c r="E22" s="24">
        <f>ROUND(IF(AND(I$8&gt;0,K21=0),I$6,0)+IF(AND(M$8&gt;0,O21=0),M$6,0)+IF(AND(Q$8&gt;0,S21=0),Q$6,0)+IF(AND(U$8&gt;0,W21=0),U$6,0)+IF(AND(Y$8&gt;0,AA21=0),Y$6,0)+IF(AND(AC$8&gt;0,AE21=0),AC$6,0)+IF(AND(AG$8&gt;0,AI21=0),AG$6,0)+IF(AND(AK$8&gt;0,AM21=0),AK$6,0)+IF(AND(AO$8&gt;0,AQ21=0),AO$6,0)+IF(AND(AS$8&gt;0,AU21=0),AS$6,0),2)</f>
        <v>50</v>
      </c>
      <c r="F22" s="24">
        <f>ROUND(I22+M22+Q22+U22+Y22+AC22+AG22+AK22+AO22+AS22,2)</f>
        <v>475</v>
      </c>
      <c r="G22" s="24">
        <f>ROUND(J22+N22+R22+V22+Z22+AD22+AH22+AL22+AP22+AT22,2)</f>
        <v>41.79</v>
      </c>
      <c r="H22" s="24">
        <f>ROUND(K22+O22+S22+W22+AA22+AE22+AI22+AM22+AQ22+AU22,2)</f>
        <v>7187.09</v>
      </c>
      <c r="I22" s="24">
        <f>IF(K21&gt;0,IF(AND(ROUND(K21+J22-ROUND(I$6+IF(I$5=$C22,$E$5+$E22,0),2),2)&gt;0,ROUND(K21+J22-ROUND(I$6+IF(I$5=$C22,$E$5+$E22,0),2),2)&lt;=L22,ROUND(K21+J22-ROUND(I$6+IF(I$5=$C22,$E$5+$E22,0),2),2)*10&lt;=ROUND(I$6+IF(I$5=$C22,$E$5+$E22,0),2)),ROUND(K21+J22,2),MIN(ROUND(I$6+IF(I$5=$C22,$E$5+$E22,0),2),ROUND(K21+J22,2))),0)</f>
        <v>275</v>
      </c>
      <c r="J22" s="24">
        <f>IF(K21&gt;0,ROUND(ROUND(K21*100,0)*ROUND(I$7*10000,0)/12000000,0)/100,0)</f>
        <v>5.53</v>
      </c>
      <c r="K22" s="24">
        <f>IF(K21&gt;0,ROUND(K21+J22-I22,2),0)</f>
        <v>99.1</v>
      </c>
      <c r="L22" s="24">
        <f>IF(K21&gt;0,ROUND(L21+ROUND(ROUND(L21*100,0)*ROUND(I$7*10000,0)/12000000,0)/100+0.02,2),0)</f>
        <v>0.24</v>
      </c>
      <c r="M22" s="24">
        <f>IF(O21&gt;0,IF(AND(ROUND(O21+N22-ROUND(M$6+IF(M$5=$C22,$E$5+$E22,0),2),2)&gt;0,ROUND(O21+N22-ROUND(M$6+IF(M$5=$C22,$E$5+$E22,0),2),2)&lt;=P22,ROUND(O21+N22-ROUND(M$6+IF(M$5=$C22,$E$5+$E22,0),2),2)*10&lt;=ROUND(M$6+IF(M$5=$C22,$E$5+$E22,0),2)),ROUND(O21+N22,2),MIN(ROUND(M$6+IF(M$5=$C22,$E$5+$E22,0),2),ROUND(O21+N22,2))),0)</f>
        <v>200</v>
      </c>
      <c r="N22" s="24">
        <f>IF(O21&gt;0,ROUND(ROUND(O21*100,0)*ROUND(M$7*10000,0)/12000000,0)/100,0)</f>
        <v>36.26</v>
      </c>
      <c r="O22" s="24">
        <f>IF(O21&gt;0,ROUND(O21+N22-M22,2),0)</f>
        <v>7087.99</v>
      </c>
      <c r="P22" s="24">
        <f>IF(O21&gt;0,ROUND(P21+ROUND(ROUND(P21*100,0)*ROUND(M$7*10000,0)/12000000,0)/100+0.02,2),0)</f>
        <v>0.24</v>
      </c>
      <c r="Q22" s="24">
        <f>IF(S21&gt;0,IF(AND(ROUND(S21+R22-ROUND(Q$6+IF(Q$5=$C22,$E$5+$E22,0),2),2)&gt;0,ROUND(S21+R22-ROUND(Q$6+IF(Q$5=$C22,$E$5+$E22,0),2),2)&lt;=T22,ROUND(S21+R22-ROUND(Q$6+IF(Q$5=$C22,$E$5+$E22,0),2),2)*10&lt;=ROUND(Q$6+IF(Q$5=$C22,$E$5+$E22,0),2)),ROUND(S21+R22,2),MIN(ROUND(Q$6+IF(Q$5=$C22,$E$5+$E22,0),2),ROUND(S21+R22,2))),0)</f>
        <v>0</v>
      </c>
      <c r="R22" s="24">
        <f>IF(S21&gt;0,ROUND(ROUND(S21*100,0)*ROUND(Q$7*10000,0)/12000000,0)/100,0)</f>
        <v>0</v>
      </c>
      <c r="S22" s="24">
        <f>IF(S21&gt;0,ROUND(S21+R22-Q22,2),0)</f>
        <v>0</v>
      </c>
      <c r="T22" s="24">
        <f>IF(S21&gt;0,ROUND(T21+ROUND(ROUND(T21*100,0)*ROUND(Q$7*10000,0)/12000000,0)/100+0.02,2),0)</f>
        <v>0</v>
      </c>
      <c r="U22" s="24">
        <f>IF(W21&gt;0,IF(AND(ROUND(W21+V22-ROUND(U$6+IF(U$5=$C22,$E$5+$E22,0),2),2)&gt;0,ROUND(W21+V22-ROUND(U$6+IF(U$5=$C22,$E$5+$E22,0),2),2)&lt;=X22,ROUND(W21+V22-ROUND(U$6+IF(U$5=$C22,$E$5+$E22,0),2),2)*10&lt;=ROUND(U$6+IF(U$5=$C22,$E$5+$E22,0),2)),ROUND(W21+V22,2),MIN(ROUND(U$6+IF(U$5=$C22,$E$5+$E22,0),2),ROUND(W21+V22,2))),0)</f>
        <v>0</v>
      </c>
      <c r="V22" s="24">
        <f>IF(W21&gt;0,ROUND(ROUND(W21*100,0)*ROUND(U$7*10000,0)/12000000,0)/100,0)</f>
        <v>0</v>
      </c>
      <c r="W22" s="24">
        <f>IF(W21&gt;0,ROUND(W21+V22-U22,2),0)</f>
        <v>0</v>
      </c>
      <c r="X22" s="24">
        <f>IF(W21&gt;0,ROUND(X21+ROUND(ROUND(X21*100,0)*ROUND(U$7*10000,0)/12000000,0)/100+0.02,2),0)</f>
        <v>0</v>
      </c>
      <c r="Y22" s="24">
        <f>IF(AA21&gt;0,IF(AND(ROUND(AA21+Z22-ROUND(Y$6+IF(Y$5=$C22,$E$5+$E22,0),2),2)&gt;0,ROUND(AA21+Z22-ROUND(Y$6+IF(Y$5=$C22,$E$5+$E22,0),2),2)&lt;=AB22,ROUND(AA21+Z22-ROUND(Y$6+IF(Y$5=$C22,$E$5+$E22,0),2),2)*10&lt;=ROUND(Y$6+IF(Y$5=$C22,$E$5+$E22,0),2)),ROUND(AA21+Z22,2),MIN(ROUND(Y$6+IF(Y$5=$C22,$E$5+$E22,0),2),ROUND(AA21+Z22,2))),0)</f>
        <v>0</v>
      </c>
      <c r="Z22" s="24">
        <f>IF(AA21&gt;0,ROUND(ROUND(AA21*100,0)*ROUND(Y$7*10000,0)/12000000,0)/100,0)</f>
        <v>0</v>
      </c>
      <c r="AA22" s="24">
        <f>IF(AA21&gt;0,ROUND(AA21+Z22-Y22,2),0)</f>
        <v>0</v>
      </c>
      <c r="AB22" s="24">
        <f>IF(AA21&gt;0,ROUND(AB21+ROUND(ROUND(AB21*100,0)*ROUND(Y$7*10000,0)/12000000,0)/100+0.02,2),0)</f>
        <v>0</v>
      </c>
      <c r="AC22" s="24">
        <f>IF(AE21&gt;0,IF(AND(ROUND(AE21+AD22-ROUND(AC$6+IF(AC$5=$C22,$E$5+$E22,0),2),2)&gt;0,ROUND(AE21+AD22-ROUND(AC$6+IF(AC$5=$C22,$E$5+$E22,0),2),2)&lt;=AF22,ROUND(AE21+AD22-ROUND(AC$6+IF(AC$5=$C22,$E$5+$E22,0),2),2)*10&lt;=ROUND(AC$6+IF(AC$5=$C22,$E$5+$E22,0),2)),ROUND(AE21+AD22,2),MIN(ROUND(AC$6+IF(AC$5=$C22,$E$5+$E22,0),2),ROUND(AE21+AD22,2))),0)</f>
        <v>0</v>
      </c>
      <c r="AD22" s="24">
        <f>IF(AE21&gt;0,ROUND(ROUND(AE21*100,0)*ROUND(AC$7*10000,0)/12000000,0)/100,0)</f>
        <v>0</v>
      </c>
      <c r="AE22" s="24">
        <f>IF(AE21&gt;0,ROUND(AE21+AD22-AC22,2),0)</f>
        <v>0</v>
      </c>
      <c r="AF22" s="24">
        <f>IF(AE21&gt;0,ROUND(AF21+ROUND(ROUND(AF21*100,0)*ROUND(AC$7*10000,0)/12000000,0)/100+0.02,2),0)</f>
        <v>0</v>
      </c>
      <c r="AG22" s="24">
        <f>IF(AI21&gt;0,IF(AND(ROUND(AI21+AH22-ROUND(AG$6+IF(AG$5=$C22,$E$5+$E22,0),2),2)&gt;0,ROUND(AI21+AH22-ROUND(AG$6+IF(AG$5=$C22,$E$5+$E22,0),2),2)&lt;=AJ22,ROUND(AI21+AH22-ROUND(AG$6+IF(AG$5=$C22,$E$5+$E22,0),2),2)*10&lt;=ROUND(AG$6+IF(AG$5=$C22,$E$5+$E22,0),2)),ROUND(AI21+AH22,2),MIN(ROUND(AG$6+IF(AG$5=$C22,$E$5+$E22,0),2),ROUND(AI21+AH22,2))),0)</f>
        <v>0</v>
      </c>
      <c r="AH22" s="24">
        <f>IF(AI21&gt;0,ROUND(ROUND(AI21*100,0)*ROUND(AG$7*10000,0)/12000000,0)/100,0)</f>
        <v>0</v>
      </c>
      <c r="AI22" s="24">
        <f>IF(AI21&gt;0,ROUND(AI21+AH22-AG22,2),0)</f>
        <v>0</v>
      </c>
      <c r="AJ22" s="24">
        <f>IF(AI21&gt;0,ROUND(AJ21+ROUND(ROUND(AJ21*100,0)*ROUND(AG$7*10000,0)/12000000,0)/100+0.02,2),0)</f>
        <v>0</v>
      </c>
      <c r="AK22" s="24">
        <f>IF(AM21&gt;0,IF(AND(ROUND(AM21+AL22-ROUND(AK$6+IF(AK$5=$C22,$E$5+$E22,0),2),2)&gt;0,ROUND(AM21+AL22-ROUND(AK$6+IF(AK$5=$C22,$E$5+$E22,0),2),2)&lt;=AN22,ROUND(AM21+AL22-ROUND(AK$6+IF(AK$5=$C22,$E$5+$E22,0),2),2)*10&lt;=ROUND(AK$6+IF(AK$5=$C22,$E$5+$E22,0),2)),ROUND(AM21+AL22,2),MIN(ROUND(AK$6+IF(AK$5=$C22,$E$5+$E22,0),2),ROUND(AM21+AL22,2))),0)</f>
        <v>0</v>
      </c>
      <c r="AL22" s="24">
        <f>IF(AM21&gt;0,ROUND(ROUND(AM21*100,0)*ROUND(AK$7*10000,0)/12000000,0)/100,0)</f>
        <v>0</v>
      </c>
      <c r="AM22" s="24">
        <f>IF(AM21&gt;0,ROUND(AM21+AL22-AK22,2),0)</f>
        <v>0</v>
      </c>
      <c r="AN22" s="24">
        <f>IF(AM21&gt;0,ROUND(AN21+ROUND(ROUND(AN21*100,0)*ROUND(AK$7*10000,0)/12000000,0)/100+0.02,2),0)</f>
        <v>0</v>
      </c>
      <c r="AO22" s="24">
        <f>IF(AQ21&gt;0,IF(AND(ROUND(AQ21+AP22-ROUND(AO$6+IF(AO$5=$C22,$E$5+$E22,0),2),2)&gt;0,ROUND(AQ21+AP22-ROUND(AO$6+IF(AO$5=$C22,$E$5+$E22,0),2),2)&lt;=AR22,ROUND(AQ21+AP22-ROUND(AO$6+IF(AO$5=$C22,$E$5+$E22,0),2),2)*10&lt;=ROUND(AO$6+IF(AO$5=$C22,$E$5+$E22,0),2)),ROUND(AQ21+AP22,2),MIN(ROUND(AO$6+IF(AO$5=$C22,$E$5+$E22,0),2),ROUND(AQ21+AP22,2))),0)</f>
        <v>0</v>
      </c>
      <c r="AP22" s="24">
        <f>IF(AQ21&gt;0,ROUND(ROUND(AQ21*100,0)*ROUND(AO$7*10000,0)/12000000,0)/100,0)</f>
        <v>0</v>
      </c>
      <c r="AQ22" s="24">
        <f>IF(AQ21&gt;0,ROUND(AQ21+AP22-AO22,2),0)</f>
        <v>0</v>
      </c>
      <c r="AR22" s="24">
        <f>IF(AQ21&gt;0,ROUND(AR21+ROUND(ROUND(AR21*100,0)*ROUND(AO$7*10000,0)/12000000,0)/100+0.02,2),0)</f>
        <v>0</v>
      </c>
      <c r="AS22" s="24">
        <f>IF(AU21&gt;0,IF(AND(ROUND(AU21+AT22-ROUND(AS$6+IF(AS$5=$C22,$E$5+$E22,0),2),2)&gt;0,ROUND(AU21+AT22-ROUND(AS$6+IF(AS$5=$C22,$E$5+$E22,0),2),2)&lt;=AV22,ROUND(AU21+AT22-ROUND(AS$6+IF(AS$5=$C22,$E$5+$E22,0),2),2)*10&lt;=ROUND(AS$6+IF(AS$5=$C22,$E$5+$E22,0),2)),ROUND(AU21+AT22,2),MIN(ROUND(AS$6+IF(AS$5=$C22,$E$5+$E22,0),2),ROUND(AU21+AT22,2))),0)</f>
        <v>0</v>
      </c>
      <c r="AT22" s="24">
        <f>IF(AU21&gt;0,ROUND(ROUND(AU21*100,0)*ROUND(AS$7*10000,0)/12000000,0)/100,0)</f>
        <v>0</v>
      </c>
      <c r="AU22" s="24">
        <f>IF(AU21&gt;0,ROUND(AU21+AT22-AS22,2),0)</f>
        <v>0</v>
      </c>
      <c r="AV22" s="24">
        <f>IF(AU21&gt;0,ROUND(AV21+ROUND(ROUND(AV21*100,0)*ROUND(AS$7*10000,0)/12000000,0)/100+0.02,2),0)</f>
        <v>0</v>
      </c>
    </row>
    <row r="23" spans="1:48" x14ac:dyDescent="0.25">
      <c r="A23" s="17">
        <f>IF(F23&gt;0,13,"")</f>
        <v>13</v>
      </c>
      <c r="B23" s="18">
        <f>IF(F23&gt;0,EDATE($E$6,13),"")</f>
        <v>46727</v>
      </c>
      <c r="C23" s="21">
        <f>IF(H22&gt;0,MIN(IF(K22&gt;0,I$5,99),IF(O22&gt;0,M$5,99),IF(S22&gt;0,Q$5,99),IF(W22&gt;0,U$5,99),IF(AA22&gt;0,Y$5,99),IF(AE22&gt;0,AC$5,99),IF(AI22&gt;0,AG$5,99),IF(AM22&gt;0,AK$5,99),IF(AQ22&gt;0,AO$5,99),IF(AU22&gt;0,AS$5,99)),0)</f>
        <v>2</v>
      </c>
      <c r="D23" t="str">
        <f>IF(C23&gt;0,INDEX($I$4:$AV$4,1,MATCH(C23,$I$5:$AV$5,0)),"")</f>
        <v>Tarjeta de crédito</v>
      </c>
      <c r="E23" s="24">
        <f>ROUND(IF(AND(I$8&gt;0,K22=0),I$6,0)+IF(AND(M$8&gt;0,O22=0),M$6,0)+IF(AND(Q$8&gt;0,S22=0),Q$6,0)+IF(AND(U$8&gt;0,W22=0),U$6,0)+IF(AND(Y$8&gt;0,AA22=0),Y$6,0)+IF(AND(AC$8&gt;0,AE22=0),AC$6,0)+IF(AND(AG$8&gt;0,AI22=0),AG$6,0)+IF(AND(AK$8&gt;0,AM22=0),AK$6,0)+IF(AND(AO$8&gt;0,AQ22=0),AO$6,0)+IF(AND(AS$8&gt;0,AU22=0),AS$6,0),2)</f>
        <v>50</v>
      </c>
      <c r="F23" s="24">
        <f>ROUND(I23+M23+Q23+U23+Y23+AC23+AG23+AK23+AO23+AS23,2)</f>
        <v>300.59</v>
      </c>
      <c r="G23" s="24">
        <f>ROUND(J23+N23+R23+V23+Z23+AD23+AH23+AL23+AP23+AT23,2)</f>
        <v>36.93</v>
      </c>
      <c r="H23" s="24">
        <f>ROUND(K23+O23+S23+W23+AA23+AE23+AI23+AM23+AQ23+AU23,2)</f>
        <v>6923.43</v>
      </c>
      <c r="I23" s="24">
        <f>IF(K22&gt;0,IF(AND(ROUND(K22+J23-ROUND(I$6+IF(I$5=$C23,$E$5+$E23,0),2),2)&gt;0,ROUND(K22+J23-ROUND(I$6+IF(I$5=$C23,$E$5+$E23,0),2),2)&lt;=L23,ROUND(K22+J23-ROUND(I$6+IF(I$5=$C23,$E$5+$E23,0),2),2)*10&lt;=ROUND(I$6+IF(I$5=$C23,$E$5+$E23,0),2)),ROUND(K22+J23,2),MIN(ROUND(I$6+IF(I$5=$C23,$E$5+$E23,0),2),ROUND(K22+J23,2))),0)</f>
        <v>100.59</v>
      </c>
      <c r="J23" s="24">
        <f>IF(K22&gt;0,ROUND(ROUND(K22*100,0)*ROUND(I$7*10000,0)/12000000,0)/100,0)</f>
        <v>1.49</v>
      </c>
      <c r="K23" s="24">
        <f>IF(K22&gt;0,ROUND(K22+J23-I23,2),0)</f>
        <v>0</v>
      </c>
      <c r="L23" s="24">
        <f>IF(K22&gt;0,ROUND(L22+ROUND(ROUND(L22*100,0)*ROUND(I$7*10000,0)/12000000,0)/100+0.02,2),0)</f>
        <v>0.26</v>
      </c>
      <c r="M23" s="24">
        <f>IF(O22&gt;0,IF(AND(ROUND(O22+N23-ROUND(M$6+IF(M$5=$C23,$E$5+$E23,0),2),2)&gt;0,ROUND(O22+N23-ROUND(M$6+IF(M$5=$C23,$E$5+$E23,0),2),2)&lt;=P23,ROUND(O22+N23-ROUND(M$6+IF(M$5=$C23,$E$5+$E23,0),2),2)*10&lt;=ROUND(M$6+IF(M$5=$C23,$E$5+$E23,0),2)),ROUND(O22+N23,2),MIN(ROUND(M$6+IF(M$5=$C23,$E$5+$E23,0),2),ROUND(O22+N23,2))),0)</f>
        <v>200</v>
      </c>
      <c r="N23" s="24">
        <f>IF(O22&gt;0,ROUND(ROUND(O22*100,0)*ROUND(M$7*10000,0)/12000000,0)/100,0)</f>
        <v>35.44</v>
      </c>
      <c r="O23" s="24">
        <f>IF(O22&gt;0,ROUND(O22+N23-M23,2),0)</f>
        <v>6923.43</v>
      </c>
      <c r="P23" s="24">
        <f>IF(O22&gt;0,ROUND(P22+ROUND(ROUND(P22*100,0)*ROUND(M$7*10000,0)/12000000,0)/100+0.02,2),0)</f>
        <v>0.26</v>
      </c>
      <c r="Q23" s="24">
        <f>IF(S22&gt;0,IF(AND(ROUND(S22+R23-ROUND(Q$6+IF(Q$5=$C23,$E$5+$E23,0),2),2)&gt;0,ROUND(S22+R23-ROUND(Q$6+IF(Q$5=$C23,$E$5+$E23,0),2),2)&lt;=T23,ROUND(S22+R23-ROUND(Q$6+IF(Q$5=$C23,$E$5+$E23,0),2),2)*10&lt;=ROUND(Q$6+IF(Q$5=$C23,$E$5+$E23,0),2)),ROUND(S22+R23,2),MIN(ROUND(Q$6+IF(Q$5=$C23,$E$5+$E23,0),2),ROUND(S22+R23,2))),0)</f>
        <v>0</v>
      </c>
      <c r="R23" s="24">
        <f>IF(S22&gt;0,ROUND(ROUND(S22*100,0)*ROUND(Q$7*10000,0)/12000000,0)/100,0)</f>
        <v>0</v>
      </c>
      <c r="S23" s="24">
        <f>IF(S22&gt;0,ROUND(S22+R23-Q23,2),0)</f>
        <v>0</v>
      </c>
      <c r="T23" s="24">
        <f>IF(S22&gt;0,ROUND(T22+ROUND(ROUND(T22*100,0)*ROUND(Q$7*10000,0)/12000000,0)/100+0.02,2),0)</f>
        <v>0</v>
      </c>
      <c r="U23" s="24">
        <f>IF(W22&gt;0,IF(AND(ROUND(W22+V23-ROUND(U$6+IF(U$5=$C23,$E$5+$E23,0),2),2)&gt;0,ROUND(W22+V23-ROUND(U$6+IF(U$5=$C23,$E$5+$E23,0),2),2)&lt;=X23,ROUND(W22+V23-ROUND(U$6+IF(U$5=$C23,$E$5+$E23,0),2),2)*10&lt;=ROUND(U$6+IF(U$5=$C23,$E$5+$E23,0),2)),ROUND(W22+V23,2),MIN(ROUND(U$6+IF(U$5=$C23,$E$5+$E23,0),2),ROUND(W22+V23,2))),0)</f>
        <v>0</v>
      </c>
      <c r="V23" s="24">
        <f>IF(W22&gt;0,ROUND(ROUND(W22*100,0)*ROUND(U$7*10000,0)/12000000,0)/100,0)</f>
        <v>0</v>
      </c>
      <c r="W23" s="24">
        <f>IF(W22&gt;0,ROUND(W22+V23-U23,2),0)</f>
        <v>0</v>
      </c>
      <c r="X23" s="24">
        <f>IF(W22&gt;0,ROUND(X22+ROUND(ROUND(X22*100,0)*ROUND(U$7*10000,0)/12000000,0)/100+0.02,2),0)</f>
        <v>0</v>
      </c>
      <c r="Y23" s="24">
        <f>IF(AA22&gt;0,IF(AND(ROUND(AA22+Z23-ROUND(Y$6+IF(Y$5=$C23,$E$5+$E23,0),2),2)&gt;0,ROUND(AA22+Z23-ROUND(Y$6+IF(Y$5=$C23,$E$5+$E23,0),2),2)&lt;=AB23,ROUND(AA22+Z23-ROUND(Y$6+IF(Y$5=$C23,$E$5+$E23,0),2),2)*10&lt;=ROUND(Y$6+IF(Y$5=$C23,$E$5+$E23,0),2)),ROUND(AA22+Z23,2),MIN(ROUND(Y$6+IF(Y$5=$C23,$E$5+$E23,0),2),ROUND(AA22+Z23,2))),0)</f>
        <v>0</v>
      </c>
      <c r="Z23" s="24">
        <f>IF(AA22&gt;0,ROUND(ROUND(AA22*100,0)*ROUND(Y$7*10000,0)/12000000,0)/100,0)</f>
        <v>0</v>
      </c>
      <c r="AA23" s="24">
        <f>IF(AA22&gt;0,ROUND(AA22+Z23-Y23,2),0)</f>
        <v>0</v>
      </c>
      <c r="AB23" s="24">
        <f>IF(AA22&gt;0,ROUND(AB22+ROUND(ROUND(AB22*100,0)*ROUND(Y$7*10000,0)/12000000,0)/100+0.02,2),0)</f>
        <v>0</v>
      </c>
      <c r="AC23" s="24">
        <f>IF(AE22&gt;0,IF(AND(ROUND(AE22+AD23-ROUND(AC$6+IF(AC$5=$C23,$E$5+$E23,0),2),2)&gt;0,ROUND(AE22+AD23-ROUND(AC$6+IF(AC$5=$C23,$E$5+$E23,0),2),2)&lt;=AF23,ROUND(AE22+AD23-ROUND(AC$6+IF(AC$5=$C23,$E$5+$E23,0),2),2)*10&lt;=ROUND(AC$6+IF(AC$5=$C23,$E$5+$E23,0),2)),ROUND(AE22+AD23,2),MIN(ROUND(AC$6+IF(AC$5=$C23,$E$5+$E23,0),2),ROUND(AE22+AD23,2))),0)</f>
        <v>0</v>
      </c>
      <c r="AD23" s="24">
        <f>IF(AE22&gt;0,ROUND(ROUND(AE22*100,0)*ROUND(AC$7*10000,0)/12000000,0)/100,0)</f>
        <v>0</v>
      </c>
      <c r="AE23" s="24">
        <f>IF(AE22&gt;0,ROUND(AE22+AD23-AC23,2),0)</f>
        <v>0</v>
      </c>
      <c r="AF23" s="24">
        <f>IF(AE22&gt;0,ROUND(AF22+ROUND(ROUND(AF22*100,0)*ROUND(AC$7*10000,0)/12000000,0)/100+0.02,2),0)</f>
        <v>0</v>
      </c>
      <c r="AG23" s="24">
        <f>IF(AI22&gt;0,IF(AND(ROUND(AI22+AH23-ROUND(AG$6+IF(AG$5=$C23,$E$5+$E23,0),2),2)&gt;0,ROUND(AI22+AH23-ROUND(AG$6+IF(AG$5=$C23,$E$5+$E23,0),2),2)&lt;=AJ23,ROUND(AI22+AH23-ROUND(AG$6+IF(AG$5=$C23,$E$5+$E23,0),2),2)*10&lt;=ROUND(AG$6+IF(AG$5=$C23,$E$5+$E23,0),2)),ROUND(AI22+AH23,2),MIN(ROUND(AG$6+IF(AG$5=$C23,$E$5+$E23,0),2),ROUND(AI22+AH23,2))),0)</f>
        <v>0</v>
      </c>
      <c r="AH23" s="24">
        <f>IF(AI22&gt;0,ROUND(ROUND(AI22*100,0)*ROUND(AG$7*10000,0)/12000000,0)/100,0)</f>
        <v>0</v>
      </c>
      <c r="AI23" s="24">
        <f>IF(AI22&gt;0,ROUND(AI22+AH23-AG23,2),0)</f>
        <v>0</v>
      </c>
      <c r="AJ23" s="24">
        <f>IF(AI22&gt;0,ROUND(AJ22+ROUND(ROUND(AJ22*100,0)*ROUND(AG$7*10000,0)/12000000,0)/100+0.02,2),0)</f>
        <v>0</v>
      </c>
      <c r="AK23" s="24">
        <f>IF(AM22&gt;0,IF(AND(ROUND(AM22+AL23-ROUND(AK$6+IF(AK$5=$C23,$E$5+$E23,0),2),2)&gt;0,ROUND(AM22+AL23-ROUND(AK$6+IF(AK$5=$C23,$E$5+$E23,0),2),2)&lt;=AN23,ROUND(AM22+AL23-ROUND(AK$6+IF(AK$5=$C23,$E$5+$E23,0),2),2)*10&lt;=ROUND(AK$6+IF(AK$5=$C23,$E$5+$E23,0),2)),ROUND(AM22+AL23,2),MIN(ROUND(AK$6+IF(AK$5=$C23,$E$5+$E23,0),2),ROUND(AM22+AL23,2))),0)</f>
        <v>0</v>
      </c>
      <c r="AL23" s="24">
        <f>IF(AM22&gt;0,ROUND(ROUND(AM22*100,0)*ROUND(AK$7*10000,0)/12000000,0)/100,0)</f>
        <v>0</v>
      </c>
      <c r="AM23" s="24">
        <f>IF(AM22&gt;0,ROUND(AM22+AL23-AK23,2),0)</f>
        <v>0</v>
      </c>
      <c r="AN23" s="24">
        <f>IF(AM22&gt;0,ROUND(AN22+ROUND(ROUND(AN22*100,0)*ROUND(AK$7*10000,0)/12000000,0)/100+0.02,2),0)</f>
        <v>0</v>
      </c>
      <c r="AO23" s="24">
        <f>IF(AQ22&gt;0,IF(AND(ROUND(AQ22+AP23-ROUND(AO$6+IF(AO$5=$C23,$E$5+$E23,0),2),2)&gt;0,ROUND(AQ22+AP23-ROUND(AO$6+IF(AO$5=$C23,$E$5+$E23,0),2),2)&lt;=AR23,ROUND(AQ22+AP23-ROUND(AO$6+IF(AO$5=$C23,$E$5+$E23,0),2),2)*10&lt;=ROUND(AO$6+IF(AO$5=$C23,$E$5+$E23,0),2)),ROUND(AQ22+AP23,2),MIN(ROUND(AO$6+IF(AO$5=$C23,$E$5+$E23,0),2),ROUND(AQ22+AP23,2))),0)</f>
        <v>0</v>
      </c>
      <c r="AP23" s="24">
        <f>IF(AQ22&gt;0,ROUND(ROUND(AQ22*100,0)*ROUND(AO$7*10000,0)/12000000,0)/100,0)</f>
        <v>0</v>
      </c>
      <c r="AQ23" s="24">
        <f>IF(AQ22&gt;0,ROUND(AQ22+AP23-AO23,2),0)</f>
        <v>0</v>
      </c>
      <c r="AR23" s="24">
        <f>IF(AQ22&gt;0,ROUND(AR22+ROUND(ROUND(AR22*100,0)*ROUND(AO$7*10000,0)/12000000,0)/100+0.02,2),0)</f>
        <v>0</v>
      </c>
      <c r="AS23" s="24">
        <f>IF(AU22&gt;0,IF(AND(ROUND(AU22+AT23-ROUND(AS$6+IF(AS$5=$C23,$E$5+$E23,0),2),2)&gt;0,ROUND(AU22+AT23-ROUND(AS$6+IF(AS$5=$C23,$E$5+$E23,0),2),2)&lt;=AV23,ROUND(AU22+AT23-ROUND(AS$6+IF(AS$5=$C23,$E$5+$E23,0),2),2)*10&lt;=ROUND(AS$6+IF(AS$5=$C23,$E$5+$E23,0),2)),ROUND(AU22+AT23,2),MIN(ROUND(AS$6+IF(AS$5=$C23,$E$5+$E23,0),2),ROUND(AU22+AT23,2))),0)</f>
        <v>0</v>
      </c>
      <c r="AT23" s="24">
        <f>IF(AU22&gt;0,ROUND(ROUND(AU22*100,0)*ROUND(AS$7*10000,0)/12000000,0)/100,0)</f>
        <v>0</v>
      </c>
      <c r="AU23" s="24">
        <f>IF(AU22&gt;0,ROUND(AU22+AT23-AS23,2),0)</f>
        <v>0</v>
      </c>
      <c r="AV23" s="24">
        <f>IF(AU22&gt;0,ROUND(AV22+ROUND(ROUND(AV22*100,0)*ROUND(AS$7*10000,0)/12000000,0)/100+0.02,2),0)</f>
        <v>0</v>
      </c>
    </row>
    <row r="24" spans="1:48" x14ac:dyDescent="0.25">
      <c r="A24" s="17">
        <f>IF(F24&gt;0,14,"")</f>
        <v>14</v>
      </c>
      <c r="B24" s="18">
        <f>IF(F24&gt;0,EDATE($E$6,14),"")</f>
        <v>46758</v>
      </c>
      <c r="C24" s="21">
        <f>IF(H23&gt;0,MIN(IF(K23&gt;0,I$5,99),IF(O23&gt;0,M$5,99),IF(S23&gt;0,Q$5,99),IF(W23&gt;0,U$5,99),IF(AA23&gt;0,Y$5,99),IF(AE23&gt;0,AC$5,99),IF(AI23&gt;0,AG$5,99),IF(AM23&gt;0,AK$5,99),IF(AQ23&gt;0,AO$5,99),IF(AU23&gt;0,AS$5,99)),0)</f>
        <v>3</v>
      </c>
      <c r="D24" t="str">
        <f>IF(C24&gt;0,INDEX($I$4:$AV$4,1,MATCH(C24,$I$5:$AV$5,0)),"")</f>
        <v>Préstamo de coche</v>
      </c>
      <c r="E24" s="24">
        <f>ROUND(IF(AND(I$8&gt;0,K23=0),I$6,0)+IF(AND(M$8&gt;0,O23=0),M$6,0)+IF(AND(Q$8&gt;0,S23=0),Q$6,0)+IF(AND(U$8&gt;0,W23=0),U$6,0)+IF(AND(Y$8&gt;0,AA23=0),Y$6,0)+IF(AND(AC$8&gt;0,AE23=0),AC$6,0)+IF(AND(AG$8&gt;0,AI23=0),AG$6,0)+IF(AND(AK$8&gt;0,AM23=0),AK$6,0)+IF(AND(AO$8&gt;0,AQ23=0),AO$6,0)+IF(AND(AS$8&gt;0,AU23=0),AS$6,0),2)</f>
        <v>125</v>
      </c>
      <c r="F24" s="24">
        <f>ROUND(I24+M24+Q24+U24+Y24+AC24+AG24+AK24+AO24+AS24,2)</f>
        <v>475</v>
      </c>
      <c r="G24" s="24">
        <f>ROUND(J24+N24+R24+V24+Z24+AD24+AH24+AL24+AP24+AT24,2)</f>
        <v>34.62</v>
      </c>
      <c r="H24" s="24">
        <f>ROUND(K24+O24+S24+W24+AA24+AE24+AI24+AM24+AQ24+AU24,2)</f>
        <v>6483.05</v>
      </c>
      <c r="I24" s="24">
        <f>IF(K23&gt;0,IF(AND(ROUND(K23+J24-ROUND(I$6+IF(I$5=$C24,$E$5+$E24,0),2),2)&gt;0,ROUND(K23+J24-ROUND(I$6+IF(I$5=$C24,$E$5+$E24,0),2),2)&lt;=L24,ROUND(K23+J24-ROUND(I$6+IF(I$5=$C24,$E$5+$E24,0),2),2)*10&lt;=ROUND(I$6+IF(I$5=$C24,$E$5+$E24,0),2)),ROUND(K23+J24,2),MIN(ROUND(I$6+IF(I$5=$C24,$E$5+$E24,0),2),ROUND(K23+J24,2))),0)</f>
        <v>0</v>
      </c>
      <c r="J24" s="24">
        <f>IF(K23&gt;0,ROUND(ROUND(K23*100,0)*ROUND(I$7*10000,0)/12000000,0)/100,0)</f>
        <v>0</v>
      </c>
      <c r="K24" s="24">
        <f>IF(K23&gt;0,ROUND(K23+J24-I24,2),0)</f>
        <v>0</v>
      </c>
      <c r="L24" s="24">
        <f>IF(K23&gt;0,ROUND(L23+ROUND(ROUND(L23*100,0)*ROUND(I$7*10000,0)/12000000,0)/100+0.02,2),0)</f>
        <v>0</v>
      </c>
      <c r="M24" s="24">
        <f>IF(O23&gt;0,IF(AND(ROUND(O23+N24-ROUND(M$6+IF(M$5=$C24,$E$5+$E24,0),2),2)&gt;0,ROUND(O23+N24-ROUND(M$6+IF(M$5=$C24,$E$5+$E24,0),2),2)&lt;=P24,ROUND(O23+N24-ROUND(M$6+IF(M$5=$C24,$E$5+$E24,0),2),2)*10&lt;=ROUND(M$6+IF(M$5=$C24,$E$5+$E24,0),2)),ROUND(O23+N24,2),MIN(ROUND(M$6+IF(M$5=$C24,$E$5+$E24,0),2),ROUND(O23+N24,2))),0)</f>
        <v>475</v>
      </c>
      <c r="N24" s="24">
        <f>IF(O23&gt;0,ROUND(ROUND(O23*100,0)*ROUND(M$7*10000,0)/12000000,0)/100,0)</f>
        <v>34.62</v>
      </c>
      <c r="O24" s="24">
        <f>IF(O23&gt;0,ROUND(O23+N24-M24,2),0)</f>
        <v>6483.05</v>
      </c>
      <c r="P24" s="24">
        <f>IF(O23&gt;0,ROUND(P23+ROUND(ROUND(P23*100,0)*ROUND(M$7*10000,0)/12000000,0)/100+0.02,2),0)</f>
        <v>0.28</v>
      </c>
      <c r="Q24" s="24">
        <f>IF(S23&gt;0,IF(AND(ROUND(S23+R24-ROUND(Q$6+IF(Q$5=$C24,$E$5+$E24,0),2),2)&gt;0,ROUND(S23+R24-ROUND(Q$6+IF(Q$5=$C24,$E$5+$E24,0),2),2)&lt;=T24,ROUND(S23+R24-ROUND(Q$6+IF(Q$5=$C24,$E$5+$E24,0),2),2)*10&lt;=ROUND(Q$6+IF(Q$5=$C24,$E$5+$E24,0),2)),ROUND(S23+R24,2),MIN(ROUND(Q$6+IF(Q$5=$C24,$E$5+$E24,0),2),ROUND(S23+R24,2))),0)</f>
        <v>0</v>
      </c>
      <c r="R24" s="24">
        <f>IF(S23&gt;0,ROUND(ROUND(S23*100,0)*ROUND(Q$7*10000,0)/12000000,0)/100,0)</f>
        <v>0</v>
      </c>
      <c r="S24" s="24">
        <f>IF(S23&gt;0,ROUND(S23+R24-Q24,2),0)</f>
        <v>0</v>
      </c>
      <c r="T24" s="24">
        <f>IF(S23&gt;0,ROUND(T23+ROUND(ROUND(T23*100,0)*ROUND(Q$7*10000,0)/12000000,0)/100+0.02,2),0)</f>
        <v>0</v>
      </c>
      <c r="U24" s="24">
        <f>IF(W23&gt;0,IF(AND(ROUND(W23+V24-ROUND(U$6+IF(U$5=$C24,$E$5+$E24,0),2),2)&gt;0,ROUND(W23+V24-ROUND(U$6+IF(U$5=$C24,$E$5+$E24,0),2),2)&lt;=X24,ROUND(W23+V24-ROUND(U$6+IF(U$5=$C24,$E$5+$E24,0),2),2)*10&lt;=ROUND(U$6+IF(U$5=$C24,$E$5+$E24,0),2)),ROUND(W23+V24,2),MIN(ROUND(U$6+IF(U$5=$C24,$E$5+$E24,0),2),ROUND(W23+V24,2))),0)</f>
        <v>0</v>
      </c>
      <c r="V24" s="24">
        <f>IF(W23&gt;0,ROUND(ROUND(W23*100,0)*ROUND(U$7*10000,0)/12000000,0)/100,0)</f>
        <v>0</v>
      </c>
      <c r="W24" s="24">
        <f>IF(W23&gt;0,ROUND(W23+V24-U24,2),0)</f>
        <v>0</v>
      </c>
      <c r="X24" s="24">
        <f>IF(W23&gt;0,ROUND(X23+ROUND(ROUND(X23*100,0)*ROUND(U$7*10000,0)/12000000,0)/100+0.02,2),0)</f>
        <v>0</v>
      </c>
      <c r="Y24" s="24">
        <f>IF(AA23&gt;0,IF(AND(ROUND(AA23+Z24-ROUND(Y$6+IF(Y$5=$C24,$E$5+$E24,0),2),2)&gt;0,ROUND(AA23+Z24-ROUND(Y$6+IF(Y$5=$C24,$E$5+$E24,0),2),2)&lt;=AB24,ROUND(AA23+Z24-ROUND(Y$6+IF(Y$5=$C24,$E$5+$E24,0),2),2)*10&lt;=ROUND(Y$6+IF(Y$5=$C24,$E$5+$E24,0),2)),ROUND(AA23+Z24,2),MIN(ROUND(Y$6+IF(Y$5=$C24,$E$5+$E24,0),2),ROUND(AA23+Z24,2))),0)</f>
        <v>0</v>
      </c>
      <c r="Z24" s="24">
        <f>IF(AA23&gt;0,ROUND(ROUND(AA23*100,0)*ROUND(Y$7*10000,0)/12000000,0)/100,0)</f>
        <v>0</v>
      </c>
      <c r="AA24" s="24">
        <f>IF(AA23&gt;0,ROUND(AA23+Z24-Y24,2),0)</f>
        <v>0</v>
      </c>
      <c r="AB24" s="24">
        <f>IF(AA23&gt;0,ROUND(AB23+ROUND(ROUND(AB23*100,0)*ROUND(Y$7*10000,0)/12000000,0)/100+0.02,2),0)</f>
        <v>0</v>
      </c>
      <c r="AC24" s="24">
        <f>IF(AE23&gt;0,IF(AND(ROUND(AE23+AD24-ROUND(AC$6+IF(AC$5=$C24,$E$5+$E24,0),2),2)&gt;0,ROUND(AE23+AD24-ROUND(AC$6+IF(AC$5=$C24,$E$5+$E24,0),2),2)&lt;=AF24,ROUND(AE23+AD24-ROUND(AC$6+IF(AC$5=$C24,$E$5+$E24,0),2),2)*10&lt;=ROUND(AC$6+IF(AC$5=$C24,$E$5+$E24,0),2)),ROUND(AE23+AD24,2),MIN(ROUND(AC$6+IF(AC$5=$C24,$E$5+$E24,0),2),ROUND(AE23+AD24,2))),0)</f>
        <v>0</v>
      </c>
      <c r="AD24" s="24">
        <f>IF(AE23&gt;0,ROUND(ROUND(AE23*100,0)*ROUND(AC$7*10000,0)/12000000,0)/100,0)</f>
        <v>0</v>
      </c>
      <c r="AE24" s="24">
        <f>IF(AE23&gt;0,ROUND(AE23+AD24-AC24,2),0)</f>
        <v>0</v>
      </c>
      <c r="AF24" s="24">
        <f>IF(AE23&gt;0,ROUND(AF23+ROUND(ROUND(AF23*100,0)*ROUND(AC$7*10000,0)/12000000,0)/100+0.02,2),0)</f>
        <v>0</v>
      </c>
      <c r="AG24" s="24">
        <f>IF(AI23&gt;0,IF(AND(ROUND(AI23+AH24-ROUND(AG$6+IF(AG$5=$C24,$E$5+$E24,0),2),2)&gt;0,ROUND(AI23+AH24-ROUND(AG$6+IF(AG$5=$C24,$E$5+$E24,0),2),2)&lt;=AJ24,ROUND(AI23+AH24-ROUND(AG$6+IF(AG$5=$C24,$E$5+$E24,0),2),2)*10&lt;=ROUND(AG$6+IF(AG$5=$C24,$E$5+$E24,0),2)),ROUND(AI23+AH24,2),MIN(ROUND(AG$6+IF(AG$5=$C24,$E$5+$E24,0),2),ROUND(AI23+AH24,2))),0)</f>
        <v>0</v>
      </c>
      <c r="AH24" s="24">
        <f>IF(AI23&gt;0,ROUND(ROUND(AI23*100,0)*ROUND(AG$7*10000,0)/12000000,0)/100,0)</f>
        <v>0</v>
      </c>
      <c r="AI24" s="24">
        <f>IF(AI23&gt;0,ROUND(AI23+AH24-AG24,2),0)</f>
        <v>0</v>
      </c>
      <c r="AJ24" s="24">
        <f>IF(AI23&gt;0,ROUND(AJ23+ROUND(ROUND(AJ23*100,0)*ROUND(AG$7*10000,0)/12000000,0)/100+0.02,2),0)</f>
        <v>0</v>
      </c>
      <c r="AK24" s="24">
        <f>IF(AM23&gt;0,IF(AND(ROUND(AM23+AL24-ROUND(AK$6+IF(AK$5=$C24,$E$5+$E24,0),2),2)&gt;0,ROUND(AM23+AL24-ROUND(AK$6+IF(AK$5=$C24,$E$5+$E24,0),2),2)&lt;=AN24,ROUND(AM23+AL24-ROUND(AK$6+IF(AK$5=$C24,$E$5+$E24,0),2),2)*10&lt;=ROUND(AK$6+IF(AK$5=$C24,$E$5+$E24,0),2)),ROUND(AM23+AL24,2),MIN(ROUND(AK$6+IF(AK$5=$C24,$E$5+$E24,0),2),ROUND(AM23+AL24,2))),0)</f>
        <v>0</v>
      </c>
      <c r="AL24" s="24">
        <f>IF(AM23&gt;0,ROUND(ROUND(AM23*100,0)*ROUND(AK$7*10000,0)/12000000,0)/100,0)</f>
        <v>0</v>
      </c>
      <c r="AM24" s="24">
        <f>IF(AM23&gt;0,ROUND(AM23+AL24-AK24,2),0)</f>
        <v>0</v>
      </c>
      <c r="AN24" s="24">
        <f>IF(AM23&gt;0,ROUND(AN23+ROUND(ROUND(AN23*100,0)*ROUND(AK$7*10000,0)/12000000,0)/100+0.02,2),0)</f>
        <v>0</v>
      </c>
      <c r="AO24" s="24">
        <f>IF(AQ23&gt;0,IF(AND(ROUND(AQ23+AP24-ROUND(AO$6+IF(AO$5=$C24,$E$5+$E24,0),2),2)&gt;0,ROUND(AQ23+AP24-ROUND(AO$6+IF(AO$5=$C24,$E$5+$E24,0),2),2)&lt;=AR24,ROUND(AQ23+AP24-ROUND(AO$6+IF(AO$5=$C24,$E$5+$E24,0),2),2)*10&lt;=ROUND(AO$6+IF(AO$5=$C24,$E$5+$E24,0),2)),ROUND(AQ23+AP24,2),MIN(ROUND(AO$6+IF(AO$5=$C24,$E$5+$E24,0),2),ROUND(AQ23+AP24,2))),0)</f>
        <v>0</v>
      </c>
      <c r="AP24" s="24">
        <f>IF(AQ23&gt;0,ROUND(ROUND(AQ23*100,0)*ROUND(AO$7*10000,0)/12000000,0)/100,0)</f>
        <v>0</v>
      </c>
      <c r="AQ24" s="24">
        <f>IF(AQ23&gt;0,ROUND(AQ23+AP24-AO24,2),0)</f>
        <v>0</v>
      </c>
      <c r="AR24" s="24">
        <f>IF(AQ23&gt;0,ROUND(AR23+ROUND(ROUND(AR23*100,0)*ROUND(AO$7*10000,0)/12000000,0)/100+0.02,2),0)</f>
        <v>0</v>
      </c>
      <c r="AS24" s="24">
        <f>IF(AU23&gt;0,IF(AND(ROUND(AU23+AT24-ROUND(AS$6+IF(AS$5=$C24,$E$5+$E24,0),2),2)&gt;0,ROUND(AU23+AT24-ROUND(AS$6+IF(AS$5=$C24,$E$5+$E24,0),2),2)&lt;=AV24,ROUND(AU23+AT24-ROUND(AS$6+IF(AS$5=$C24,$E$5+$E24,0),2),2)*10&lt;=ROUND(AS$6+IF(AS$5=$C24,$E$5+$E24,0),2)),ROUND(AU23+AT24,2),MIN(ROUND(AS$6+IF(AS$5=$C24,$E$5+$E24,0),2),ROUND(AU23+AT24,2))),0)</f>
        <v>0</v>
      </c>
      <c r="AT24" s="24">
        <f>IF(AU23&gt;0,ROUND(ROUND(AU23*100,0)*ROUND(AS$7*10000,0)/12000000,0)/100,0)</f>
        <v>0</v>
      </c>
      <c r="AU24" s="24">
        <f>IF(AU23&gt;0,ROUND(AU23+AT24-AS24,2),0)</f>
        <v>0</v>
      </c>
      <c r="AV24" s="24">
        <f>IF(AU23&gt;0,ROUND(AV23+ROUND(ROUND(AV23*100,0)*ROUND(AS$7*10000,0)/12000000,0)/100+0.02,2),0)</f>
        <v>0</v>
      </c>
    </row>
    <row r="25" spans="1:48" x14ac:dyDescent="0.25">
      <c r="A25" s="17">
        <f>IF(F25&gt;0,15,"")</f>
        <v>15</v>
      </c>
      <c r="B25" s="18">
        <f>IF(F25&gt;0,EDATE($E$6,15),"")</f>
        <v>46789</v>
      </c>
      <c r="C25" s="21">
        <f>IF(H24&gt;0,MIN(IF(K24&gt;0,I$5,99),IF(O24&gt;0,M$5,99),IF(S24&gt;0,Q$5,99),IF(W24&gt;0,U$5,99),IF(AA24&gt;0,Y$5,99),IF(AE24&gt;0,AC$5,99),IF(AI24&gt;0,AG$5,99),IF(AM24&gt;0,AK$5,99),IF(AQ24&gt;0,AO$5,99),IF(AU24&gt;0,AS$5,99)),0)</f>
        <v>3</v>
      </c>
      <c r="D25" t="str">
        <f>IF(C25&gt;0,INDEX($I$4:$AV$4,1,MATCH(C25,$I$5:$AV$5,0)),"")</f>
        <v>Préstamo de coche</v>
      </c>
      <c r="E25" s="24">
        <f>ROUND(IF(AND(I$8&gt;0,K24=0),I$6,0)+IF(AND(M$8&gt;0,O24=0),M$6,0)+IF(AND(Q$8&gt;0,S24=0),Q$6,0)+IF(AND(U$8&gt;0,W24=0),U$6,0)+IF(AND(Y$8&gt;0,AA24=0),Y$6,0)+IF(AND(AC$8&gt;0,AE24=0),AC$6,0)+IF(AND(AG$8&gt;0,AI24=0),AG$6,0)+IF(AND(AK$8&gt;0,AM24=0),AK$6,0)+IF(AND(AO$8&gt;0,AQ24=0),AO$6,0)+IF(AND(AS$8&gt;0,AU24=0),AS$6,0),2)</f>
        <v>125</v>
      </c>
      <c r="F25" s="24">
        <f>ROUND(I25+M25+Q25+U25+Y25+AC25+AG25+AK25+AO25+AS25,2)</f>
        <v>475</v>
      </c>
      <c r="G25" s="24">
        <f>ROUND(J25+N25+R25+V25+Z25+AD25+AH25+AL25+AP25+AT25,2)</f>
        <v>32.42</v>
      </c>
      <c r="H25" s="24">
        <f>ROUND(K25+O25+S25+W25+AA25+AE25+AI25+AM25+AQ25+AU25,2)</f>
        <v>6040.47</v>
      </c>
      <c r="I25" s="24">
        <f>IF(K24&gt;0,IF(AND(ROUND(K24+J25-ROUND(I$6+IF(I$5=$C25,$E$5+$E25,0),2),2)&gt;0,ROUND(K24+J25-ROUND(I$6+IF(I$5=$C25,$E$5+$E25,0),2),2)&lt;=L25,ROUND(K24+J25-ROUND(I$6+IF(I$5=$C25,$E$5+$E25,0),2),2)*10&lt;=ROUND(I$6+IF(I$5=$C25,$E$5+$E25,0),2)),ROUND(K24+J25,2),MIN(ROUND(I$6+IF(I$5=$C25,$E$5+$E25,0),2),ROUND(K24+J25,2))),0)</f>
        <v>0</v>
      </c>
      <c r="J25" s="24">
        <f>IF(K24&gt;0,ROUND(ROUND(K24*100,0)*ROUND(I$7*10000,0)/12000000,0)/100,0)</f>
        <v>0</v>
      </c>
      <c r="K25" s="24">
        <f>IF(K24&gt;0,ROUND(K24+J25-I25,2),0)</f>
        <v>0</v>
      </c>
      <c r="L25" s="24">
        <f>IF(K24&gt;0,ROUND(L24+ROUND(ROUND(L24*100,0)*ROUND(I$7*10000,0)/12000000,0)/100+0.02,2),0)</f>
        <v>0</v>
      </c>
      <c r="M25" s="24">
        <f>IF(O24&gt;0,IF(AND(ROUND(O24+N25-ROUND(M$6+IF(M$5=$C25,$E$5+$E25,0),2),2)&gt;0,ROUND(O24+N25-ROUND(M$6+IF(M$5=$C25,$E$5+$E25,0),2),2)&lt;=P25,ROUND(O24+N25-ROUND(M$6+IF(M$5=$C25,$E$5+$E25,0),2),2)*10&lt;=ROUND(M$6+IF(M$5=$C25,$E$5+$E25,0),2)),ROUND(O24+N25,2),MIN(ROUND(M$6+IF(M$5=$C25,$E$5+$E25,0),2),ROUND(O24+N25,2))),0)</f>
        <v>475</v>
      </c>
      <c r="N25" s="24">
        <f>IF(O24&gt;0,ROUND(ROUND(O24*100,0)*ROUND(M$7*10000,0)/12000000,0)/100,0)</f>
        <v>32.42</v>
      </c>
      <c r="O25" s="24">
        <f>IF(O24&gt;0,ROUND(O24+N25-M25,2),0)</f>
        <v>6040.47</v>
      </c>
      <c r="P25" s="24">
        <f>IF(O24&gt;0,ROUND(P24+ROUND(ROUND(P24*100,0)*ROUND(M$7*10000,0)/12000000,0)/100+0.02,2),0)</f>
        <v>0.3</v>
      </c>
      <c r="Q25" s="24">
        <f>IF(S24&gt;0,IF(AND(ROUND(S24+R25-ROUND(Q$6+IF(Q$5=$C25,$E$5+$E25,0),2),2)&gt;0,ROUND(S24+R25-ROUND(Q$6+IF(Q$5=$C25,$E$5+$E25,0),2),2)&lt;=T25,ROUND(S24+R25-ROUND(Q$6+IF(Q$5=$C25,$E$5+$E25,0),2),2)*10&lt;=ROUND(Q$6+IF(Q$5=$C25,$E$5+$E25,0),2)),ROUND(S24+R25,2),MIN(ROUND(Q$6+IF(Q$5=$C25,$E$5+$E25,0),2),ROUND(S24+R25,2))),0)</f>
        <v>0</v>
      </c>
      <c r="R25" s="24">
        <f>IF(S24&gt;0,ROUND(ROUND(S24*100,0)*ROUND(Q$7*10000,0)/12000000,0)/100,0)</f>
        <v>0</v>
      </c>
      <c r="S25" s="24">
        <f>IF(S24&gt;0,ROUND(S24+R25-Q25,2),0)</f>
        <v>0</v>
      </c>
      <c r="T25" s="24">
        <f>IF(S24&gt;0,ROUND(T24+ROUND(ROUND(T24*100,0)*ROUND(Q$7*10000,0)/12000000,0)/100+0.02,2),0)</f>
        <v>0</v>
      </c>
      <c r="U25" s="24">
        <f>IF(W24&gt;0,IF(AND(ROUND(W24+V25-ROUND(U$6+IF(U$5=$C25,$E$5+$E25,0),2),2)&gt;0,ROUND(W24+V25-ROUND(U$6+IF(U$5=$C25,$E$5+$E25,0),2),2)&lt;=X25,ROUND(W24+V25-ROUND(U$6+IF(U$5=$C25,$E$5+$E25,0),2),2)*10&lt;=ROUND(U$6+IF(U$5=$C25,$E$5+$E25,0),2)),ROUND(W24+V25,2),MIN(ROUND(U$6+IF(U$5=$C25,$E$5+$E25,0),2),ROUND(W24+V25,2))),0)</f>
        <v>0</v>
      </c>
      <c r="V25" s="24">
        <f>IF(W24&gt;0,ROUND(ROUND(W24*100,0)*ROUND(U$7*10000,0)/12000000,0)/100,0)</f>
        <v>0</v>
      </c>
      <c r="W25" s="24">
        <f>IF(W24&gt;0,ROUND(W24+V25-U25,2),0)</f>
        <v>0</v>
      </c>
      <c r="X25" s="24">
        <f>IF(W24&gt;0,ROUND(X24+ROUND(ROUND(X24*100,0)*ROUND(U$7*10000,0)/12000000,0)/100+0.02,2),0)</f>
        <v>0</v>
      </c>
      <c r="Y25" s="24">
        <f>IF(AA24&gt;0,IF(AND(ROUND(AA24+Z25-ROUND(Y$6+IF(Y$5=$C25,$E$5+$E25,0),2),2)&gt;0,ROUND(AA24+Z25-ROUND(Y$6+IF(Y$5=$C25,$E$5+$E25,0),2),2)&lt;=AB25,ROUND(AA24+Z25-ROUND(Y$6+IF(Y$5=$C25,$E$5+$E25,0),2),2)*10&lt;=ROUND(Y$6+IF(Y$5=$C25,$E$5+$E25,0),2)),ROUND(AA24+Z25,2),MIN(ROUND(Y$6+IF(Y$5=$C25,$E$5+$E25,0),2),ROUND(AA24+Z25,2))),0)</f>
        <v>0</v>
      </c>
      <c r="Z25" s="24">
        <f>IF(AA24&gt;0,ROUND(ROUND(AA24*100,0)*ROUND(Y$7*10000,0)/12000000,0)/100,0)</f>
        <v>0</v>
      </c>
      <c r="AA25" s="24">
        <f>IF(AA24&gt;0,ROUND(AA24+Z25-Y25,2),0)</f>
        <v>0</v>
      </c>
      <c r="AB25" s="24">
        <f>IF(AA24&gt;0,ROUND(AB24+ROUND(ROUND(AB24*100,0)*ROUND(Y$7*10000,0)/12000000,0)/100+0.02,2),0)</f>
        <v>0</v>
      </c>
      <c r="AC25" s="24">
        <f>IF(AE24&gt;0,IF(AND(ROUND(AE24+AD25-ROUND(AC$6+IF(AC$5=$C25,$E$5+$E25,0),2),2)&gt;0,ROUND(AE24+AD25-ROUND(AC$6+IF(AC$5=$C25,$E$5+$E25,0),2),2)&lt;=AF25,ROUND(AE24+AD25-ROUND(AC$6+IF(AC$5=$C25,$E$5+$E25,0),2),2)*10&lt;=ROUND(AC$6+IF(AC$5=$C25,$E$5+$E25,0),2)),ROUND(AE24+AD25,2),MIN(ROUND(AC$6+IF(AC$5=$C25,$E$5+$E25,0),2),ROUND(AE24+AD25,2))),0)</f>
        <v>0</v>
      </c>
      <c r="AD25" s="24">
        <f>IF(AE24&gt;0,ROUND(ROUND(AE24*100,0)*ROUND(AC$7*10000,0)/12000000,0)/100,0)</f>
        <v>0</v>
      </c>
      <c r="AE25" s="24">
        <f>IF(AE24&gt;0,ROUND(AE24+AD25-AC25,2),0)</f>
        <v>0</v>
      </c>
      <c r="AF25" s="24">
        <f>IF(AE24&gt;0,ROUND(AF24+ROUND(ROUND(AF24*100,0)*ROUND(AC$7*10000,0)/12000000,0)/100+0.02,2),0)</f>
        <v>0</v>
      </c>
      <c r="AG25" s="24">
        <f>IF(AI24&gt;0,IF(AND(ROUND(AI24+AH25-ROUND(AG$6+IF(AG$5=$C25,$E$5+$E25,0),2),2)&gt;0,ROUND(AI24+AH25-ROUND(AG$6+IF(AG$5=$C25,$E$5+$E25,0),2),2)&lt;=AJ25,ROUND(AI24+AH25-ROUND(AG$6+IF(AG$5=$C25,$E$5+$E25,0),2),2)*10&lt;=ROUND(AG$6+IF(AG$5=$C25,$E$5+$E25,0),2)),ROUND(AI24+AH25,2),MIN(ROUND(AG$6+IF(AG$5=$C25,$E$5+$E25,0),2),ROUND(AI24+AH25,2))),0)</f>
        <v>0</v>
      </c>
      <c r="AH25" s="24">
        <f>IF(AI24&gt;0,ROUND(ROUND(AI24*100,0)*ROUND(AG$7*10000,0)/12000000,0)/100,0)</f>
        <v>0</v>
      </c>
      <c r="AI25" s="24">
        <f>IF(AI24&gt;0,ROUND(AI24+AH25-AG25,2),0)</f>
        <v>0</v>
      </c>
      <c r="AJ25" s="24">
        <f>IF(AI24&gt;0,ROUND(AJ24+ROUND(ROUND(AJ24*100,0)*ROUND(AG$7*10000,0)/12000000,0)/100+0.02,2),0)</f>
        <v>0</v>
      </c>
      <c r="AK25" s="24">
        <f>IF(AM24&gt;0,IF(AND(ROUND(AM24+AL25-ROUND(AK$6+IF(AK$5=$C25,$E$5+$E25,0),2),2)&gt;0,ROUND(AM24+AL25-ROUND(AK$6+IF(AK$5=$C25,$E$5+$E25,0),2),2)&lt;=AN25,ROUND(AM24+AL25-ROUND(AK$6+IF(AK$5=$C25,$E$5+$E25,0),2),2)*10&lt;=ROUND(AK$6+IF(AK$5=$C25,$E$5+$E25,0),2)),ROUND(AM24+AL25,2),MIN(ROUND(AK$6+IF(AK$5=$C25,$E$5+$E25,0),2),ROUND(AM24+AL25,2))),0)</f>
        <v>0</v>
      </c>
      <c r="AL25" s="24">
        <f>IF(AM24&gt;0,ROUND(ROUND(AM24*100,0)*ROUND(AK$7*10000,0)/12000000,0)/100,0)</f>
        <v>0</v>
      </c>
      <c r="AM25" s="24">
        <f>IF(AM24&gt;0,ROUND(AM24+AL25-AK25,2),0)</f>
        <v>0</v>
      </c>
      <c r="AN25" s="24">
        <f>IF(AM24&gt;0,ROUND(AN24+ROUND(ROUND(AN24*100,0)*ROUND(AK$7*10000,0)/12000000,0)/100+0.02,2),0)</f>
        <v>0</v>
      </c>
      <c r="AO25" s="24">
        <f>IF(AQ24&gt;0,IF(AND(ROUND(AQ24+AP25-ROUND(AO$6+IF(AO$5=$C25,$E$5+$E25,0),2),2)&gt;0,ROUND(AQ24+AP25-ROUND(AO$6+IF(AO$5=$C25,$E$5+$E25,0),2),2)&lt;=AR25,ROUND(AQ24+AP25-ROUND(AO$6+IF(AO$5=$C25,$E$5+$E25,0),2),2)*10&lt;=ROUND(AO$6+IF(AO$5=$C25,$E$5+$E25,0),2)),ROUND(AQ24+AP25,2),MIN(ROUND(AO$6+IF(AO$5=$C25,$E$5+$E25,0),2),ROUND(AQ24+AP25,2))),0)</f>
        <v>0</v>
      </c>
      <c r="AP25" s="24">
        <f>IF(AQ24&gt;0,ROUND(ROUND(AQ24*100,0)*ROUND(AO$7*10000,0)/12000000,0)/100,0)</f>
        <v>0</v>
      </c>
      <c r="AQ25" s="24">
        <f>IF(AQ24&gt;0,ROUND(AQ24+AP25-AO25,2),0)</f>
        <v>0</v>
      </c>
      <c r="AR25" s="24">
        <f>IF(AQ24&gt;0,ROUND(AR24+ROUND(ROUND(AR24*100,0)*ROUND(AO$7*10000,0)/12000000,0)/100+0.02,2),0)</f>
        <v>0</v>
      </c>
      <c r="AS25" s="24">
        <f>IF(AU24&gt;0,IF(AND(ROUND(AU24+AT25-ROUND(AS$6+IF(AS$5=$C25,$E$5+$E25,0),2),2)&gt;0,ROUND(AU24+AT25-ROUND(AS$6+IF(AS$5=$C25,$E$5+$E25,0),2),2)&lt;=AV25,ROUND(AU24+AT25-ROUND(AS$6+IF(AS$5=$C25,$E$5+$E25,0),2),2)*10&lt;=ROUND(AS$6+IF(AS$5=$C25,$E$5+$E25,0),2)),ROUND(AU24+AT25,2),MIN(ROUND(AS$6+IF(AS$5=$C25,$E$5+$E25,0),2),ROUND(AU24+AT25,2))),0)</f>
        <v>0</v>
      </c>
      <c r="AT25" s="24">
        <f>IF(AU24&gt;0,ROUND(ROUND(AU24*100,0)*ROUND(AS$7*10000,0)/12000000,0)/100,0)</f>
        <v>0</v>
      </c>
      <c r="AU25" s="24">
        <f>IF(AU24&gt;0,ROUND(AU24+AT25-AS25,2),0)</f>
        <v>0</v>
      </c>
      <c r="AV25" s="24">
        <f>IF(AU24&gt;0,ROUND(AV24+ROUND(ROUND(AV24*100,0)*ROUND(AS$7*10000,0)/12000000,0)/100+0.02,2),0)</f>
        <v>0</v>
      </c>
    </row>
    <row r="26" spans="1:48" x14ac:dyDescent="0.25">
      <c r="A26" s="17">
        <f>IF(F26&gt;0,16,"")</f>
        <v>16</v>
      </c>
      <c r="B26" s="18">
        <f>IF(F26&gt;0,EDATE($E$6,16),"")</f>
        <v>46818</v>
      </c>
      <c r="C26" s="21">
        <f>IF(H25&gt;0,MIN(IF(K25&gt;0,I$5,99),IF(O25&gt;0,M$5,99),IF(S25&gt;0,Q$5,99),IF(W25&gt;0,U$5,99),IF(AA25&gt;0,Y$5,99),IF(AE25&gt;0,AC$5,99),IF(AI25&gt;0,AG$5,99),IF(AM25&gt;0,AK$5,99),IF(AQ25&gt;0,AO$5,99),IF(AU25&gt;0,AS$5,99)),0)</f>
        <v>3</v>
      </c>
      <c r="D26" t="str">
        <f>IF(C26&gt;0,INDEX($I$4:$AV$4,1,MATCH(C26,$I$5:$AV$5,0)),"")</f>
        <v>Préstamo de coche</v>
      </c>
      <c r="E26" s="24">
        <f>ROUND(IF(AND(I$8&gt;0,K25=0),I$6,0)+IF(AND(M$8&gt;0,O25=0),M$6,0)+IF(AND(Q$8&gt;0,S25=0),Q$6,0)+IF(AND(U$8&gt;0,W25=0),U$6,0)+IF(AND(Y$8&gt;0,AA25=0),Y$6,0)+IF(AND(AC$8&gt;0,AE25=0),AC$6,0)+IF(AND(AG$8&gt;0,AI25=0),AG$6,0)+IF(AND(AK$8&gt;0,AM25=0),AK$6,0)+IF(AND(AO$8&gt;0,AQ25=0),AO$6,0)+IF(AND(AS$8&gt;0,AU25=0),AS$6,0),2)</f>
        <v>125</v>
      </c>
      <c r="F26" s="24">
        <f>ROUND(I26+M26+Q26+U26+Y26+AC26+AG26+AK26+AO26+AS26,2)</f>
        <v>475</v>
      </c>
      <c r="G26" s="24">
        <f>ROUND(J26+N26+R26+V26+Z26+AD26+AH26+AL26+AP26+AT26,2)</f>
        <v>30.2</v>
      </c>
      <c r="H26" s="24">
        <f>ROUND(K26+O26+S26+W26+AA26+AE26+AI26+AM26+AQ26+AU26,2)</f>
        <v>5595.67</v>
      </c>
      <c r="I26" s="24">
        <f>IF(K25&gt;0,IF(AND(ROUND(K25+J26-ROUND(I$6+IF(I$5=$C26,$E$5+$E26,0),2),2)&gt;0,ROUND(K25+J26-ROUND(I$6+IF(I$5=$C26,$E$5+$E26,0),2),2)&lt;=L26,ROUND(K25+J26-ROUND(I$6+IF(I$5=$C26,$E$5+$E26,0),2),2)*10&lt;=ROUND(I$6+IF(I$5=$C26,$E$5+$E26,0),2)),ROUND(K25+J26,2),MIN(ROUND(I$6+IF(I$5=$C26,$E$5+$E26,0),2),ROUND(K25+J26,2))),0)</f>
        <v>0</v>
      </c>
      <c r="J26" s="24">
        <f>IF(K25&gt;0,ROUND(ROUND(K25*100,0)*ROUND(I$7*10000,0)/12000000,0)/100,0)</f>
        <v>0</v>
      </c>
      <c r="K26" s="24">
        <f>IF(K25&gt;0,ROUND(K25+J26-I26,2),0)</f>
        <v>0</v>
      </c>
      <c r="L26" s="24">
        <f>IF(K25&gt;0,ROUND(L25+ROUND(ROUND(L25*100,0)*ROUND(I$7*10000,0)/12000000,0)/100+0.02,2),0)</f>
        <v>0</v>
      </c>
      <c r="M26" s="24">
        <f>IF(O25&gt;0,IF(AND(ROUND(O25+N26-ROUND(M$6+IF(M$5=$C26,$E$5+$E26,0),2),2)&gt;0,ROUND(O25+N26-ROUND(M$6+IF(M$5=$C26,$E$5+$E26,0),2),2)&lt;=P26,ROUND(O25+N26-ROUND(M$6+IF(M$5=$C26,$E$5+$E26,0),2),2)*10&lt;=ROUND(M$6+IF(M$5=$C26,$E$5+$E26,0),2)),ROUND(O25+N26,2),MIN(ROUND(M$6+IF(M$5=$C26,$E$5+$E26,0),2),ROUND(O25+N26,2))),0)</f>
        <v>475</v>
      </c>
      <c r="N26" s="24">
        <f>IF(O25&gt;0,ROUND(ROUND(O25*100,0)*ROUND(M$7*10000,0)/12000000,0)/100,0)</f>
        <v>30.2</v>
      </c>
      <c r="O26" s="24">
        <f>IF(O25&gt;0,ROUND(O25+N26-M26,2),0)</f>
        <v>5595.67</v>
      </c>
      <c r="P26" s="24">
        <f>IF(O25&gt;0,ROUND(P25+ROUND(ROUND(P25*100,0)*ROUND(M$7*10000,0)/12000000,0)/100+0.02,2),0)</f>
        <v>0.32</v>
      </c>
      <c r="Q26" s="24">
        <f>IF(S25&gt;0,IF(AND(ROUND(S25+R26-ROUND(Q$6+IF(Q$5=$C26,$E$5+$E26,0),2),2)&gt;0,ROUND(S25+R26-ROUND(Q$6+IF(Q$5=$C26,$E$5+$E26,0),2),2)&lt;=T26,ROUND(S25+R26-ROUND(Q$6+IF(Q$5=$C26,$E$5+$E26,0),2),2)*10&lt;=ROUND(Q$6+IF(Q$5=$C26,$E$5+$E26,0),2)),ROUND(S25+R26,2),MIN(ROUND(Q$6+IF(Q$5=$C26,$E$5+$E26,0),2),ROUND(S25+R26,2))),0)</f>
        <v>0</v>
      </c>
      <c r="R26" s="24">
        <f>IF(S25&gt;0,ROUND(ROUND(S25*100,0)*ROUND(Q$7*10000,0)/12000000,0)/100,0)</f>
        <v>0</v>
      </c>
      <c r="S26" s="24">
        <f>IF(S25&gt;0,ROUND(S25+R26-Q26,2),0)</f>
        <v>0</v>
      </c>
      <c r="T26" s="24">
        <f>IF(S25&gt;0,ROUND(T25+ROUND(ROUND(T25*100,0)*ROUND(Q$7*10000,0)/12000000,0)/100+0.02,2),0)</f>
        <v>0</v>
      </c>
      <c r="U26" s="24">
        <f>IF(W25&gt;0,IF(AND(ROUND(W25+V26-ROUND(U$6+IF(U$5=$C26,$E$5+$E26,0),2),2)&gt;0,ROUND(W25+V26-ROUND(U$6+IF(U$5=$C26,$E$5+$E26,0),2),2)&lt;=X26,ROUND(W25+V26-ROUND(U$6+IF(U$5=$C26,$E$5+$E26,0),2),2)*10&lt;=ROUND(U$6+IF(U$5=$C26,$E$5+$E26,0),2)),ROUND(W25+V26,2),MIN(ROUND(U$6+IF(U$5=$C26,$E$5+$E26,0),2),ROUND(W25+V26,2))),0)</f>
        <v>0</v>
      </c>
      <c r="V26" s="24">
        <f>IF(W25&gt;0,ROUND(ROUND(W25*100,0)*ROUND(U$7*10000,0)/12000000,0)/100,0)</f>
        <v>0</v>
      </c>
      <c r="W26" s="24">
        <f>IF(W25&gt;0,ROUND(W25+V26-U26,2),0)</f>
        <v>0</v>
      </c>
      <c r="X26" s="24">
        <f>IF(W25&gt;0,ROUND(X25+ROUND(ROUND(X25*100,0)*ROUND(U$7*10000,0)/12000000,0)/100+0.02,2),0)</f>
        <v>0</v>
      </c>
      <c r="Y26" s="24">
        <f>IF(AA25&gt;0,IF(AND(ROUND(AA25+Z26-ROUND(Y$6+IF(Y$5=$C26,$E$5+$E26,0),2),2)&gt;0,ROUND(AA25+Z26-ROUND(Y$6+IF(Y$5=$C26,$E$5+$E26,0),2),2)&lt;=AB26,ROUND(AA25+Z26-ROUND(Y$6+IF(Y$5=$C26,$E$5+$E26,0),2),2)*10&lt;=ROUND(Y$6+IF(Y$5=$C26,$E$5+$E26,0),2)),ROUND(AA25+Z26,2),MIN(ROUND(Y$6+IF(Y$5=$C26,$E$5+$E26,0),2),ROUND(AA25+Z26,2))),0)</f>
        <v>0</v>
      </c>
      <c r="Z26" s="24">
        <f>IF(AA25&gt;0,ROUND(ROUND(AA25*100,0)*ROUND(Y$7*10000,0)/12000000,0)/100,0)</f>
        <v>0</v>
      </c>
      <c r="AA26" s="24">
        <f>IF(AA25&gt;0,ROUND(AA25+Z26-Y26,2),0)</f>
        <v>0</v>
      </c>
      <c r="AB26" s="24">
        <f>IF(AA25&gt;0,ROUND(AB25+ROUND(ROUND(AB25*100,0)*ROUND(Y$7*10000,0)/12000000,0)/100+0.02,2),0)</f>
        <v>0</v>
      </c>
      <c r="AC26" s="24">
        <f>IF(AE25&gt;0,IF(AND(ROUND(AE25+AD26-ROUND(AC$6+IF(AC$5=$C26,$E$5+$E26,0),2),2)&gt;0,ROUND(AE25+AD26-ROUND(AC$6+IF(AC$5=$C26,$E$5+$E26,0),2),2)&lt;=AF26,ROUND(AE25+AD26-ROUND(AC$6+IF(AC$5=$C26,$E$5+$E26,0),2),2)*10&lt;=ROUND(AC$6+IF(AC$5=$C26,$E$5+$E26,0),2)),ROUND(AE25+AD26,2),MIN(ROUND(AC$6+IF(AC$5=$C26,$E$5+$E26,0),2),ROUND(AE25+AD26,2))),0)</f>
        <v>0</v>
      </c>
      <c r="AD26" s="24">
        <f>IF(AE25&gt;0,ROUND(ROUND(AE25*100,0)*ROUND(AC$7*10000,0)/12000000,0)/100,0)</f>
        <v>0</v>
      </c>
      <c r="AE26" s="24">
        <f>IF(AE25&gt;0,ROUND(AE25+AD26-AC26,2),0)</f>
        <v>0</v>
      </c>
      <c r="AF26" s="24">
        <f>IF(AE25&gt;0,ROUND(AF25+ROUND(ROUND(AF25*100,0)*ROUND(AC$7*10000,0)/12000000,0)/100+0.02,2),0)</f>
        <v>0</v>
      </c>
      <c r="AG26" s="24">
        <f>IF(AI25&gt;0,IF(AND(ROUND(AI25+AH26-ROUND(AG$6+IF(AG$5=$C26,$E$5+$E26,0),2),2)&gt;0,ROUND(AI25+AH26-ROUND(AG$6+IF(AG$5=$C26,$E$5+$E26,0),2),2)&lt;=AJ26,ROUND(AI25+AH26-ROUND(AG$6+IF(AG$5=$C26,$E$5+$E26,0),2),2)*10&lt;=ROUND(AG$6+IF(AG$5=$C26,$E$5+$E26,0),2)),ROUND(AI25+AH26,2),MIN(ROUND(AG$6+IF(AG$5=$C26,$E$5+$E26,0),2),ROUND(AI25+AH26,2))),0)</f>
        <v>0</v>
      </c>
      <c r="AH26" s="24">
        <f>IF(AI25&gt;0,ROUND(ROUND(AI25*100,0)*ROUND(AG$7*10000,0)/12000000,0)/100,0)</f>
        <v>0</v>
      </c>
      <c r="AI26" s="24">
        <f>IF(AI25&gt;0,ROUND(AI25+AH26-AG26,2),0)</f>
        <v>0</v>
      </c>
      <c r="AJ26" s="24">
        <f>IF(AI25&gt;0,ROUND(AJ25+ROUND(ROUND(AJ25*100,0)*ROUND(AG$7*10000,0)/12000000,0)/100+0.02,2),0)</f>
        <v>0</v>
      </c>
      <c r="AK26" s="24">
        <f>IF(AM25&gt;0,IF(AND(ROUND(AM25+AL26-ROUND(AK$6+IF(AK$5=$C26,$E$5+$E26,0),2),2)&gt;0,ROUND(AM25+AL26-ROUND(AK$6+IF(AK$5=$C26,$E$5+$E26,0),2),2)&lt;=AN26,ROUND(AM25+AL26-ROUND(AK$6+IF(AK$5=$C26,$E$5+$E26,0),2),2)*10&lt;=ROUND(AK$6+IF(AK$5=$C26,$E$5+$E26,0),2)),ROUND(AM25+AL26,2),MIN(ROUND(AK$6+IF(AK$5=$C26,$E$5+$E26,0),2),ROUND(AM25+AL26,2))),0)</f>
        <v>0</v>
      </c>
      <c r="AL26" s="24">
        <f>IF(AM25&gt;0,ROUND(ROUND(AM25*100,0)*ROUND(AK$7*10000,0)/12000000,0)/100,0)</f>
        <v>0</v>
      </c>
      <c r="AM26" s="24">
        <f>IF(AM25&gt;0,ROUND(AM25+AL26-AK26,2),0)</f>
        <v>0</v>
      </c>
      <c r="AN26" s="24">
        <f>IF(AM25&gt;0,ROUND(AN25+ROUND(ROUND(AN25*100,0)*ROUND(AK$7*10000,0)/12000000,0)/100+0.02,2),0)</f>
        <v>0</v>
      </c>
      <c r="AO26" s="24">
        <f>IF(AQ25&gt;0,IF(AND(ROUND(AQ25+AP26-ROUND(AO$6+IF(AO$5=$C26,$E$5+$E26,0),2),2)&gt;0,ROUND(AQ25+AP26-ROUND(AO$6+IF(AO$5=$C26,$E$5+$E26,0),2),2)&lt;=AR26,ROUND(AQ25+AP26-ROUND(AO$6+IF(AO$5=$C26,$E$5+$E26,0),2),2)*10&lt;=ROUND(AO$6+IF(AO$5=$C26,$E$5+$E26,0),2)),ROUND(AQ25+AP26,2),MIN(ROUND(AO$6+IF(AO$5=$C26,$E$5+$E26,0),2),ROUND(AQ25+AP26,2))),0)</f>
        <v>0</v>
      </c>
      <c r="AP26" s="24">
        <f>IF(AQ25&gt;0,ROUND(ROUND(AQ25*100,0)*ROUND(AO$7*10000,0)/12000000,0)/100,0)</f>
        <v>0</v>
      </c>
      <c r="AQ26" s="24">
        <f>IF(AQ25&gt;0,ROUND(AQ25+AP26-AO26,2),0)</f>
        <v>0</v>
      </c>
      <c r="AR26" s="24">
        <f>IF(AQ25&gt;0,ROUND(AR25+ROUND(ROUND(AR25*100,0)*ROUND(AO$7*10000,0)/12000000,0)/100+0.02,2),0)</f>
        <v>0</v>
      </c>
      <c r="AS26" s="24">
        <f>IF(AU25&gt;0,IF(AND(ROUND(AU25+AT26-ROUND(AS$6+IF(AS$5=$C26,$E$5+$E26,0),2),2)&gt;0,ROUND(AU25+AT26-ROUND(AS$6+IF(AS$5=$C26,$E$5+$E26,0),2),2)&lt;=AV26,ROUND(AU25+AT26-ROUND(AS$6+IF(AS$5=$C26,$E$5+$E26,0),2),2)*10&lt;=ROUND(AS$6+IF(AS$5=$C26,$E$5+$E26,0),2)),ROUND(AU25+AT26,2),MIN(ROUND(AS$6+IF(AS$5=$C26,$E$5+$E26,0),2),ROUND(AU25+AT26,2))),0)</f>
        <v>0</v>
      </c>
      <c r="AT26" s="24">
        <f>IF(AU25&gt;0,ROUND(ROUND(AU25*100,0)*ROUND(AS$7*10000,0)/12000000,0)/100,0)</f>
        <v>0</v>
      </c>
      <c r="AU26" s="24">
        <f>IF(AU25&gt;0,ROUND(AU25+AT26-AS26,2),0)</f>
        <v>0</v>
      </c>
      <c r="AV26" s="24">
        <f>IF(AU25&gt;0,ROUND(AV25+ROUND(ROUND(AV25*100,0)*ROUND(AS$7*10000,0)/12000000,0)/100+0.02,2),0)</f>
        <v>0</v>
      </c>
    </row>
    <row r="27" spans="1:48" x14ac:dyDescent="0.25">
      <c r="A27" s="17">
        <f>IF(F27&gt;0,17,"")</f>
        <v>17</v>
      </c>
      <c r="B27" s="18">
        <f>IF(F27&gt;0,EDATE($E$6,17),"")</f>
        <v>46849</v>
      </c>
      <c r="C27" s="21">
        <f>IF(H26&gt;0,MIN(IF(K26&gt;0,I$5,99),IF(O26&gt;0,M$5,99),IF(S26&gt;0,Q$5,99),IF(W26&gt;0,U$5,99),IF(AA26&gt;0,Y$5,99),IF(AE26&gt;0,AC$5,99),IF(AI26&gt;0,AG$5,99),IF(AM26&gt;0,AK$5,99),IF(AQ26&gt;0,AO$5,99),IF(AU26&gt;0,AS$5,99)),0)</f>
        <v>3</v>
      </c>
      <c r="D27" t="str">
        <f>IF(C27&gt;0,INDEX($I$4:$AV$4,1,MATCH(C27,$I$5:$AV$5,0)),"")</f>
        <v>Préstamo de coche</v>
      </c>
      <c r="E27" s="24">
        <f>ROUND(IF(AND(I$8&gt;0,K26=0),I$6,0)+IF(AND(M$8&gt;0,O26=0),M$6,0)+IF(AND(Q$8&gt;0,S26=0),Q$6,0)+IF(AND(U$8&gt;0,W26=0),U$6,0)+IF(AND(Y$8&gt;0,AA26=0),Y$6,0)+IF(AND(AC$8&gt;0,AE26=0),AC$6,0)+IF(AND(AG$8&gt;0,AI26=0),AG$6,0)+IF(AND(AK$8&gt;0,AM26=0),AK$6,0)+IF(AND(AO$8&gt;0,AQ26=0),AO$6,0)+IF(AND(AS$8&gt;0,AU26=0),AS$6,0),2)</f>
        <v>125</v>
      </c>
      <c r="F27" s="24">
        <f>ROUND(I27+M27+Q27+U27+Y27+AC27+AG27+AK27+AO27+AS27,2)</f>
        <v>475</v>
      </c>
      <c r="G27" s="24">
        <f>ROUND(J27+N27+R27+V27+Z27+AD27+AH27+AL27+AP27+AT27,2)</f>
        <v>27.98</v>
      </c>
      <c r="H27" s="24">
        <f>ROUND(K27+O27+S27+W27+AA27+AE27+AI27+AM27+AQ27+AU27,2)</f>
        <v>5148.65</v>
      </c>
      <c r="I27" s="24">
        <f>IF(K26&gt;0,IF(AND(ROUND(K26+J27-ROUND(I$6+IF(I$5=$C27,$E$5+$E27,0),2),2)&gt;0,ROUND(K26+J27-ROUND(I$6+IF(I$5=$C27,$E$5+$E27,0),2),2)&lt;=L27,ROUND(K26+J27-ROUND(I$6+IF(I$5=$C27,$E$5+$E27,0),2),2)*10&lt;=ROUND(I$6+IF(I$5=$C27,$E$5+$E27,0),2)),ROUND(K26+J27,2),MIN(ROUND(I$6+IF(I$5=$C27,$E$5+$E27,0),2),ROUND(K26+J27,2))),0)</f>
        <v>0</v>
      </c>
      <c r="J27" s="24">
        <f>IF(K26&gt;0,ROUND(ROUND(K26*100,0)*ROUND(I$7*10000,0)/12000000,0)/100,0)</f>
        <v>0</v>
      </c>
      <c r="K27" s="24">
        <f>IF(K26&gt;0,ROUND(K26+J27-I27,2),0)</f>
        <v>0</v>
      </c>
      <c r="L27" s="24">
        <f>IF(K26&gt;0,ROUND(L26+ROUND(ROUND(L26*100,0)*ROUND(I$7*10000,0)/12000000,0)/100+0.02,2),0)</f>
        <v>0</v>
      </c>
      <c r="M27" s="24">
        <f>IF(O26&gt;0,IF(AND(ROUND(O26+N27-ROUND(M$6+IF(M$5=$C27,$E$5+$E27,0),2),2)&gt;0,ROUND(O26+N27-ROUND(M$6+IF(M$5=$C27,$E$5+$E27,0),2),2)&lt;=P27,ROUND(O26+N27-ROUND(M$6+IF(M$5=$C27,$E$5+$E27,0),2),2)*10&lt;=ROUND(M$6+IF(M$5=$C27,$E$5+$E27,0),2)),ROUND(O26+N27,2),MIN(ROUND(M$6+IF(M$5=$C27,$E$5+$E27,0),2),ROUND(O26+N27,2))),0)</f>
        <v>475</v>
      </c>
      <c r="N27" s="24">
        <f>IF(O26&gt;0,ROUND(ROUND(O26*100,0)*ROUND(M$7*10000,0)/12000000,0)/100,0)</f>
        <v>27.98</v>
      </c>
      <c r="O27" s="24">
        <f>IF(O26&gt;0,ROUND(O26+N27-M27,2),0)</f>
        <v>5148.65</v>
      </c>
      <c r="P27" s="24">
        <f>IF(O26&gt;0,ROUND(P26+ROUND(ROUND(P26*100,0)*ROUND(M$7*10000,0)/12000000,0)/100+0.02,2),0)</f>
        <v>0.34</v>
      </c>
      <c r="Q27" s="24">
        <f>IF(S26&gt;0,IF(AND(ROUND(S26+R27-ROUND(Q$6+IF(Q$5=$C27,$E$5+$E27,0),2),2)&gt;0,ROUND(S26+R27-ROUND(Q$6+IF(Q$5=$C27,$E$5+$E27,0),2),2)&lt;=T27,ROUND(S26+R27-ROUND(Q$6+IF(Q$5=$C27,$E$5+$E27,0),2),2)*10&lt;=ROUND(Q$6+IF(Q$5=$C27,$E$5+$E27,0),2)),ROUND(S26+R27,2),MIN(ROUND(Q$6+IF(Q$5=$C27,$E$5+$E27,0),2),ROUND(S26+R27,2))),0)</f>
        <v>0</v>
      </c>
      <c r="R27" s="24">
        <f>IF(S26&gt;0,ROUND(ROUND(S26*100,0)*ROUND(Q$7*10000,0)/12000000,0)/100,0)</f>
        <v>0</v>
      </c>
      <c r="S27" s="24">
        <f>IF(S26&gt;0,ROUND(S26+R27-Q27,2),0)</f>
        <v>0</v>
      </c>
      <c r="T27" s="24">
        <f>IF(S26&gt;0,ROUND(T26+ROUND(ROUND(T26*100,0)*ROUND(Q$7*10000,0)/12000000,0)/100+0.02,2),0)</f>
        <v>0</v>
      </c>
      <c r="U27" s="24">
        <f>IF(W26&gt;0,IF(AND(ROUND(W26+V27-ROUND(U$6+IF(U$5=$C27,$E$5+$E27,0),2),2)&gt;0,ROUND(W26+V27-ROUND(U$6+IF(U$5=$C27,$E$5+$E27,0),2),2)&lt;=X27,ROUND(W26+V27-ROUND(U$6+IF(U$5=$C27,$E$5+$E27,0),2),2)*10&lt;=ROUND(U$6+IF(U$5=$C27,$E$5+$E27,0),2)),ROUND(W26+V27,2),MIN(ROUND(U$6+IF(U$5=$C27,$E$5+$E27,0),2),ROUND(W26+V27,2))),0)</f>
        <v>0</v>
      </c>
      <c r="V27" s="24">
        <f>IF(W26&gt;0,ROUND(ROUND(W26*100,0)*ROUND(U$7*10000,0)/12000000,0)/100,0)</f>
        <v>0</v>
      </c>
      <c r="W27" s="24">
        <f>IF(W26&gt;0,ROUND(W26+V27-U27,2),0)</f>
        <v>0</v>
      </c>
      <c r="X27" s="24">
        <f>IF(W26&gt;0,ROUND(X26+ROUND(ROUND(X26*100,0)*ROUND(U$7*10000,0)/12000000,0)/100+0.02,2),0)</f>
        <v>0</v>
      </c>
      <c r="Y27" s="24">
        <f>IF(AA26&gt;0,IF(AND(ROUND(AA26+Z27-ROUND(Y$6+IF(Y$5=$C27,$E$5+$E27,0),2),2)&gt;0,ROUND(AA26+Z27-ROUND(Y$6+IF(Y$5=$C27,$E$5+$E27,0),2),2)&lt;=AB27,ROUND(AA26+Z27-ROUND(Y$6+IF(Y$5=$C27,$E$5+$E27,0),2),2)*10&lt;=ROUND(Y$6+IF(Y$5=$C27,$E$5+$E27,0),2)),ROUND(AA26+Z27,2),MIN(ROUND(Y$6+IF(Y$5=$C27,$E$5+$E27,0),2),ROUND(AA26+Z27,2))),0)</f>
        <v>0</v>
      </c>
      <c r="Z27" s="24">
        <f>IF(AA26&gt;0,ROUND(ROUND(AA26*100,0)*ROUND(Y$7*10000,0)/12000000,0)/100,0)</f>
        <v>0</v>
      </c>
      <c r="AA27" s="24">
        <f>IF(AA26&gt;0,ROUND(AA26+Z27-Y27,2),0)</f>
        <v>0</v>
      </c>
      <c r="AB27" s="24">
        <f>IF(AA26&gt;0,ROUND(AB26+ROUND(ROUND(AB26*100,0)*ROUND(Y$7*10000,0)/12000000,0)/100+0.02,2),0)</f>
        <v>0</v>
      </c>
      <c r="AC27" s="24">
        <f>IF(AE26&gt;0,IF(AND(ROUND(AE26+AD27-ROUND(AC$6+IF(AC$5=$C27,$E$5+$E27,0),2),2)&gt;0,ROUND(AE26+AD27-ROUND(AC$6+IF(AC$5=$C27,$E$5+$E27,0),2),2)&lt;=AF27,ROUND(AE26+AD27-ROUND(AC$6+IF(AC$5=$C27,$E$5+$E27,0),2),2)*10&lt;=ROUND(AC$6+IF(AC$5=$C27,$E$5+$E27,0),2)),ROUND(AE26+AD27,2),MIN(ROUND(AC$6+IF(AC$5=$C27,$E$5+$E27,0),2),ROUND(AE26+AD27,2))),0)</f>
        <v>0</v>
      </c>
      <c r="AD27" s="24">
        <f>IF(AE26&gt;0,ROUND(ROUND(AE26*100,0)*ROUND(AC$7*10000,0)/12000000,0)/100,0)</f>
        <v>0</v>
      </c>
      <c r="AE27" s="24">
        <f>IF(AE26&gt;0,ROUND(AE26+AD27-AC27,2),0)</f>
        <v>0</v>
      </c>
      <c r="AF27" s="24">
        <f>IF(AE26&gt;0,ROUND(AF26+ROUND(ROUND(AF26*100,0)*ROUND(AC$7*10000,0)/12000000,0)/100+0.02,2),0)</f>
        <v>0</v>
      </c>
      <c r="AG27" s="24">
        <f>IF(AI26&gt;0,IF(AND(ROUND(AI26+AH27-ROUND(AG$6+IF(AG$5=$C27,$E$5+$E27,0),2),2)&gt;0,ROUND(AI26+AH27-ROUND(AG$6+IF(AG$5=$C27,$E$5+$E27,0),2),2)&lt;=AJ27,ROUND(AI26+AH27-ROUND(AG$6+IF(AG$5=$C27,$E$5+$E27,0),2),2)*10&lt;=ROUND(AG$6+IF(AG$5=$C27,$E$5+$E27,0),2)),ROUND(AI26+AH27,2),MIN(ROUND(AG$6+IF(AG$5=$C27,$E$5+$E27,0),2),ROUND(AI26+AH27,2))),0)</f>
        <v>0</v>
      </c>
      <c r="AH27" s="24">
        <f>IF(AI26&gt;0,ROUND(ROUND(AI26*100,0)*ROUND(AG$7*10000,0)/12000000,0)/100,0)</f>
        <v>0</v>
      </c>
      <c r="AI27" s="24">
        <f>IF(AI26&gt;0,ROUND(AI26+AH27-AG27,2),0)</f>
        <v>0</v>
      </c>
      <c r="AJ27" s="24">
        <f>IF(AI26&gt;0,ROUND(AJ26+ROUND(ROUND(AJ26*100,0)*ROUND(AG$7*10000,0)/12000000,0)/100+0.02,2),0)</f>
        <v>0</v>
      </c>
      <c r="AK27" s="24">
        <f>IF(AM26&gt;0,IF(AND(ROUND(AM26+AL27-ROUND(AK$6+IF(AK$5=$C27,$E$5+$E27,0),2),2)&gt;0,ROUND(AM26+AL27-ROUND(AK$6+IF(AK$5=$C27,$E$5+$E27,0),2),2)&lt;=AN27,ROUND(AM26+AL27-ROUND(AK$6+IF(AK$5=$C27,$E$5+$E27,0),2),2)*10&lt;=ROUND(AK$6+IF(AK$5=$C27,$E$5+$E27,0),2)),ROUND(AM26+AL27,2),MIN(ROUND(AK$6+IF(AK$5=$C27,$E$5+$E27,0),2),ROUND(AM26+AL27,2))),0)</f>
        <v>0</v>
      </c>
      <c r="AL27" s="24">
        <f>IF(AM26&gt;0,ROUND(ROUND(AM26*100,0)*ROUND(AK$7*10000,0)/12000000,0)/100,0)</f>
        <v>0</v>
      </c>
      <c r="AM27" s="24">
        <f>IF(AM26&gt;0,ROUND(AM26+AL27-AK27,2),0)</f>
        <v>0</v>
      </c>
      <c r="AN27" s="24">
        <f>IF(AM26&gt;0,ROUND(AN26+ROUND(ROUND(AN26*100,0)*ROUND(AK$7*10000,0)/12000000,0)/100+0.02,2),0)</f>
        <v>0</v>
      </c>
      <c r="AO27" s="24">
        <f>IF(AQ26&gt;0,IF(AND(ROUND(AQ26+AP27-ROUND(AO$6+IF(AO$5=$C27,$E$5+$E27,0),2),2)&gt;0,ROUND(AQ26+AP27-ROUND(AO$6+IF(AO$5=$C27,$E$5+$E27,0),2),2)&lt;=AR27,ROUND(AQ26+AP27-ROUND(AO$6+IF(AO$5=$C27,$E$5+$E27,0),2),2)*10&lt;=ROUND(AO$6+IF(AO$5=$C27,$E$5+$E27,0),2)),ROUND(AQ26+AP27,2),MIN(ROUND(AO$6+IF(AO$5=$C27,$E$5+$E27,0),2),ROUND(AQ26+AP27,2))),0)</f>
        <v>0</v>
      </c>
      <c r="AP27" s="24">
        <f>IF(AQ26&gt;0,ROUND(ROUND(AQ26*100,0)*ROUND(AO$7*10000,0)/12000000,0)/100,0)</f>
        <v>0</v>
      </c>
      <c r="AQ27" s="24">
        <f>IF(AQ26&gt;0,ROUND(AQ26+AP27-AO27,2),0)</f>
        <v>0</v>
      </c>
      <c r="AR27" s="24">
        <f>IF(AQ26&gt;0,ROUND(AR26+ROUND(ROUND(AR26*100,0)*ROUND(AO$7*10000,0)/12000000,0)/100+0.02,2),0)</f>
        <v>0</v>
      </c>
      <c r="AS27" s="24">
        <f>IF(AU26&gt;0,IF(AND(ROUND(AU26+AT27-ROUND(AS$6+IF(AS$5=$C27,$E$5+$E27,0),2),2)&gt;0,ROUND(AU26+AT27-ROUND(AS$6+IF(AS$5=$C27,$E$5+$E27,0),2),2)&lt;=AV27,ROUND(AU26+AT27-ROUND(AS$6+IF(AS$5=$C27,$E$5+$E27,0),2),2)*10&lt;=ROUND(AS$6+IF(AS$5=$C27,$E$5+$E27,0),2)),ROUND(AU26+AT27,2),MIN(ROUND(AS$6+IF(AS$5=$C27,$E$5+$E27,0),2),ROUND(AU26+AT27,2))),0)</f>
        <v>0</v>
      </c>
      <c r="AT27" s="24">
        <f>IF(AU26&gt;0,ROUND(ROUND(AU26*100,0)*ROUND(AS$7*10000,0)/12000000,0)/100,0)</f>
        <v>0</v>
      </c>
      <c r="AU27" s="24">
        <f>IF(AU26&gt;0,ROUND(AU26+AT27-AS27,2),0)</f>
        <v>0</v>
      </c>
      <c r="AV27" s="24">
        <f>IF(AU26&gt;0,ROUND(AV26+ROUND(ROUND(AV26*100,0)*ROUND(AS$7*10000,0)/12000000,0)/100+0.02,2),0)</f>
        <v>0</v>
      </c>
    </row>
    <row r="28" spans="1:48" x14ac:dyDescent="0.25">
      <c r="A28" s="17">
        <f>IF(F28&gt;0,18,"")</f>
        <v>18</v>
      </c>
      <c r="B28" s="18">
        <f>IF(F28&gt;0,EDATE($E$6,18),"")</f>
        <v>46879</v>
      </c>
      <c r="C28" s="21">
        <f>IF(H27&gt;0,MIN(IF(K27&gt;0,I$5,99),IF(O27&gt;0,M$5,99),IF(S27&gt;0,Q$5,99),IF(W27&gt;0,U$5,99),IF(AA27&gt;0,Y$5,99),IF(AE27&gt;0,AC$5,99),IF(AI27&gt;0,AG$5,99),IF(AM27&gt;0,AK$5,99),IF(AQ27&gt;0,AO$5,99),IF(AU27&gt;0,AS$5,99)),0)</f>
        <v>3</v>
      </c>
      <c r="D28" t="str">
        <f>IF(C28&gt;0,INDEX($I$4:$AV$4,1,MATCH(C28,$I$5:$AV$5,0)),"")</f>
        <v>Préstamo de coche</v>
      </c>
      <c r="E28" s="24">
        <f>ROUND(IF(AND(I$8&gt;0,K27=0),I$6,0)+IF(AND(M$8&gt;0,O27=0),M$6,0)+IF(AND(Q$8&gt;0,S27=0),Q$6,0)+IF(AND(U$8&gt;0,W27=0),U$6,0)+IF(AND(Y$8&gt;0,AA27=0),Y$6,0)+IF(AND(AC$8&gt;0,AE27=0),AC$6,0)+IF(AND(AG$8&gt;0,AI27=0),AG$6,0)+IF(AND(AK$8&gt;0,AM27=0),AK$6,0)+IF(AND(AO$8&gt;0,AQ27=0),AO$6,0)+IF(AND(AS$8&gt;0,AU27=0),AS$6,0),2)</f>
        <v>125</v>
      </c>
      <c r="F28" s="24">
        <f>ROUND(I28+M28+Q28+U28+Y28+AC28+AG28+AK28+AO28+AS28,2)</f>
        <v>475</v>
      </c>
      <c r="G28" s="24">
        <f>ROUND(J28+N28+R28+V28+Z28+AD28+AH28+AL28+AP28+AT28,2)</f>
        <v>25.74</v>
      </c>
      <c r="H28" s="24">
        <f>ROUND(K28+O28+S28+W28+AA28+AE28+AI28+AM28+AQ28+AU28,2)</f>
        <v>4699.39</v>
      </c>
      <c r="I28" s="24">
        <f>IF(K27&gt;0,IF(AND(ROUND(K27+J28-ROUND(I$6+IF(I$5=$C28,$E$5+$E28,0),2),2)&gt;0,ROUND(K27+J28-ROUND(I$6+IF(I$5=$C28,$E$5+$E28,0),2),2)&lt;=L28,ROUND(K27+J28-ROUND(I$6+IF(I$5=$C28,$E$5+$E28,0),2),2)*10&lt;=ROUND(I$6+IF(I$5=$C28,$E$5+$E28,0),2)),ROUND(K27+J28,2),MIN(ROUND(I$6+IF(I$5=$C28,$E$5+$E28,0),2),ROUND(K27+J28,2))),0)</f>
        <v>0</v>
      </c>
      <c r="J28" s="24">
        <f>IF(K27&gt;0,ROUND(ROUND(K27*100,0)*ROUND(I$7*10000,0)/12000000,0)/100,0)</f>
        <v>0</v>
      </c>
      <c r="K28" s="24">
        <f>IF(K27&gt;0,ROUND(K27+J28-I28,2),0)</f>
        <v>0</v>
      </c>
      <c r="L28" s="24">
        <f>IF(K27&gt;0,ROUND(L27+ROUND(ROUND(L27*100,0)*ROUND(I$7*10000,0)/12000000,0)/100+0.02,2),0)</f>
        <v>0</v>
      </c>
      <c r="M28" s="24">
        <f>IF(O27&gt;0,IF(AND(ROUND(O27+N28-ROUND(M$6+IF(M$5=$C28,$E$5+$E28,0),2),2)&gt;0,ROUND(O27+N28-ROUND(M$6+IF(M$5=$C28,$E$5+$E28,0),2),2)&lt;=P28,ROUND(O27+N28-ROUND(M$6+IF(M$5=$C28,$E$5+$E28,0),2),2)*10&lt;=ROUND(M$6+IF(M$5=$C28,$E$5+$E28,0),2)),ROUND(O27+N28,2),MIN(ROUND(M$6+IF(M$5=$C28,$E$5+$E28,0),2),ROUND(O27+N28,2))),0)</f>
        <v>475</v>
      </c>
      <c r="N28" s="24">
        <f>IF(O27&gt;0,ROUND(ROUND(O27*100,0)*ROUND(M$7*10000,0)/12000000,0)/100,0)</f>
        <v>25.74</v>
      </c>
      <c r="O28" s="24">
        <f>IF(O27&gt;0,ROUND(O27+N28-M28,2),0)</f>
        <v>4699.39</v>
      </c>
      <c r="P28" s="24">
        <f>IF(O27&gt;0,ROUND(P27+ROUND(ROUND(P27*100,0)*ROUND(M$7*10000,0)/12000000,0)/100+0.02,2),0)</f>
        <v>0.36</v>
      </c>
      <c r="Q28" s="24">
        <f>IF(S27&gt;0,IF(AND(ROUND(S27+R28-ROUND(Q$6+IF(Q$5=$C28,$E$5+$E28,0),2),2)&gt;0,ROUND(S27+R28-ROUND(Q$6+IF(Q$5=$C28,$E$5+$E28,0),2),2)&lt;=T28,ROUND(S27+R28-ROUND(Q$6+IF(Q$5=$C28,$E$5+$E28,0),2),2)*10&lt;=ROUND(Q$6+IF(Q$5=$C28,$E$5+$E28,0),2)),ROUND(S27+R28,2),MIN(ROUND(Q$6+IF(Q$5=$C28,$E$5+$E28,0),2),ROUND(S27+R28,2))),0)</f>
        <v>0</v>
      </c>
      <c r="R28" s="24">
        <f>IF(S27&gt;0,ROUND(ROUND(S27*100,0)*ROUND(Q$7*10000,0)/12000000,0)/100,0)</f>
        <v>0</v>
      </c>
      <c r="S28" s="24">
        <f>IF(S27&gt;0,ROUND(S27+R28-Q28,2),0)</f>
        <v>0</v>
      </c>
      <c r="T28" s="24">
        <f>IF(S27&gt;0,ROUND(T27+ROUND(ROUND(T27*100,0)*ROUND(Q$7*10000,0)/12000000,0)/100+0.02,2),0)</f>
        <v>0</v>
      </c>
      <c r="U28" s="24">
        <f>IF(W27&gt;0,IF(AND(ROUND(W27+V28-ROUND(U$6+IF(U$5=$C28,$E$5+$E28,0),2),2)&gt;0,ROUND(W27+V28-ROUND(U$6+IF(U$5=$C28,$E$5+$E28,0),2),2)&lt;=X28,ROUND(W27+V28-ROUND(U$6+IF(U$5=$C28,$E$5+$E28,0),2),2)*10&lt;=ROUND(U$6+IF(U$5=$C28,$E$5+$E28,0),2)),ROUND(W27+V28,2),MIN(ROUND(U$6+IF(U$5=$C28,$E$5+$E28,0),2),ROUND(W27+V28,2))),0)</f>
        <v>0</v>
      </c>
      <c r="V28" s="24">
        <f>IF(W27&gt;0,ROUND(ROUND(W27*100,0)*ROUND(U$7*10000,0)/12000000,0)/100,0)</f>
        <v>0</v>
      </c>
      <c r="W28" s="24">
        <f>IF(W27&gt;0,ROUND(W27+V28-U28,2),0)</f>
        <v>0</v>
      </c>
      <c r="X28" s="24">
        <f>IF(W27&gt;0,ROUND(X27+ROUND(ROUND(X27*100,0)*ROUND(U$7*10000,0)/12000000,0)/100+0.02,2),0)</f>
        <v>0</v>
      </c>
      <c r="Y28" s="24">
        <f>IF(AA27&gt;0,IF(AND(ROUND(AA27+Z28-ROUND(Y$6+IF(Y$5=$C28,$E$5+$E28,0),2),2)&gt;0,ROUND(AA27+Z28-ROUND(Y$6+IF(Y$5=$C28,$E$5+$E28,0),2),2)&lt;=AB28,ROUND(AA27+Z28-ROUND(Y$6+IF(Y$5=$C28,$E$5+$E28,0),2),2)*10&lt;=ROUND(Y$6+IF(Y$5=$C28,$E$5+$E28,0),2)),ROUND(AA27+Z28,2),MIN(ROUND(Y$6+IF(Y$5=$C28,$E$5+$E28,0),2),ROUND(AA27+Z28,2))),0)</f>
        <v>0</v>
      </c>
      <c r="Z28" s="24">
        <f>IF(AA27&gt;0,ROUND(ROUND(AA27*100,0)*ROUND(Y$7*10000,0)/12000000,0)/100,0)</f>
        <v>0</v>
      </c>
      <c r="AA28" s="24">
        <f>IF(AA27&gt;0,ROUND(AA27+Z28-Y28,2),0)</f>
        <v>0</v>
      </c>
      <c r="AB28" s="24">
        <f>IF(AA27&gt;0,ROUND(AB27+ROUND(ROUND(AB27*100,0)*ROUND(Y$7*10000,0)/12000000,0)/100+0.02,2),0)</f>
        <v>0</v>
      </c>
      <c r="AC28" s="24">
        <f>IF(AE27&gt;0,IF(AND(ROUND(AE27+AD28-ROUND(AC$6+IF(AC$5=$C28,$E$5+$E28,0),2),2)&gt;0,ROUND(AE27+AD28-ROUND(AC$6+IF(AC$5=$C28,$E$5+$E28,0),2),2)&lt;=AF28,ROUND(AE27+AD28-ROUND(AC$6+IF(AC$5=$C28,$E$5+$E28,0),2),2)*10&lt;=ROUND(AC$6+IF(AC$5=$C28,$E$5+$E28,0),2)),ROUND(AE27+AD28,2),MIN(ROUND(AC$6+IF(AC$5=$C28,$E$5+$E28,0),2),ROUND(AE27+AD28,2))),0)</f>
        <v>0</v>
      </c>
      <c r="AD28" s="24">
        <f>IF(AE27&gt;0,ROUND(ROUND(AE27*100,0)*ROUND(AC$7*10000,0)/12000000,0)/100,0)</f>
        <v>0</v>
      </c>
      <c r="AE28" s="24">
        <f>IF(AE27&gt;0,ROUND(AE27+AD28-AC28,2),0)</f>
        <v>0</v>
      </c>
      <c r="AF28" s="24">
        <f>IF(AE27&gt;0,ROUND(AF27+ROUND(ROUND(AF27*100,0)*ROUND(AC$7*10000,0)/12000000,0)/100+0.02,2),0)</f>
        <v>0</v>
      </c>
      <c r="AG28" s="24">
        <f>IF(AI27&gt;0,IF(AND(ROUND(AI27+AH28-ROUND(AG$6+IF(AG$5=$C28,$E$5+$E28,0),2),2)&gt;0,ROUND(AI27+AH28-ROUND(AG$6+IF(AG$5=$C28,$E$5+$E28,0),2),2)&lt;=AJ28,ROUND(AI27+AH28-ROUND(AG$6+IF(AG$5=$C28,$E$5+$E28,0),2),2)*10&lt;=ROUND(AG$6+IF(AG$5=$C28,$E$5+$E28,0),2)),ROUND(AI27+AH28,2),MIN(ROUND(AG$6+IF(AG$5=$C28,$E$5+$E28,0),2),ROUND(AI27+AH28,2))),0)</f>
        <v>0</v>
      </c>
      <c r="AH28" s="24">
        <f>IF(AI27&gt;0,ROUND(ROUND(AI27*100,0)*ROUND(AG$7*10000,0)/12000000,0)/100,0)</f>
        <v>0</v>
      </c>
      <c r="AI28" s="24">
        <f>IF(AI27&gt;0,ROUND(AI27+AH28-AG28,2),0)</f>
        <v>0</v>
      </c>
      <c r="AJ28" s="24">
        <f>IF(AI27&gt;0,ROUND(AJ27+ROUND(ROUND(AJ27*100,0)*ROUND(AG$7*10000,0)/12000000,0)/100+0.02,2),0)</f>
        <v>0</v>
      </c>
      <c r="AK28" s="24">
        <f>IF(AM27&gt;0,IF(AND(ROUND(AM27+AL28-ROUND(AK$6+IF(AK$5=$C28,$E$5+$E28,0),2),2)&gt;0,ROUND(AM27+AL28-ROUND(AK$6+IF(AK$5=$C28,$E$5+$E28,0),2),2)&lt;=AN28,ROUND(AM27+AL28-ROUND(AK$6+IF(AK$5=$C28,$E$5+$E28,0),2),2)*10&lt;=ROUND(AK$6+IF(AK$5=$C28,$E$5+$E28,0),2)),ROUND(AM27+AL28,2),MIN(ROUND(AK$6+IF(AK$5=$C28,$E$5+$E28,0),2),ROUND(AM27+AL28,2))),0)</f>
        <v>0</v>
      </c>
      <c r="AL28" s="24">
        <f>IF(AM27&gt;0,ROUND(ROUND(AM27*100,0)*ROUND(AK$7*10000,0)/12000000,0)/100,0)</f>
        <v>0</v>
      </c>
      <c r="AM28" s="24">
        <f>IF(AM27&gt;0,ROUND(AM27+AL28-AK28,2),0)</f>
        <v>0</v>
      </c>
      <c r="AN28" s="24">
        <f>IF(AM27&gt;0,ROUND(AN27+ROUND(ROUND(AN27*100,0)*ROUND(AK$7*10000,0)/12000000,0)/100+0.02,2),0)</f>
        <v>0</v>
      </c>
      <c r="AO28" s="24">
        <f>IF(AQ27&gt;0,IF(AND(ROUND(AQ27+AP28-ROUND(AO$6+IF(AO$5=$C28,$E$5+$E28,0),2),2)&gt;0,ROUND(AQ27+AP28-ROUND(AO$6+IF(AO$5=$C28,$E$5+$E28,0),2),2)&lt;=AR28,ROUND(AQ27+AP28-ROUND(AO$6+IF(AO$5=$C28,$E$5+$E28,0),2),2)*10&lt;=ROUND(AO$6+IF(AO$5=$C28,$E$5+$E28,0),2)),ROUND(AQ27+AP28,2),MIN(ROUND(AO$6+IF(AO$5=$C28,$E$5+$E28,0),2),ROUND(AQ27+AP28,2))),0)</f>
        <v>0</v>
      </c>
      <c r="AP28" s="24">
        <f>IF(AQ27&gt;0,ROUND(ROUND(AQ27*100,0)*ROUND(AO$7*10000,0)/12000000,0)/100,0)</f>
        <v>0</v>
      </c>
      <c r="AQ28" s="24">
        <f>IF(AQ27&gt;0,ROUND(AQ27+AP28-AO28,2),0)</f>
        <v>0</v>
      </c>
      <c r="AR28" s="24">
        <f>IF(AQ27&gt;0,ROUND(AR27+ROUND(ROUND(AR27*100,0)*ROUND(AO$7*10000,0)/12000000,0)/100+0.02,2),0)</f>
        <v>0</v>
      </c>
      <c r="AS28" s="24">
        <f>IF(AU27&gt;0,IF(AND(ROUND(AU27+AT28-ROUND(AS$6+IF(AS$5=$C28,$E$5+$E28,0),2),2)&gt;0,ROUND(AU27+AT28-ROUND(AS$6+IF(AS$5=$C28,$E$5+$E28,0),2),2)&lt;=AV28,ROUND(AU27+AT28-ROUND(AS$6+IF(AS$5=$C28,$E$5+$E28,0),2),2)*10&lt;=ROUND(AS$6+IF(AS$5=$C28,$E$5+$E28,0),2)),ROUND(AU27+AT28,2),MIN(ROUND(AS$6+IF(AS$5=$C28,$E$5+$E28,0),2),ROUND(AU27+AT28,2))),0)</f>
        <v>0</v>
      </c>
      <c r="AT28" s="24">
        <f>IF(AU27&gt;0,ROUND(ROUND(AU27*100,0)*ROUND(AS$7*10000,0)/12000000,0)/100,0)</f>
        <v>0</v>
      </c>
      <c r="AU28" s="24">
        <f>IF(AU27&gt;0,ROUND(AU27+AT28-AS28,2),0)</f>
        <v>0</v>
      </c>
      <c r="AV28" s="24">
        <f>IF(AU27&gt;0,ROUND(AV27+ROUND(ROUND(AV27*100,0)*ROUND(AS$7*10000,0)/12000000,0)/100+0.02,2),0)</f>
        <v>0</v>
      </c>
    </row>
    <row r="29" spans="1:48" x14ac:dyDescent="0.25">
      <c r="A29" s="17">
        <f>IF(F29&gt;0,19,"")</f>
        <v>19</v>
      </c>
      <c r="B29" s="18">
        <f>IF(F29&gt;0,EDATE($E$6,19),"")</f>
        <v>46910</v>
      </c>
      <c r="C29" s="21">
        <f>IF(H28&gt;0,MIN(IF(K28&gt;0,I$5,99),IF(O28&gt;0,M$5,99),IF(S28&gt;0,Q$5,99),IF(W28&gt;0,U$5,99),IF(AA28&gt;0,Y$5,99),IF(AE28&gt;0,AC$5,99),IF(AI28&gt;0,AG$5,99),IF(AM28&gt;0,AK$5,99),IF(AQ28&gt;0,AO$5,99),IF(AU28&gt;0,AS$5,99)),0)</f>
        <v>3</v>
      </c>
      <c r="D29" t="str">
        <f>IF(C29&gt;0,INDEX($I$4:$AV$4,1,MATCH(C29,$I$5:$AV$5,0)),"")</f>
        <v>Préstamo de coche</v>
      </c>
      <c r="E29" s="24">
        <f>ROUND(IF(AND(I$8&gt;0,K28=0),I$6,0)+IF(AND(M$8&gt;0,O28=0),M$6,0)+IF(AND(Q$8&gt;0,S28=0),Q$6,0)+IF(AND(U$8&gt;0,W28=0),U$6,0)+IF(AND(Y$8&gt;0,AA28=0),Y$6,0)+IF(AND(AC$8&gt;0,AE28=0),AC$6,0)+IF(AND(AG$8&gt;0,AI28=0),AG$6,0)+IF(AND(AK$8&gt;0,AM28=0),AK$6,0)+IF(AND(AO$8&gt;0,AQ28=0),AO$6,0)+IF(AND(AS$8&gt;0,AU28=0),AS$6,0),2)</f>
        <v>125</v>
      </c>
      <c r="F29" s="24">
        <f>ROUND(I29+M29+Q29+U29+Y29+AC29+AG29+AK29+AO29+AS29,2)</f>
        <v>475</v>
      </c>
      <c r="G29" s="24">
        <f>ROUND(J29+N29+R29+V29+Z29+AD29+AH29+AL29+AP29+AT29,2)</f>
        <v>23.5</v>
      </c>
      <c r="H29" s="24">
        <f>ROUND(K29+O29+S29+W29+AA29+AE29+AI29+AM29+AQ29+AU29,2)</f>
        <v>4247.89</v>
      </c>
      <c r="I29" s="24">
        <f>IF(K28&gt;0,IF(AND(ROUND(K28+J29-ROUND(I$6+IF(I$5=$C29,$E$5+$E29,0),2),2)&gt;0,ROUND(K28+J29-ROUND(I$6+IF(I$5=$C29,$E$5+$E29,0),2),2)&lt;=L29,ROUND(K28+J29-ROUND(I$6+IF(I$5=$C29,$E$5+$E29,0),2),2)*10&lt;=ROUND(I$6+IF(I$5=$C29,$E$5+$E29,0),2)),ROUND(K28+J29,2),MIN(ROUND(I$6+IF(I$5=$C29,$E$5+$E29,0),2),ROUND(K28+J29,2))),0)</f>
        <v>0</v>
      </c>
      <c r="J29" s="24">
        <f>IF(K28&gt;0,ROUND(ROUND(K28*100,0)*ROUND(I$7*10000,0)/12000000,0)/100,0)</f>
        <v>0</v>
      </c>
      <c r="K29" s="24">
        <f>IF(K28&gt;0,ROUND(K28+J29-I29,2),0)</f>
        <v>0</v>
      </c>
      <c r="L29" s="24">
        <f>IF(K28&gt;0,ROUND(L28+ROUND(ROUND(L28*100,0)*ROUND(I$7*10000,0)/12000000,0)/100+0.02,2),0)</f>
        <v>0</v>
      </c>
      <c r="M29" s="24">
        <f>IF(O28&gt;0,IF(AND(ROUND(O28+N29-ROUND(M$6+IF(M$5=$C29,$E$5+$E29,0),2),2)&gt;0,ROUND(O28+N29-ROUND(M$6+IF(M$5=$C29,$E$5+$E29,0),2),2)&lt;=P29,ROUND(O28+N29-ROUND(M$6+IF(M$5=$C29,$E$5+$E29,0),2),2)*10&lt;=ROUND(M$6+IF(M$5=$C29,$E$5+$E29,0),2)),ROUND(O28+N29,2),MIN(ROUND(M$6+IF(M$5=$C29,$E$5+$E29,0),2),ROUND(O28+N29,2))),0)</f>
        <v>475</v>
      </c>
      <c r="N29" s="24">
        <f>IF(O28&gt;0,ROUND(ROUND(O28*100,0)*ROUND(M$7*10000,0)/12000000,0)/100,0)</f>
        <v>23.5</v>
      </c>
      <c r="O29" s="24">
        <f>IF(O28&gt;0,ROUND(O28+N29-M29,2),0)</f>
        <v>4247.89</v>
      </c>
      <c r="P29" s="24">
        <f>IF(O28&gt;0,ROUND(P28+ROUND(ROUND(P28*100,0)*ROUND(M$7*10000,0)/12000000,0)/100+0.02,2),0)</f>
        <v>0.38</v>
      </c>
      <c r="Q29" s="24">
        <f>IF(S28&gt;0,IF(AND(ROUND(S28+R29-ROUND(Q$6+IF(Q$5=$C29,$E$5+$E29,0),2),2)&gt;0,ROUND(S28+R29-ROUND(Q$6+IF(Q$5=$C29,$E$5+$E29,0),2),2)&lt;=T29,ROUND(S28+R29-ROUND(Q$6+IF(Q$5=$C29,$E$5+$E29,0),2),2)*10&lt;=ROUND(Q$6+IF(Q$5=$C29,$E$5+$E29,0),2)),ROUND(S28+R29,2),MIN(ROUND(Q$6+IF(Q$5=$C29,$E$5+$E29,0),2),ROUND(S28+R29,2))),0)</f>
        <v>0</v>
      </c>
      <c r="R29" s="24">
        <f>IF(S28&gt;0,ROUND(ROUND(S28*100,0)*ROUND(Q$7*10000,0)/12000000,0)/100,0)</f>
        <v>0</v>
      </c>
      <c r="S29" s="24">
        <f>IF(S28&gt;0,ROUND(S28+R29-Q29,2),0)</f>
        <v>0</v>
      </c>
      <c r="T29" s="24">
        <f>IF(S28&gt;0,ROUND(T28+ROUND(ROUND(T28*100,0)*ROUND(Q$7*10000,0)/12000000,0)/100+0.02,2),0)</f>
        <v>0</v>
      </c>
      <c r="U29" s="24">
        <f>IF(W28&gt;0,IF(AND(ROUND(W28+V29-ROUND(U$6+IF(U$5=$C29,$E$5+$E29,0),2),2)&gt;0,ROUND(W28+V29-ROUND(U$6+IF(U$5=$C29,$E$5+$E29,0),2),2)&lt;=X29,ROUND(W28+V29-ROUND(U$6+IF(U$5=$C29,$E$5+$E29,0),2),2)*10&lt;=ROUND(U$6+IF(U$5=$C29,$E$5+$E29,0),2)),ROUND(W28+V29,2),MIN(ROUND(U$6+IF(U$5=$C29,$E$5+$E29,0),2),ROUND(W28+V29,2))),0)</f>
        <v>0</v>
      </c>
      <c r="V29" s="24">
        <f>IF(W28&gt;0,ROUND(ROUND(W28*100,0)*ROUND(U$7*10000,0)/12000000,0)/100,0)</f>
        <v>0</v>
      </c>
      <c r="W29" s="24">
        <f>IF(W28&gt;0,ROUND(W28+V29-U29,2),0)</f>
        <v>0</v>
      </c>
      <c r="X29" s="24">
        <f>IF(W28&gt;0,ROUND(X28+ROUND(ROUND(X28*100,0)*ROUND(U$7*10000,0)/12000000,0)/100+0.02,2),0)</f>
        <v>0</v>
      </c>
      <c r="Y29" s="24">
        <f>IF(AA28&gt;0,IF(AND(ROUND(AA28+Z29-ROUND(Y$6+IF(Y$5=$C29,$E$5+$E29,0),2),2)&gt;0,ROUND(AA28+Z29-ROUND(Y$6+IF(Y$5=$C29,$E$5+$E29,0),2),2)&lt;=AB29,ROUND(AA28+Z29-ROUND(Y$6+IF(Y$5=$C29,$E$5+$E29,0),2),2)*10&lt;=ROUND(Y$6+IF(Y$5=$C29,$E$5+$E29,0),2)),ROUND(AA28+Z29,2),MIN(ROUND(Y$6+IF(Y$5=$C29,$E$5+$E29,0),2),ROUND(AA28+Z29,2))),0)</f>
        <v>0</v>
      </c>
      <c r="Z29" s="24">
        <f>IF(AA28&gt;0,ROUND(ROUND(AA28*100,0)*ROUND(Y$7*10000,0)/12000000,0)/100,0)</f>
        <v>0</v>
      </c>
      <c r="AA29" s="24">
        <f>IF(AA28&gt;0,ROUND(AA28+Z29-Y29,2),0)</f>
        <v>0</v>
      </c>
      <c r="AB29" s="24">
        <f>IF(AA28&gt;0,ROUND(AB28+ROUND(ROUND(AB28*100,0)*ROUND(Y$7*10000,0)/12000000,0)/100+0.02,2),0)</f>
        <v>0</v>
      </c>
      <c r="AC29" s="24">
        <f>IF(AE28&gt;0,IF(AND(ROUND(AE28+AD29-ROUND(AC$6+IF(AC$5=$C29,$E$5+$E29,0),2),2)&gt;0,ROUND(AE28+AD29-ROUND(AC$6+IF(AC$5=$C29,$E$5+$E29,0),2),2)&lt;=AF29,ROUND(AE28+AD29-ROUND(AC$6+IF(AC$5=$C29,$E$5+$E29,0),2),2)*10&lt;=ROUND(AC$6+IF(AC$5=$C29,$E$5+$E29,0),2)),ROUND(AE28+AD29,2),MIN(ROUND(AC$6+IF(AC$5=$C29,$E$5+$E29,0),2),ROUND(AE28+AD29,2))),0)</f>
        <v>0</v>
      </c>
      <c r="AD29" s="24">
        <f>IF(AE28&gt;0,ROUND(ROUND(AE28*100,0)*ROUND(AC$7*10000,0)/12000000,0)/100,0)</f>
        <v>0</v>
      </c>
      <c r="AE29" s="24">
        <f>IF(AE28&gt;0,ROUND(AE28+AD29-AC29,2),0)</f>
        <v>0</v>
      </c>
      <c r="AF29" s="24">
        <f>IF(AE28&gt;0,ROUND(AF28+ROUND(ROUND(AF28*100,0)*ROUND(AC$7*10000,0)/12000000,0)/100+0.02,2),0)</f>
        <v>0</v>
      </c>
      <c r="AG29" s="24">
        <f>IF(AI28&gt;0,IF(AND(ROUND(AI28+AH29-ROUND(AG$6+IF(AG$5=$C29,$E$5+$E29,0),2),2)&gt;0,ROUND(AI28+AH29-ROUND(AG$6+IF(AG$5=$C29,$E$5+$E29,0),2),2)&lt;=AJ29,ROUND(AI28+AH29-ROUND(AG$6+IF(AG$5=$C29,$E$5+$E29,0),2),2)*10&lt;=ROUND(AG$6+IF(AG$5=$C29,$E$5+$E29,0),2)),ROUND(AI28+AH29,2),MIN(ROUND(AG$6+IF(AG$5=$C29,$E$5+$E29,0),2),ROUND(AI28+AH29,2))),0)</f>
        <v>0</v>
      </c>
      <c r="AH29" s="24">
        <f>IF(AI28&gt;0,ROUND(ROUND(AI28*100,0)*ROUND(AG$7*10000,0)/12000000,0)/100,0)</f>
        <v>0</v>
      </c>
      <c r="AI29" s="24">
        <f>IF(AI28&gt;0,ROUND(AI28+AH29-AG29,2),0)</f>
        <v>0</v>
      </c>
      <c r="AJ29" s="24">
        <f>IF(AI28&gt;0,ROUND(AJ28+ROUND(ROUND(AJ28*100,0)*ROUND(AG$7*10000,0)/12000000,0)/100+0.02,2),0)</f>
        <v>0</v>
      </c>
      <c r="AK29" s="24">
        <f>IF(AM28&gt;0,IF(AND(ROUND(AM28+AL29-ROUND(AK$6+IF(AK$5=$C29,$E$5+$E29,0),2),2)&gt;0,ROUND(AM28+AL29-ROUND(AK$6+IF(AK$5=$C29,$E$5+$E29,0),2),2)&lt;=AN29,ROUND(AM28+AL29-ROUND(AK$6+IF(AK$5=$C29,$E$5+$E29,0),2),2)*10&lt;=ROUND(AK$6+IF(AK$5=$C29,$E$5+$E29,0),2)),ROUND(AM28+AL29,2),MIN(ROUND(AK$6+IF(AK$5=$C29,$E$5+$E29,0),2),ROUND(AM28+AL29,2))),0)</f>
        <v>0</v>
      </c>
      <c r="AL29" s="24">
        <f>IF(AM28&gt;0,ROUND(ROUND(AM28*100,0)*ROUND(AK$7*10000,0)/12000000,0)/100,0)</f>
        <v>0</v>
      </c>
      <c r="AM29" s="24">
        <f>IF(AM28&gt;0,ROUND(AM28+AL29-AK29,2),0)</f>
        <v>0</v>
      </c>
      <c r="AN29" s="24">
        <f>IF(AM28&gt;0,ROUND(AN28+ROUND(ROUND(AN28*100,0)*ROUND(AK$7*10000,0)/12000000,0)/100+0.02,2),0)</f>
        <v>0</v>
      </c>
      <c r="AO29" s="24">
        <f>IF(AQ28&gt;0,IF(AND(ROUND(AQ28+AP29-ROUND(AO$6+IF(AO$5=$C29,$E$5+$E29,0),2),2)&gt;0,ROUND(AQ28+AP29-ROUND(AO$6+IF(AO$5=$C29,$E$5+$E29,0),2),2)&lt;=AR29,ROUND(AQ28+AP29-ROUND(AO$6+IF(AO$5=$C29,$E$5+$E29,0),2),2)*10&lt;=ROUND(AO$6+IF(AO$5=$C29,$E$5+$E29,0),2)),ROUND(AQ28+AP29,2),MIN(ROUND(AO$6+IF(AO$5=$C29,$E$5+$E29,0),2),ROUND(AQ28+AP29,2))),0)</f>
        <v>0</v>
      </c>
      <c r="AP29" s="24">
        <f>IF(AQ28&gt;0,ROUND(ROUND(AQ28*100,0)*ROUND(AO$7*10000,0)/12000000,0)/100,0)</f>
        <v>0</v>
      </c>
      <c r="AQ29" s="24">
        <f>IF(AQ28&gt;0,ROUND(AQ28+AP29-AO29,2),0)</f>
        <v>0</v>
      </c>
      <c r="AR29" s="24">
        <f>IF(AQ28&gt;0,ROUND(AR28+ROUND(ROUND(AR28*100,0)*ROUND(AO$7*10000,0)/12000000,0)/100+0.02,2),0)</f>
        <v>0</v>
      </c>
      <c r="AS29" s="24">
        <f>IF(AU28&gt;0,IF(AND(ROUND(AU28+AT29-ROUND(AS$6+IF(AS$5=$C29,$E$5+$E29,0),2),2)&gt;0,ROUND(AU28+AT29-ROUND(AS$6+IF(AS$5=$C29,$E$5+$E29,0),2),2)&lt;=AV29,ROUND(AU28+AT29-ROUND(AS$6+IF(AS$5=$C29,$E$5+$E29,0),2),2)*10&lt;=ROUND(AS$6+IF(AS$5=$C29,$E$5+$E29,0),2)),ROUND(AU28+AT29,2),MIN(ROUND(AS$6+IF(AS$5=$C29,$E$5+$E29,0),2),ROUND(AU28+AT29,2))),0)</f>
        <v>0</v>
      </c>
      <c r="AT29" s="24">
        <f>IF(AU28&gt;0,ROUND(ROUND(AU28*100,0)*ROUND(AS$7*10000,0)/12000000,0)/100,0)</f>
        <v>0</v>
      </c>
      <c r="AU29" s="24">
        <f>IF(AU28&gt;0,ROUND(AU28+AT29-AS29,2),0)</f>
        <v>0</v>
      </c>
      <c r="AV29" s="24">
        <f>IF(AU28&gt;0,ROUND(AV28+ROUND(ROUND(AV28*100,0)*ROUND(AS$7*10000,0)/12000000,0)/100+0.02,2),0)</f>
        <v>0</v>
      </c>
    </row>
    <row r="30" spans="1:48" x14ac:dyDescent="0.25">
      <c r="A30" s="17">
        <f>IF(F30&gt;0,20,"")</f>
        <v>20</v>
      </c>
      <c r="B30" s="18">
        <f>IF(F30&gt;0,EDATE($E$6,20),"")</f>
        <v>46940</v>
      </c>
      <c r="C30" s="21">
        <f>IF(H29&gt;0,MIN(IF(K29&gt;0,I$5,99),IF(O29&gt;0,M$5,99),IF(S29&gt;0,Q$5,99),IF(W29&gt;0,U$5,99),IF(AA29&gt;0,Y$5,99),IF(AE29&gt;0,AC$5,99),IF(AI29&gt;0,AG$5,99),IF(AM29&gt;0,AK$5,99),IF(AQ29&gt;0,AO$5,99),IF(AU29&gt;0,AS$5,99)),0)</f>
        <v>3</v>
      </c>
      <c r="D30" t="str">
        <f>IF(C30&gt;0,INDEX($I$4:$AV$4,1,MATCH(C30,$I$5:$AV$5,0)),"")</f>
        <v>Préstamo de coche</v>
      </c>
      <c r="E30" s="24">
        <f>ROUND(IF(AND(I$8&gt;0,K29=0),I$6,0)+IF(AND(M$8&gt;0,O29=0),M$6,0)+IF(AND(Q$8&gt;0,S29=0),Q$6,0)+IF(AND(U$8&gt;0,W29=0),U$6,0)+IF(AND(Y$8&gt;0,AA29=0),Y$6,0)+IF(AND(AC$8&gt;0,AE29=0),AC$6,0)+IF(AND(AG$8&gt;0,AI29=0),AG$6,0)+IF(AND(AK$8&gt;0,AM29=0),AK$6,0)+IF(AND(AO$8&gt;0,AQ29=0),AO$6,0)+IF(AND(AS$8&gt;0,AU29=0),AS$6,0),2)</f>
        <v>125</v>
      </c>
      <c r="F30" s="24">
        <f>ROUND(I30+M30+Q30+U30+Y30+AC30+AG30+AK30+AO30+AS30,2)</f>
        <v>475</v>
      </c>
      <c r="G30" s="24">
        <f>ROUND(J30+N30+R30+V30+Z30+AD30+AH30+AL30+AP30+AT30,2)</f>
        <v>21.24</v>
      </c>
      <c r="H30" s="24">
        <f>ROUND(K30+O30+S30+W30+AA30+AE30+AI30+AM30+AQ30+AU30,2)</f>
        <v>3794.13</v>
      </c>
      <c r="I30" s="24">
        <f>IF(K29&gt;0,IF(AND(ROUND(K29+J30-ROUND(I$6+IF(I$5=$C30,$E$5+$E30,0),2),2)&gt;0,ROUND(K29+J30-ROUND(I$6+IF(I$5=$C30,$E$5+$E30,0),2),2)&lt;=L30,ROUND(K29+J30-ROUND(I$6+IF(I$5=$C30,$E$5+$E30,0),2),2)*10&lt;=ROUND(I$6+IF(I$5=$C30,$E$5+$E30,0),2)),ROUND(K29+J30,2),MIN(ROUND(I$6+IF(I$5=$C30,$E$5+$E30,0),2),ROUND(K29+J30,2))),0)</f>
        <v>0</v>
      </c>
      <c r="J30" s="24">
        <f>IF(K29&gt;0,ROUND(ROUND(K29*100,0)*ROUND(I$7*10000,0)/12000000,0)/100,0)</f>
        <v>0</v>
      </c>
      <c r="K30" s="24">
        <f>IF(K29&gt;0,ROUND(K29+J30-I30,2),0)</f>
        <v>0</v>
      </c>
      <c r="L30" s="24">
        <f>IF(K29&gt;0,ROUND(L29+ROUND(ROUND(L29*100,0)*ROUND(I$7*10000,0)/12000000,0)/100+0.02,2),0)</f>
        <v>0</v>
      </c>
      <c r="M30" s="24">
        <f>IF(O29&gt;0,IF(AND(ROUND(O29+N30-ROUND(M$6+IF(M$5=$C30,$E$5+$E30,0),2),2)&gt;0,ROUND(O29+N30-ROUND(M$6+IF(M$5=$C30,$E$5+$E30,0),2),2)&lt;=P30,ROUND(O29+N30-ROUND(M$6+IF(M$5=$C30,$E$5+$E30,0),2),2)*10&lt;=ROUND(M$6+IF(M$5=$C30,$E$5+$E30,0),2)),ROUND(O29+N30,2),MIN(ROUND(M$6+IF(M$5=$C30,$E$5+$E30,0),2),ROUND(O29+N30,2))),0)</f>
        <v>475</v>
      </c>
      <c r="N30" s="24">
        <f>IF(O29&gt;0,ROUND(ROUND(O29*100,0)*ROUND(M$7*10000,0)/12000000,0)/100,0)</f>
        <v>21.24</v>
      </c>
      <c r="O30" s="24">
        <f>IF(O29&gt;0,ROUND(O29+N30-M30,2),0)</f>
        <v>3794.13</v>
      </c>
      <c r="P30" s="24">
        <f>IF(O29&gt;0,ROUND(P29+ROUND(ROUND(P29*100,0)*ROUND(M$7*10000,0)/12000000,0)/100+0.02,2),0)</f>
        <v>0.4</v>
      </c>
      <c r="Q30" s="24">
        <f>IF(S29&gt;0,IF(AND(ROUND(S29+R30-ROUND(Q$6+IF(Q$5=$C30,$E$5+$E30,0),2),2)&gt;0,ROUND(S29+R30-ROUND(Q$6+IF(Q$5=$C30,$E$5+$E30,0),2),2)&lt;=T30,ROUND(S29+R30-ROUND(Q$6+IF(Q$5=$C30,$E$5+$E30,0),2),2)*10&lt;=ROUND(Q$6+IF(Q$5=$C30,$E$5+$E30,0),2)),ROUND(S29+R30,2),MIN(ROUND(Q$6+IF(Q$5=$C30,$E$5+$E30,0),2),ROUND(S29+R30,2))),0)</f>
        <v>0</v>
      </c>
      <c r="R30" s="24">
        <f>IF(S29&gt;0,ROUND(ROUND(S29*100,0)*ROUND(Q$7*10000,0)/12000000,0)/100,0)</f>
        <v>0</v>
      </c>
      <c r="S30" s="24">
        <f>IF(S29&gt;0,ROUND(S29+R30-Q30,2),0)</f>
        <v>0</v>
      </c>
      <c r="T30" s="24">
        <f>IF(S29&gt;0,ROUND(T29+ROUND(ROUND(T29*100,0)*ROUND(Q$7*10000,0)/12000000,0)/100+0.02,2),0)</f>
        <v>0</v>
      </c>
      <c r="U30" s="24">
        <f>IF(W29&gt;0,IF(AND(ROUND(W29+V30-ROUND(U$6+IF(U$5=$C30,$E$5+$E30,0),2),2)&gt;0,ROUND(W29+V30-ROUND(U$6+IF(U$5=$C30,$E$5+$E30,0),2),2)&lt;=X30,ROUND(W29+V30-ROUND(U$6+IF(U$5=$C30,$E$5+$E30,0),2),2)*10&lt;=ROUND(U$6+IF(U$5=$C30,$E$5+$E30,0),2)),ROUND(W29+V30,2),MIN(ROUND(U$6+IF(U$5=$C30,$E$5+$E30,0),2),ROUND(W29+V30,2))),0)</f>
        <v>0</v>
      </c>
      <c r="V30" s="24">
        <f>IF(W29&gt;0,ROUND(ROUND(W29*100,0)*ROUND(U$7*10000,0)/12000000,0)/100,0)</f>
        <v>0</v>
      </c>
      <c r="W30" s="24">
        <f>IF(W29&gt;0,ROUND(W29+V30-U30,2),0)</f>
        <v>0</v>
      </c>
      <c r="X30" s="24">
        <f>IF(W29&gt;0,ROUND(X29+ROUND(ROUND(X29*100,0)*ROUND(U$7*10000,0)/12000000,0)/100+0.02,2),0)</f>
        <v>0</v>
      </c>
      <c r="Y30" s="24">
        <f>IF(AA29&gt;0,IF(AND(ROUND(AA29+Z30-ROUND(Y$6+IF(Y$5=$C30,$E$5+$E30,0),2),2)&gt;0,ROUND(AA29+Z30-ROUND(Y$6+IF(Y$5=$C30,$E$5+$E30,0),2),2)&lt;=AB30,ROUND(AA29+Z30-ROUND(Y$6+IF(Y$5=$C30,$E$5+$E30,0),2),2)*10&lt;=ROUND(Y$6+IF(Y$5=$C30,$E$5+$E30,0),2)),ROUND(AA29+Z30,2),MIN(ROUND(Y$6+IF(Y$5=$C30,$E$5+$E30,0),2),ROUND(AA29+Z30,2))),0)</f>
        <v>0</v>
      </c>
      <c r="Z30" s="24">
        <f>IF(AA29&gt;0,ROUND(ROUND(AA29*100,0)*ROUND(Y$7*10000,0)/12000000,0)/100,0)</f>
        <v>0</v>
      </c>
      <c r="AA30" s="24">
        <f>IF(AA29&gt;0,ROUND(AA29+Z30-Y30,2),0)</f>
        <v>0</v>
      </c>
      <c r="AB30" s="24">
        <f>IF(AA29&gt;0,ROUND(AB29+ROUND(ROUND(AB29*100,0)*ROUND(Y$7*10000,0)/12000000,0)/100+0.02,2),0)</f>
        <v>0</v>
      </c>
      <c r="AC30" s="24">
        <f>IF(AE29&gt;0,IF(AND(ROUND(AE29+AD30-ROUND(AC$6+IF(AC$5=$C30,$E$5+$E30,0),2),2)&gt;0,ROUND(AE29+AD30-ROUND(AC$6+IF(AC$5=$C30,$E$5+$E30,0),2),2)&lt;=AF30,ROUND(AE29+AD30-ROUND(AC$6+IF(AC$5=$C30,$E$5+$E30,0),2),2)*10&lt;=ROUND(AC$6+IF(AC$5=$C30,$E$5+$E30,0),2)),ROUND(AE29+AD30,2),MIN(ROUND(AC$6+IF(AC$5=$C30,$E$5+$E30,0),2),ROUND(AE29+AD30,2))),0)</f>
        <v>0</v>
      </c>
      <c r="AD30" s="24">
        <f>IF(AE29&gt;0,ROUND(ROUND(AE29*100,0)*ROUND(AC$7*10000,0)/12000000,0)/100,0)</f>
        <v>0</v>
      </c>
      <c r="AE30" s="24">
        <f>IF(AE29&gt;0,ROUND(AE29+AD30-AC30,2),0)</f>
        <v>0</v>
      </c>
      <c r="AF30" s="24">
        <f>IF(AE29&gt;0,ROUND(AF29+ROUND(ROUND(AF29*100,0)*ROUND(AC$7*10000,0)/12000000,0)/100+0.02,2),0)</f>
        <v>0</v>
      </c>
      <c r="AG30" s="24">
        <f>IF(AI29&gt;0,IF(AND(ROUND(AI29+AH30-ROUND(AG$6+IF(AG$5=$C30,$E$5+$E30,0),2),2)&gt;0,ROUND(AI29+AH30-ROUND(AG$6+IF(AG$5=$C30,$E$5+$E30,0),2),2)&lt;=AJ30,ROUND(AI29+AH30-ROUND(AG$6+IF(AG$5=$C30,$E$5+$E30,0),2),2)*10&lt;=ROUND(AG$6+IF(AG$5=$C30,$E$5+$E30,0),2)),ROUND(AI29+AH30,2),MIN(ROUND(AG$6+IF(AG$5=$C30,$E$5+$E30,0),2),ROUND(AI29+AH30,2))),0)</f>
        <v>0</v>
      </c>
      <c r="AH30" s="24">
        <f>IF(AI29&gt;0,ROUND(ROUND(AI29*100,0)*ROUND(AG$7*10000,0)/12000000,0)/100,0)</f>
        <v>0</v>
      </c>
      <c r="AI30" s="24">
        <f>IF(AI29&gt;0,ROUND(AI29+AH30-AG30,2),0)</f>
        <v>0</v>
      </c>
      <c r="AJ30" s="24">
        <f>IF(AI29&gt;0,ROUND(AJ29+ROUND(ROUND(AJ29*100,0)*ROUND(AG$7*10000,0)/12000000,0)/100+0.02,2),0)</f>
        <v>0</v>
      </c>
      <c r="AK30" s="24">
        <f>IF(AM29&gt;0,IF(AND(ROUND(AM29+AL30-ROUND(AK$6+IF(AK$5=$C30,$E$5+$E30,0),2),2)&gt;0,ROUND(AM29+AL30-ROUND(AK$6+IF(AK$5=$C30,$E$5+$E30,0),2),2)&lt;=AN30,ROUND(AM29+AL30-ROUND(AK$6+IF(AK$5=$C30,$E$5+$E30,0),2),2)*10&lt;=ROUND(AK$6+IF(AK$5=$C30,$E$5+$E30,0),2)),ROUND(AM29+AL30,2),MIN(ROUND(AK$6+IF(AK$5=$C30,$E$5+$E30,0),2),ROUND(AM29+AL30,2))),0)</f>
        <v>0</v>
      </c>
      <c r="AL30" s="24">
        <f>IF(AM29&gt;0,ROUND(ROUND(AM29*100,0)*ROUND(AK$7*10000,0)/12000000,0)/100,0)</f>
        <v>0</v>
      </c>
      <c r="AM30" s="24">
        <f>IF(AM29&gt;0,ROUND(AM29+AL30-AK30,2),0)</f>
        <v>0</v>
      </c>
      <c r="AN30" s="24">
        <f>IF(AM29&gt;0,ROUND(AN29+ROUND(ROUND(AN29*100,0)*ROUND(AK$7*10000,0)/12000000,0)/100+0.02,2),0)</f>
        <v>0</v>
      </c>
      <c r="AO30" s="24">
        <f>IF(AQ29&gt;0,IF(AND(ROUND(AQ29+AP30-ROUND(AO$6+IF(AO$5=$C30,$E$5+$E30,0),2),2)&gt;0,ROUND(AQ29+AP30-ROUND(AO$6+IF(AO$5=$C30,$E$5+$E30,0),2),2)&lt;=AR30,ROUND(AQ29+AP30-ROUND(AO$6+IF(AO$5=$C30,$E$5+$E30,0),2),2)*10&lt;=ROUND(AO$6+IF(AO$5=$C30,$E$5+$E30,0),2)),ROUND(AQ29+AP30,2),MIN(ROUND(AO$6+IF(AO$5=$C30,$E$5+$E30,0),2),ROUND(AQ29+AP30,2))),0)</f>
        <v>0</v>
      </c>
      <c r="AP30" s="24">
        <f>IF(AQ29&gt;0,ROUND(ROUND(AQ29*100,0)*ROUND(AO$7*10000,0)/12000000,0)/100,0)</f>
        <v>0</v>
      </c>
      <c r="AQ30" s="24">
        <f>IF(AQ29&gt;0,ROUND(AQ29+AP30-AO30,2),0)</f>
        <v>0</v>
      </c>
      <c r="AR30" s="24">
        <f>IF(AQ29&gt;0,ROUND(AR29+ROUND(ROUND(AR29*100,0)*ROUND(AO$7*10000,0)/12000000,0)/100+0.02,2),0)</f>
        <v>0</v>
      </c>
      <c r="AS30" s="24">
        <f>IF(AU29&gt;0,IF(AND(ROUND(AU29+AT30-ROUND(AS$6+IF(AS$5=$C30,$E$5+$E30,0),2),2)&gt;0,ROUND(AU29+AT30-ROUND(AS$6+IF(AS$5=$C30,$E$5+$E30,0),2),2)&lt;=AV30,ROUND(AU29+AT30-ROUND(AS$6+IF(AS$5=$C30,$E$5+$E30,0),2),2)*10&lt;=ROUND(AS$6+IF(AS$5=$C30,$E$5+$E30,0),2)),ROUND(AU29+AT30,2),MIN(ROUND(AS$6+IF(AS$5=$C30,$E$5+$E30,0),2),ROUND(AU29+AT30,2))),0)</f>
        <v>0</v>
      </c>
      <c r="AT30" s="24">
        <f>IF(AU29&gt;0,ROUND(ROUND(AU29*100,0)*ROUND(AS$7*10000,0)/12000000,0)/100,0)</f>
        <v>0</v>
      </c>
      <c r="AU30" s="24">
        <f>IF(AU29&gt;0,ROUND(AU29+AT30-AS30,2),0)</f>
        <v>0</v>
      </c>
      <c r="AV30" s="24">
        <f>IF(AU29&gt;0,ROUND(AV29+ROUND(ROUND(AV29*100,0)*ROUND(AS$7*10000,0)/12000000,0)/100+0.02,2),0)</f>
        <v>0</v>
      </c>
    </row>
    <row r="31" spans="1:48" x14ac:dyDescent="0.25">
      <c r="A31" s="17">
        <f>IF(F31&gt;0,21,"")</f>
        <v>21</v>
      </c>
      <c r="B31" s="18">
        <f>IF(F31&gt;0,EDATE($E$6,21),"")</f>
        <v>46971</v>
      </c>
      <c r="C31" s="21">
        <f>IF(H30&gt;0,MIN(IF(K30&gt;0,I$5,99),IF(O30&gt;0,M$5,99),IF(S30&gt;0,Q$5,99),IF(W30&gt;0,U$5,99),IF(AA30&gt;0,Y$5,99),IF(AE30&gt;0,AC$5,99),IF(AI30&gt;0,AG$5,99),IF(AM30&gt;0,AK$5,99),IF(AQ30&gt;0,AO$5,99),IF(AU30&gt;0,AS$5,99)),0)</f>
        <v>3</v>
      </c>
      <c r="D31" t="str">
        <f>IF(C31&gt;0,INDEX($I$4:$AV$4,1,MATCH(C31,$I$5:$AV$5,0)),"")</f>
        <v>Préstamo de coche</v>
      </c>
      <c r="E31" s="24">
        <f>ROUND(IF(AND(I$8&gt;0,K30=0),I$6,0)+IF(AND(M$8&gt;0,O30=0),M$6,0)+IF(AND(Q$8&gt;0,S30=0),Q$6,0)+IF(AND(U$8&gt;0,W30=0),U$6,0)+IF(AND(Y$8&gt;0,AA30=0),Y$6,0)+IF(AND(AC$8&gt;0,AE30=0),AC$6,0)+IF(AND(AG$8&gt;0,AI30=0),AG$6,0)+IF(AND(AK$8&gt;0,AM30=0),AK$6,0)+IF(AND(AO$8&gt;0,AQ30=0),AO$6,0)+IF(AND(AS$8&gt;0,AU30=0),AS$6,0),2)</f>
        <v>125</v>
      </c>
      <c r="F31" s="24">
        <f>ROUND(I31+M31+Q31+U31+Y31+AC31+AG31+AK31+AO31+AS31,2)</f>
        <v>475</v>
      </c>
      <c r="G31" s="24">
        <f>ROUND(J31+N31+R31+V31+Z31+AD31+AH31+AL31+AP31+AT31,2)</f>
        <v>18.97</v>
      </c>
      <c r="H31" s="24">
        <f>ROUND(K31+O31+S31+W31+AA31+AE31+AI31+AM31+AQ31+AU31,2)</f>
        <v>3338.1</v>
      </c>
      <c r="I31" s="24">
        <f>IF(K30&gt;0,IF(AND(ROUND(K30+J31-ROUND(I$6+IF(I$5=$C31,$E$5+$E31,0),2),2)&gt;0,ROUND(K30+J31-ROUND(I$6+IF(I$5=$C31,$E$5+$E31,0),2),2)&lt;=L31,ROUND(K30+J31-ROUND(I$6+IF(I$5=$C31,$E$5+$E31,0),2),2)*10&lt;=ROUND(I$6+IF(I$5=$C31,$E$5+$E31,0),2)),ROUND(K30+J31,2),MIN(ROUND(I$6+IF(I$5=$C31,$E$5+$E31,0),2),ROUND(K30+J31,2))),0)</f>
        <v>0</v>
      </c>
      <c r="J31" s="24">
        <f>IF(K30&gt;0,ROUND(ROUND(K30*100,0)*ROUND(I$7*10000,0)/12000000,0)/100,0)</f>
        <v>0</v>
      </c>
      <c r="K31" s="24">
        <f>IF(K30&gt;0,ROUND(K30+J31-I31,2),0)</f>
        <v>0</v>
      </c>
      <c r="L31" s="24">
        <f>IF(K30&gt;0,ROUND(L30+ROUND(ROUND(L30*100,0)*ROUND(I$7*10000,0)/12000000,0)/100+0.02,2),0)</f>
        <v>0</v>
      </c>
      <c r="M31" s="24">
        <f>IF(O30&gt;0,IF(AND(ROUND(O30+N31-ROUND(M$6+IF(M$5=$C31,$E$5+$E31,0),2),2)&gt;0,ROUND(O30+N31-ROUND(M$6+IF(M$5=$C31,$E$5+$E31,0),2),2)&lt;=P31,ROUND(O30+N31-ROUND(M$6+IF(M$5=$C31,$E$5+$E31,0),2),2)*10&lt;=ROUND(M$6+IF(M$5=$C31,$E$5+$E31,0),2)),ROUND(O30+N31,2),MIN(ROUND(M$6+IF(M$5=$C31,$E$5+$E31,0),2),ROUND(O30+N31,2))),0)</f>
        <v>475</v>
      </c>
      <c r="N31" s="24">
        <f>IF(O30&gt;0,ROUND(ROUND(O30*100,0)*ROUND(M$7*10000,0)/12000000,0)/100,0)</f>
        <v>18.97</v>
      </c>
      <c r="O31" s="24">
        <f>IF(O30&gt;0,ROUND(O30+N31-M31,2),0)</f>
        <v>3338.1</v>
      </c>
      <c r="P31" s="24">
        <f>IF(O30&gt;0,ROUND(P30+ROUND(ROUND(P30*100,0)*ROUND(M$7*10000,0)/12000000,0)/100+0.02,2),0)</f>
        <v>0.42</v>
      </c>
      <c r="Q31" s="24">
        <f>IF(S30&gt;0,IF(AND(ROUND(S30+R31-ROUND(Q$6+IF(Q$5=$C31,$E$5+$E31,0),2),2)&gt;0,ROUND(S30+R31-ROUND(Q$6+IF(Q$5=$C31,$E$5+$E31,0),2),2)&lt;=T31,ROUND(S30+R31-ROUND(Q$6+IF(Q$5=$C31,$E$5+$E31,0),2),2)*10&lt;=ROUND(Q$6+IF(Q$5=$C31,$E$5+$E31,0),2)),ROUND(S30+R31,2),MIN(ROUND(Q$6+IF(Q$5=$C31,$E$5+$E31,0),2),ROUND(S30+R31,2))),0)</f>
        <v>0</v>
      </c>
      <c r="R31" s="24">
        <f>IF(S30&gt;0,ROUND(ROUND(S30*100,0)*ROUND(Q$7*10000,0)/12000000,0)/100,0)</f>
        <v>0</v>
      </c>
      <c r="S31" s="24">
        <f>IF(S30&gt;0,ROUND(S30+R31-Q31,2),0)</f>
        <v>0</v>
      </c>
      <c r="T31" s="24">
        <f>IF(S30&gt;0,ROUND(T30+ROUND(ROUND(T30*100,0)*ROUND(Q$7*10000,0)/12000000,0)/100+0.02,2),0)</f>
        <v>0</v>
      </c>
      <c r="U31" s="24">
        <f>IF(W30&gt;0,IF(AND(ROUND(W30+V31-ROUND(U$6+IF(U$5=$C31,$E$5+$E31,0),2),2)&gt;0,ROUND(W30+V31-ROUND(U$6+IF(U$5=$C31,$E$5+$E31,0),2),2)&lt;=X31,ROUND(W30+V31-ROUND(U$6+IF(U$5=$C31,$E$5+$E31,0),2),2)*10&lt;=ROUND(U$6+IF(U$5=$C31,$E$5+$E31,0),2)),ROUND(W30+V31,2),MIN(ROUND(U$6+IF(U$5=$C31,$E$5+$E31,0),2),ROUND(W30+V31,2))),0)</f>
        <v>0</v>
      </c>
      <c r="V31" s="24">
        <f>IF(W30&gt;0,ROUND(ROUND(W30*100,0)*ROUND(U$7*10000,0)/12000000,0)/100,0)</f>
        <v>0</v>
      </c>
      <c r="W31" s="24">
        <f>IF(W30&gt;0,ROUND(W30+V31-U31,2),0)</f>
        <v>0</v>
      </c>
      <c r="X31" s="24">
        <f>IF(W30&gt;0,ROUND(X30+ROUND(ROUND(X30*100,0)*ROUND(U$7*10000,0)/12000000,0)/100+0.02,2),0)</f>
        <v>0</v>
      </c>
      <c r="Y31" s="24">
        <f>IF(AA30&gt;0,IF(AND(ROUND(AA30+Z31-ROUND(Y$6+IF(Y$5=$C31,$E$5+$E31,0),2),2)&gt;0,ROUND(AA30+Z31-ROUND(Y$6+IF(Y$5=$C31,$E$5+$E31,0),2),2)&lt;=AB31,ROUND(AA30+Z31-ROUND(Y$6+IF(Y$5=$C31,$E$5+$E31,0),2),2)*10&lt;=ROUND(Y$6+IF(Y$5=$C31,$E$5+$E31,0),2)),ROUND(AA30+Z31,2),MIN(ROUND(Y$6+IF(Y$5=$C31,$E$5+$E31,0),2),ROUND(AA30+Z31,2))),0)</f>
        <v>0</v>
      </c>
      <c r="Z31" s="24">
        <f>IF(AA30&gt;0,ROUND(ROUND(AA30*100,0)*ROUND(Y$7*10000,0)/12000000,0)/100,0)</f>
        <v>0</v>
      </c>
      <c r="AA31" s="24">
        <f>IF(AA30&gt;0,ROUND(AA30+Z31-Y31,2),0)</f>
        <v>0</v>
      </c>
      <c r="AB31" s="24">
        <f>IF(AA30&gt;0,ROUND(AB30+ROUND(ROUND(AB30*100,0)*ROUND(Y$7*10000,0)/12000000,0)/100+0.02,2),0)</f>
        <v>0</v>
      </c>
      <c r="AC31" s="24">
        <f>IF(AE30&gt;0,IF(AND(ROUND(AE30+AD31-ROUND(AC$6+IF(AC$5=$C31,$E$5+$E31,0),2),2)&gt;0,ROUND(AE30+AD31-ROUND(AC$6+IF(AC$5=$C31,$E$5+$E31,0),2),2)&lt;=AF31,ROUND(AE30+AD31-ROUND(AC$6+IF(AC$5=$C31,$E$5+$E31,0),2),2)*10&lt;=ROUND(AC$6+IF(AC$5=$C31,$E$5+$E31,0),2)),ROUND(AE30+AD31,2),MIN(ROUND(AC$6+IF(AC$5=$C31,$E$5+$E31,0),2),ROUND(AE30+AD31,2))),0)</f>
        <v>0</v>
      </c>
      <c r="AD31" s="24">
        <f>IF(AE30&gt;0,ROUND(ROUND(AE30*100,0)*ROUND(AC$7*10000,0)/12000000,0)/100,0)</f>
        <v>0</v>
      </c>
      <c r="AE31" s="24">
        <f>IF(AE30&gt;0,ROUND(AE30+AD31-AC31,2),0)</f>
        <v>0</v>
      </c>
      <c r="AF31" s="24">
        <f>IF(AE30&gt;0,ROUND(AF30+ROUND(ROUND(AF30*100,0)*ROUND(AC$7*10000,0)/12000000,0)/100+0.02,2),0)</f>
        <v>0</v>
      </c>
      <c r="AG31" s="24">
        <f>IF(AI30&gt;0,IF(AND(ROUND(AI30+AH31-ROUND(AG$6+IF(AG$5=$C31,$E$5+$E31,0),2),2)&gt;0,ROUND(AI30+AH31-ROUND(AG$6+IF(AG$5=$C31,$E$5+$E31,0),2),2)&lt;=AJ31,ROUND(AI30+AH31-ROUND(AG$6+IF(AG$5=$C31,$E$5+$E31,0),2),2)*10&lt;=ROUND(AG$6+IF(AG$5=$C31,$E$5+$E31,0),2)),ROUND(AI30+AH31,2),MIN(ROUND(AG$6+IF(AG$5=$C31,$E$5+$E31,0),2),ROUND(AI30+AH31,2))),0)</f>
        <v>0</v>
      </c>
      <c r="AH31" s="24">
        <f>IF(AI30&gt;0,ROUND(ROUND(AI30*100,0)*ROUND(AG$7*10000,0)/12000000,0)/100,0)</f>
        <v>0</v>
      </c>
      <c r="AI31" s="24">
        <f>IF(AI30&gt;0,ROUND(AI30+AH31-AG31,2),0)</f>
        <v>0</v>
      </c>
      <c r="AJ31" s="24">
        <f>IF(AI30&gt;0,ROUND(AJ30+ROUND(ROUND(AJ30*100,0)*ROUND(AG$7*10000,0)/12000000,0)/100+0.02,2),0)</f>
        <v>0</v>
      </c>
      <c r="AK31" s="24">
        <f>IF(AM30&gt;0,IF(AND(ROUND(AM30+AL31-ROUND(AK$6+IF(AK$5=$C31,$E$5+$E31,0),2),2)&gt;0,ROUND(AM30+AL31-ROUND(AK$6+IF(AK$5=$C31,$E$5+$E31,0),2),2)&lt;=AN31,ROUND(AM30+AL31-ROUND(AK$6+IF(AK$5=$C31,$E$5+$E31,0),2),2)*10&lt;=ROUND(AK$6+IF(AK$5=$C31,$E$5+$E31,0),2)),ROUND(AM30+AL31,2),MIN(ROUND(AK$6+IF(AK$5=$C31,$E$5+$E31,0),2),ROUND(AM30+AL31,2))),0)</f>
        <v>0</v>
      </c>
      <c r="AL31" s="24">
        <f>IF(AM30&gt;0,ROUND(ROUND(AM30*100,0)*ROUND(AK$7*10000,0)/12000000,0)/100,0)</f>
        <v>0</v>
      </c>
      <c r="AM31" s="24">
        <f>IF(AM30&gt;0,ROUND(AM30+AL31-AK31,2),0)</f>
        <v>0</v>
      </c>
      <c r="AN31" s="24">
        <f>IF(AM30&gt;0,ROUND(AN30+ROUND(ROUND(AN30*100,0)*ROUND(AK$7*10000,0)/12000000,0)/100+0.02,2),0)</f>
        <v>0</v>
      </c>
      <c r="AO31" s="24">
        <f>IF(AQ30&gt;0,IF(AND(ROUND(AQ30+AP31-ROUND(AO$6+IF(AO$5=$C31,$E$5+$E31,0),2),2)&gt;0,ROUND(AQ30+AP31-ROUND(AO$6+IF(AO$5=$C31,$E$5+$E31,0),2),2)&lt;=AR31,ROUND(AQ30+AP31-ROUND(AO$6+IF(AO$5=$C31,$E$5+$E31,0),2),2)*10&lt;=ROUND(AO$6+IF(AO$5=$C31,$E$5+$E31,0),2)),ROUND(AQ30+AP31,2),MIN(ROUND(AO$6+IF(AO$5=$C31,$E$5+$E31,0),2),ROUND(AQ30+AP31,2))),0)</f>
        <v>0</v>
      </c>
      <c r="AP31" s="24">
        <f>IF(AQ30&gt;0,ROUND(ROUND(AQ30*100,0)*ROUND(AO$7*10000,0)/12000000,0)/100,0)</f>
        <v>0</v>
      </c>
      <c r="AQ31" s="24">
        <f>IF(AQ30&gt;0,ROUND(AQ30+AP31-AO31,2),0)</f>
        <v>0</v>
      </c>
      <c r="AR31" s="24">
        <f>IF(AQ30&gt;0,ROUND(AR30+ROUND(ROUND(AR30*100,0)*ROUND(AO$7*10000,0)/12000000,0)/100+0.02,2),0)</f>
        <v>0</v>
      </c>
      <c r="AS31" s="24">
        <f>IF(AU30&gt;0,IF(AND(ROUND(AU30+AT31-ROUND(AS$6+IF(AS$5=$C31,$E$5+$E31,0),2),2)&gt;0,ROUND(AU30+AT31-ROUND(AS$6+IF(AS$5=$C31,$E$5+$E31,0),2),2)&lt;=AV31,ROUND(AU30+AT31-ROUND(AS$6+IF(AS$5=$C31,$E$5+$E31,0),2),2)*10&lt;=ROUND(AS$6+IF(AS$5=$C31,$E$5+$E31,0),2)),ROUND(AU30+AT31,2),MIN(ROUND(AS$6+IF(AS$5=$C31,$E$5+$E31,0),2),ROUND(AU30+AT31,2))),0)</f>
        <v>0</v>
      </c>
      <c r="AT31" s="24">
        <f>IF(AU30&gt;0,ROUND(ROUND(AU30*100,0)*ROUND(AS$7*10000,0)/12000000,0)/100,0)</f>
        <v>0</v>
      </c>
      <c r="AU31" s="24">
        <f>IF(AU30&gt;0,ROUND(AU30+AT31-AS31,2),0)</f>
        <v>0</v>
      </c>
      <c r="AV31" s="24">
        <f>IF(AU30&gt;0,ROUND(AV30+ROUND(ROUND(AV30*100,0)*ROUND(AS$7*10000,0)/12000000,0)/100+0.02,2),0)</f>
        <v>0</v>
      </c>
    </row>
    <row r="32" spans="1:48" x14ac:dyDescent="0.25">
      <c r="A32" s="17">
        <f>IF(F32&gt;0,22,"")</f>
        <v>22</v>
      </c>
      <c r="B32" s="18">
        <f>IF(F32&gt;0,EDATE($E$6,22),"")</f>
        <v>47002</v>
      </c>
      <c r="C32" s="21">
        <f>IF(H31&gt;0,MIN(IF(K31&gt;0,I$5,99),IF(O31&gt;0,M$5,99),IF(S31&gt;0,Q$5,99),IF(W31&gt;0,U$5,99),IF(AA31&gt;0,Y$5,99),IF(AE31&gt;0,AC$5,99),IF(AI31&gt;0,AG$5,99),IF(AM31&gt;0,AK$5,99),IF(AQ31&gt;0,AO$5,99),IF(AU31&gt;0,AS$5,99)),0)</f>
        <v>3</v>
      </c>
      <c r="D32" t="str">
        <f>IF(C32&gt;0,INDEX($I$4:$AV$4,1,MATCH(C32,$I$5:$AV$5,0)),"")</f>
        <v>Préstamo de coche</v>
      </c>
      <c r="E32" s="24">
        <f>ROUND(IF(AND(I$8&gt;0,K31=0),I$6,0)+IF(AND(M$8&gt;0,O31=0),M$6,0)+IF(AND(Q$8&gt;0,S31=0),Q$6,0)+IF(AND(U$8&gt;0,W31=0),U$6,0)+IF(AND(Y$8&gt;0,AA31=0),Y$6,0)+IF(AND(AC$8&gt;0,AE31=0),AC$6,0)+IF(AND(AG$8&gt;0,AI31=0),AG$6,0)+IF(AND(AK$8&gt;0,AM31=0),AK$6,0)+IF(AND(AO$8&gt;0,AQ31=0),AO$6,0)+IF(AND(AS$8&gt;0,AU31=0),AS$6,0),2)</f>
        <v>125</v>
      </c>
      <c r="F32" s="24">
        <f>ROUND(I32+M32+Q32+U32+Y32+AC32+AG32+AK32+AO32+AS32,2)</f>
        <v>475</v>
      </c>
      <c r="G32" s="24">
        <f>ROUND(J32+N32+R32+V32+Z32+AD32+AH32+AL32+AP32+AT32,2)</f>
        <v>16.69</v>
      </c>
      <c r="H32" s="24">
        <f>ROUND(K32+O32+S32+W32+AA32+AE32+AI32+AM32+AQ32+AU32,2)</f>
        <v>2879.79</v>
      </c>
      <c r="I32" s="24">
        <f>IF(K31&gt;0,IF(AND(ROUND(K31+J32-ROUND(I$6+IF(I$5=$C32,$E$5+$E32,0),2),2)&gt;0,ROUND(K31+J32-ROUND(I$6+IF(I$5=$C32,$E$5+$E32,0),2),2)&lt;=L32,ROUND(K31+J32-ROUND(I$6+IF(I$5=$C32,$E$5+$E32,0),2),2)*10&lt;=ROUND(I$6+IF(I$5=$C32,$E$5+$E32,0),2)),ROUND(K31+J32,2),MIN(ROUND(I$6+IF(I$5=$C32,$E$5+$E32,0),2),ROUND(K31+J32,2))),0)</f>
        <v>0</v>
      </c>
      <c r="J32" s="24">
        <f>IF(K31&gt;0,ROUND(ROUND(K31*100,0)*ROUND(I$7*10000,0)/12000000,0)/100,0)</f>
        <v>0</v>
      </c>
      <c r="K32" s="24">
        <f>IF(K31&gt;0,ROUND(K31+J32-I32,2),0)</f>
        <v>0</v>
      </c>
      <c r="L32" s="24">
        <f>IF(K31&gt;0,ROUND(L31+ROUND(ROUND(L31*100,0)*ROUND(I$7*10000,0)/12000000,0)/100+0.02,2),0)</f>
        <v>0</v>
      </c>
      <c r="M32" s="24">
        <f>IF(O31&gt;0,IF(AND(ROUND(O31+N32-ROUND(M$6+IF(M$5=$C32,$E$5+$E32,0),2),2)&gt;0,ROUND(O31+N32-ROUND(M$6+IF(M$5=$C32,$E$5+$E32,0),2),2)&lt;=P32,ROUND(O31+N32-ROUND(M$6+IF(M$5=$C32,$E$5+$E32,0),2),2)*10&lt;=ROUND(M$6+IF(M$5=$C32,$E$5+$E32,0),2)),ROUND(O31+N32,2),MIN(ROUND(M$6+IF(M$5=$C32,$E$5+$E32,0),2),ROUND(O31+N32,2))),0)</f>
        <v>475</v>
      </c>
      <c r="N32" s="24">
        <f>IF(O31&gt;0,ROUND(ROUND(O31*100,0)*ROUND(M$7*10000,0)/12000000,0)/100,0)</f>
        <v>16.69</v>
      </c>
      <c r="O32" s="24">
        <f>IF(O31&gt;0,ROUND(O31+N32-M32,2),0)</f>
        <v>2879.79</v>
      </c>
      <c r="P32" s="24">
        <f>IF(O31&gt;0,ROUND(P31+ROUND(ROUND(P31*100,0)*ROUND(M$7*10000,0)/12000000,0)/100+0.02,2),0)</f>
        <v>0.44</v>
      </c>
      <c r="Q32" s="24">
        <f>IF(S31&gt;0,IF(AND(ROUND(S31+R32-ROUND(Q$6+IF(Q$5=$C32,$E$5+$E32,0),2),2)&gt;0,ROUND(S31+R32-ROUND(Q$6+IF(Q$5=$C32,$E$5+$E32,0),2),2)&lt;=T32,ROUND(S31+R32-ROUND(Q$6+IF(Q$5=$C32,$E$5+$E32,0),2),2)*10&lt;=ROUND(Q$6+IF(Q$5=$C32,$E$5+$E32,0),2)),ROUND(S31+R32,2),MIN(ROUND(Q$6+IF(Q$5=$C32,$E$5+$E32,0),2),ROUND(S31+R32,2))),0)</f>
        <v>0</v>
      </c>
      <c r="R32" s="24">
        <f>IF(S31&gt;0,ROUND(ROUND(S31*100,0)*ROUND(Q$7*10000,0)/12000000,0)/100,0)</f>
        <v>0</v>
      </c>
      <c r="S32" s="24">
        <f>IF(S31&gt;0,ROUND(S31+R32-Q32,2),0)</f>
        <v>0</v>
      </c>
      <c r="T32" s="24">
        <f>IF(S31&gt;0,ROUND(T31+ROUND(ROUND(T31*100,0)*ROUND(Q$7*10000,0)/12000000,0)/100+0.02,2),0)</f>
        <v>0</v>
      </c>
      <c r="U32" s="24">
        <f>IF(W31&gt;0,IF(AND(ROUND(W31+V32-ROUND(U$6+IF(U$5=$C32,$E$5+$E32,0),2),2)&gt;0,ROUND(W31+V32-ROUND(U$6+IF(U$5=$C32,$E$5+$E32,0),2),2)&lt;=X32,ROUND(W31+V32-ROUND(U$6+IF(U$5=$C32,$E$5+$E32,0),2),2)*10&lt;=ROUND(U$6+IF(U$5=$C32,$E$5+$E32,0),2)),ROUND(W31+V32,2),MIN(ROUND(U$6+IF(U$5=$C32,$E$5+$E32,0),2),ROUND(W31+V32,2))),0)</f>
        <v>0</v>
      </c>
      <c r="V32" s="24">
        <f>IF(W31&gt;0,ROUND(ROUND(W31*100,0)*ROUND(U$7*10000,0)/12000000,0)/100,0)</f>
        <v>0</v>
      </c>
      <c r="W32" s="24">
        <f>IF(W31&gt;0,ROUND(W31+V32-U32,2),0)</f>
        <v>0</v>
      </c>
      <c r="X32" s="24">
        <f>IF(W31&gt;0,ROUND(X31+ROUND(ROUND(X31*100,0)*ROUND(U$7*10000,0)/12000000,0)/100+0.02,2),0)</f>
        <v>0</v>
      </c>
      <c r="Y32" s="24">
        <f>IF(AA31&gt;0,IF(AND(ROUND(AA31+Z32-ROUND(Y$6+IF(Y$5=$C32,$E$5+$E32,0),2),2)&gt;0,ROUND(AA31+Z32-ROUND(Y$6+IF(Y$5=$C32,$E$5+$E32,0),2),2)&lt;=AB32,ROUND(AA31+Z32-ROUND(Y$6+IF(Y$5=$C32,$E$5+$E32,0),2),2)*10&lt;=ROUND(Y$6+IF(Y$5=$C32,$E$5+$E32,0),2)),ROUND(AA31+Z32,2),MIN(ROUND(Y$6+IF(Y$5=$C32,$E$5+$E32,0),2),ROUND(AA31+Z32,2))),0)</f>
        <v>0</v>
      </c>
      <c r="Z32" s="24">
        <f>IF(AA31&gt;0,ROUND(ROUND(AA31*100,0)*ROUND(Y$7*10000,0)/12000000,0)/100,0)</f>
        <v>0</v>
      </c>
      <c r="AA32" s="24">
        <f>IF(AA31&gt;0,ROUND(AA31+Z32-Y32,2),0)</f>
        <v>0</v>
      </c>
      <c r="AB32" s="24">
        <f>IF(AA31&gt;0,ROUND(AB31+ROUND(ROUND(AB31*100,0)*ROUND(Y$7*10000,0)/12000000,0)/100+0.02,2),0)</f>
        <v>0</v>
      </c>
      <c r="AC32" s="24">
        <f>IF(AE31&gt;0,IF(AND(ROUND(AE31+AD32-ROUND(AC$6+IF(AC$5=$C32,$E$5+$E32,0),2),2)&gt;0,ROUND(AE31+AD32-ROUND(AC$6+IF(AC$5=$C32,$E$5+$E32,0),2),2)&lt;=AF32,ROUND(AE31+AD32-ROUND(AC$6+IF(AC$5=$C32,$E$5+$E32,0),2),2)*10&lt;=ROUND(AC$6+IF(AC$5=$C32,$E$5+$E32,0),2)),ROUND(AE31+AD32,2),MIN(ROUND(AC$6+IF(AC$5=$C32,$E$5+$E32,0),2),ROUND(AE31+AD32,2))),0)</f>
        <v>0</v>
      </c>
      <c r="AD32" s="24">
        <f>IF(AE31&gt;0,ROUND(ROUND(AE31*100,0)*ROUND(AC$7*10000,0)/12000000,0)/100,0)</f>
        <v>0</v>
      </c>
      <c r="AE32" s="24">
        <f>IF(AE31&gt;0,ROUND(AE31+AD32-AC32,2),0)</f>
        <v>0</v>
      </c>
      <c r="AF32" s="24">
        <f>IF(AE31&gt;0,ROUND(AF31+ROUND(ROUND(AF31*100,0)*ROUND(AC$7*10000,0)/12000000,0)/100+0.02,2),0)</f>
        <v>0</v>
      </c>
      <c r="AG32" s="24">
        <f>IF(AI31&gt;0,IF(AND(ROUND(AI31+AH32-ROUND(AG$6+IF(AG$5=$C32,$E$5+$E32,0),2),2)&gt;0,ROUND(AI31+AH32-ROUND(AG$6+IF(AG$5=$C32,$E$5+$E32,0),2),2)&lt;=AJ32,ROUND(AI31+AH32-ROUND(AG$6+IF(AG$5=$C32,$E$5+$E32,0),2),2)*10&lt;=ROUND(AG$6+IF(AG$5=$C32,$E$5+$E32,0),2)),ROUND(AI31+AH32,2),MIN(ROUND(AG$6+IF(AG$5=$C32,$E$5+$E32,0),2),ROUND(AI31+AH32,2))),0)</f>
        <v>0</v>
      </c>
      <c r="AH32" s="24">
        <f>IF(AI31&gt;0,ROUND(ROUND(AI31*100,0)*ROUND(AG$7*10000,0)/12000000,0)/100,0)</f>
        <v>0</v>
      </c>
      <c r="AI32" s="24">
        <f>IF(AI31&gt;0,ROUND(AI31+AH32-AG32,2),0)</f>
        <v>0</v>
      </c>
      <c r="AJ32" s="24">
        <f>IF(AI31&gt;0,ROUND(AJ31+ROUND(ROUND(AJ31*100,0)*ROUND(AG$7*10000,0)/12000000,0)/100+0.02,2),0)</f>
        <v>0</v>
      </c>
      <c r="AK32" s="24">
        <f>IF(AM31&gt;0,IF(AND(ROUND(AM31+AL32-ROUND(AK$6+IF(AK$5=$C32,$E$5+$E32,0),2),2)&gt;0,ROUND(AM31+AL32-ROUND(AK$6+IF(AK$5=$C32,$E$5+$E32,0),2),2)&lt;=AN32,ROUND(AM31+AL32-ROUND(AK$6+IF(AK$5=$C32,$E$5+$E32,0),2),2)*10&lt;=ROUND(AK$6+IF(AK$5=$C32,$E$5+$E32,0),2)),ROUND(AM31+AL32,2),MIN(ROUND(AK$6+IF(AK$5=$C32,$E$5+$E32,0),2),ROUND(AM31+AL32,2))),0)</f>
        <v>0</v>
      </c>
      <c r="AL32" s="24">
        <f>IF(AM31&gt;0,ROUND(ROUND(AM31*100,0)*ROUND(AK$7*10000,0)/12000000,0)/100,0)</f>
        <v>0</v>
      </c>
      <c r="AM32" s="24">
        <f>IF(AM31&gt;0,ROUND(AM31+AL32-AK32,2),0)</f>
        <v>0</v>
      </c>
      <c r="AN32" s="24">
        <f>IF(AM31&gt;0,ROUND(AN31+ROUND(ROUND(AN31*100,0)*ROUND(AK$7*10000,0)/12000000,0)/100+0.02,2),0)</f>
        <v>0</v>
      </c>
      <c r="AO32" s="24">
        <f>IF(AQ31&gt;0,IF(AND(ROUND(AQ31+AP32-ROUND(AO$6+IF(AO$5=$C32,$E$5+$E32,0),2),2)&gt;0,ROUND(AQ31+AP32-ROUND(AO$6+IF(AO$5=$C32,$E$5+$E32,0),2),2)&lt;=AR32,ROUND(AQ31+AP32-ROUND(AO$6+IF(AO$5=$C32,$E$5+$E32,0),2),2)*10&lt;=ROUND(AO$6+IF(AO$5=$C32,$E$5+$E32,0),2)),ROUND(AQ31+AP32,2),MIN(ROUND(AO$6+IF(AO$5=$C32,$E$5+$E32,0),2),ROUND(AQ31+AP32,2))),0)</f>
        <v>0</v>
      </c>
      <c r="AP32" s="24">
        <f>IF(AQ31&gt;0,ROUND(ROUND(AQ31*100,0)*ROUND(AO$7*10000,0)/12000000,0)/100,0)</f>
        <v>0</v>
      </c>
      <c r="AQ32" s="24">
        <f>IF(AQ31&gt;0,ROUND(AQ31+AP32-AO32,2),0)</f>
        <v>0</v>
      </c>
      <c r="AR32" s="24">
        <f>IF(AQ31&gt;0,ROUND(AR31+ROUND(ROUND(AR31*100,0)*ROUND(AO$7*10000,0)/12000000,0)/100+0.02,2),0)</f>
        <v>0</v>
      </c>
      <c r="AS32" s="24">
        <f>IF(AU31&gt;0,IF(AND(ROUND(AU31+AT32-ROUND(AS$6+IF(AS$5=$C32,$E$5+$E32,0),2),2)&gt;0,ROUND(AU31+AT32-ROUND(AS$6+IF(AS$5=$C32,$E$5+$E32,0),2),2)&lt;=AV32,ROUND(AU31+AT32-ROUND(AS$6+IF(AS$5=$C32,$E$5+$E32,0),2),2)*10&lt;=ROUND(AS$6+IF(AS$5=$C32,$E$5+$E32,0),2)),ROUND(AU31+AT32,2),MIN(ROUND(AS$6+IF(AS$5=$C32,$E$5+$E32,0),2),ROUND(AU31+AT32,2))),0)</f>
        <v>0</v>
      </c>
      <c r="AT32" s="24">
        <f>IF(AU31&gt;0,ROUND(ROUND(AU31*100,0)*ROUND(AS$7*10000,0)/12000000,0)/100,0)</f>
        <v>0</v>
      </c>
      <c r="AU32" s="24">
        <f>IF(AU31&gt;0,ROUND(AU31+AT32-AS32,2),0)</f>
        <v>0</v>
      </c>
      <c r="AV32" s="24">
        <f>IF(AU31&gt;0,ROUND(AV31+ROUND(ROUND(AV31*100,0)*ROUND(AS$7*10000,0)/12000000,0)/100+0.02,2),0)</f>
        <v>0</v>
      </c>
    </row>
    <row r="33" spans="1:48" x14ac:dyDescent="0.25">
      <c r="A33" s="17">
        <f>IF(F33&gt;0,23,"")</f>
        <v>23</v>
      </c>
      <c r="B33" s="18">
        <f>IF(F33&gt;0,EDATE($E$6,23),"")</f>
        <v>47032</v>
      </c>
      <c r="C33" s="21">
        <f>IF(H32&gt;0,MIN(IF(K32&gt;0,I$5,99),IF(O32&gt;0,M$5,99),IF(S32&gt;0,Q$5,99),IF(W32&gt;0,U$5,99),IF(AA32&gt;0,Y$5,99),IF(AE32&gt;0,AC$5,99),IF(AI32&gt;0,AG$5,99),IF(AM32&gt;0,AK$5,99),IF(AQ32&gt;0,AO$5,99),IF(AU32&gt;0,AS$5,99)),0)</f>
        <v>3</v>
      </c>
      <c r="D33" t="str">
        <f>IF(C33&gt;0,INDEX($I$4:$AV$4,1,MATCH(C33,$I$5:$AV$5,0)),"")</f>
        <v>Préstamo de coche</v>
      </c>
      <c r="E33" s="24">
        <f>ROUND(IF(AND(I$8&gt;0,K32=0),I$6,0)+IF(AND(M$8&gt;0,O32=0),M$6,0)+IF(AND(Q$8&gt;0,S32=0),Q$6,0)+IF(AND(U$8&gt;0,W32=0),U$6,0)+IF(AND(Y$8&gt;0,AA32=0),Y$6,0)+IF(AND(AC$8&gt;0,AE32=0),AC$6,0)+IF(AND(AG$8&gt;0,AI32=0),AG$6,0)+IF(AND(AK$8&gt;0,AM32=0),AK$6,0)+IF(AND(AO$8&gt;0,AQ32=0),AO$6,0)+IF(AND(AS$8&gt;0,AU32=0),AS$6,0),2)</f>
        <v>125</v>
      </c>
      <c r="F33" s="24">
        <f>ROUND(I33+M33+Q33+U33+Y33+AC33+AG33+AK33+AO33+AS33,2)</f>
        <v>475</v>
      </c>
      <c r="G33" s="24">
        <f>ROUND(J33+N33+R33+V33+Z33+AD33+AH33+AL33+AP33+AT33,2)</f>
        <v>14.4</v>
      </c>
      <c r="H33" s="24">
        <f>ROUND(K33+O33+S33+W33+AA33+AE33+AI33+AM33+AQ33+AU33,2)</f>
        <v>2419.19</v>
      </c>
      <c r="I33" s="24">
        <f>IF(K32&gt;0,IF(AND(ROUND(K32+J33-ROUND(I$6+IF(I$5=$C33,$E$5+$E33,0),2),2)&gt;0,ROUND(K32+J33-ROUND(I$6+IF(I$5=$C33,$E$5+$E33,0),2),2)&lt;=L33,ROUND(K32+J33-ROUND(I$6+IF(I$5=$C33,$E$5+$E33,0),2),2)*10&lt;=ROUND(I$6+IF(I$5=$C33,$E$5+$E33,0),2)),ROUND(K32+J33,2),MIN(ROUND(I$6+IF(I$5=$C33,$E$5+$E33,0),2),ROUND(K32+J33,2))),0)</f>
        <v>0</v>
      </c>
      <c r="J33" s="24">
        <f>IF(K32&gt;0,ROUND(ROUND(K32*100,0)*ROUND(I$7*10000,0)/12000000,0)/100,0)</f>
        <v>0</v>
      </c>
      <c r="K33" s="24">
        <f>IF(K32&gt;0,ROUND(K32+J33-I33,2),0)</f>
        <v>0</v>
      </c>
      <c r="L33" s="24">
        <f>IF(K32&gt;0,ROUND(L32+ROUND(ROUND(L32*100,0)*ROUND(I$7*10000,0)/12000000,0)/100+0.02,2),0)</f>
        <v>0</v>
      </c>
      <c r="M33" s="24">
        <f>IF(O32&gt;0,IF(AND(ROUND(O32+N33-ROUND(M$6+IF(M$5=$C33,$E$5+$E33,0),2),2)&gt;0,ROUND(O32+N33-ROUND(M$6+IF(M$5=$C33,$E$5+$E33,0),2),2)&lt;=P33,ROUND(O32+N33-ROUND(M$6+IF(M$5=$C33,$E$5+$E33,0),2),2)*10&lt;=ROUND(M$6+IF(M$5=$C33,$E$5+$E33,0),2)),ROUND(O32+N33,2),MIN(ROUND(M$6+IF(M$5=$C33,$E$5+$E33,0),2),ROUND(O32+N33,2))),0)</f>
        <v>475</v>
      </c>
      <c r="N33" s="24">
        <f>IF(O32&gt;0,ROUND(ROUND(O32*100,0)*ROUND(M$7*10000,0)/12000000,0)/100,0)</f>
        <v>14.4</v>
      </c>
      <c r="O33" s="24">
        <f>IF(O32&gt;0,ROUND(O32+N33-M33,2),0)</f>
        <v>2419.19</v>
      </c>
      <c r="P33" s="24">
        <f>IF(O32&gt;0,ROUND(P32+ROUND(ROUND(P32*100,0)*ROUND(M$7*10000,0)/12000000,0)/100+0.02,2),0)</f>
        <v>0.46</v>
      </c>
      <c r="Q33" s="24">
        <f>IF(S32&gt;0,IF(AND(ROUND(S32+R33-ROUND(Q$6+IF(Q$5=$C33,$E$5+$E33,0),2),2)&gt;0,ROUND(S32+R33-ROUND(Q$6+IF(Q$5=$C33,$E$5+$E33,0),2),2)&lt;=T33,ROUND(S32+R33-ROUND(Q$6+IF(Q$5=$C33,$E$5+$E33,0),2),2)*10&lt;=ROUND(Q$6+IF(Q$5=$C33,$E$5+$E33,0),2)),ROUND(S32+R33,2),MIN(ROUND(Q$6+IF(Q$5=$C33,$E$5+$E33,0),2),ROUND(S32+R33,2))),0)</f>
        <v>0</v>
      </c>
      <c r="R33" s="24">
        <f>IF(S32&gt;0,ROUND(ROUND(S32*100,0)*ROUND(Q$7*10000,0)/12000000,0)/100,0)</f>
        <v>0</v>
      </c>
      <c r="S33" s="24">
        <f>IF(S32&gt;0,ROUND(S32+R33-Q33,2),0)</f>
        <v>0</v>
      </c>
      <c r="T33" s="24">
        <f>IF(S32&gt;0,ROUND(T32+ROUND(ROUND(T32*100,0)*ROUND(Q$7*10000,0)/12000000,0)/100+0.02,2),0)</f>
        <v>0</v>
      </c>
      <c r="U33" s="24">
        <f>IF(W32&gt;0,IF(AND(ROUND(W32+V33-ROUND(U$6+IF(U$5=$C33,$E$5+$E33,0),2),2)&gt;0,ROUND(W32+V33-ROUND(U$6+IF(U$5=$C33,$E$5+$E33,0),2),2)&lt;=X33,ROUND(W32+V33-ROUND(U$6+IF(U$5=$C33,$E$5+$E33,0),2),2)*10&lt;=ROUND(U$6+IF(U$5=$C33,$E$5+$E33,0),2)),ROUND(W32+V33,2),MIN(ROUND(U$6+IF(U$5=$C33,$E$5+$E33,0),2),ROUND(W32+V33,2))),0)</f>
        <v>0</v>
      </c>
      <c r="V33" s="24">
        <f>IF(W32&gt;0,ROUND(ROUND(W32*100,0)*ROUND(U$7*10000,0)/12000000,0)/100,0)</f>
        <v>0</v>
      </c>
      <c r="W33" s="24">
        <f>IF(W32&gt;0,ROUND(W32+V33-U33,2),0)</f>
        <v>0</v>
      </c>
      <c r="X33" s="24">
        <f>IF(W32&gt;0,ROUND(X32+ROUND(ROUND(X32*100,0)*ROUND(U$7*10000,0)/12000000,0)/100+0.02,2),0)</f>
        <v>0</v>
      </c>
      <c r="Y33" s="24">
        <f>IF(AA32&gt;0,IF(AND(ROUND(AA32+Z33-ROUND(Y$6+IF(Y$5=$C33,$E$5+$E33,0),2),2)&gt;0,ROUND(AA32+Z33-ROUND(Y$6+IF(Y$5=$C33,$E$5+$E33,0),2),2)&lt;=AB33,ROUND(AA32+Z33-ROUND(Y$6+IF(Y$5=$C33,$E$5+$E33,0),2),2)*10&lt;=ROUND(Y$6+IF(Y$5=$C33,$E$5+$E33,0),2)),ROUND(AA32+Z33,2),MIN(ROUND(Y$6+IF(Y$5=$C33,$E$5+$E33,0),2),ROUND(AA32+Z33,2))),0)</f>
        <v>0</v>
      </c>
      <c r="Z33" s="24">
        <f>IF(AA32&gt;0,ROUND(ROUND(AA32*100,0)*ROUND(Y$7*10000,0)/12000000,0)/100,0)</f>
        <v>0</v>
      </c>
      <c r="AA33" s="24">
        <f>IF(AA32&gt;0,ROUND(AA32+Z33-Y33,2),0)</f>
        <v>0</v>
      </c>
      <c r="AB33" s="24">
        <f>IF(AA32&gt;0,ROUND(AB32+ROUND(ROUND(AB32*100,0)*ROUND(Y$7*10000,0)/12000000,0)/100+0.02,2),0)</f>
        <v>0</v>
      </c>
      <c r="AC33" s="24">
        <f>IF(AE32&gt;0,IF(AND(ROUND(AE32+AD33-ROUND(AC$6+IF(AC$5=$C33,$E$5+$E33,0),2),2)&gt;0,ROUND(AE32+AD33-ROUND(AC$6+IF(AC$5=$C33,$E$5+$E33,0),2),2)&lt;=AF33,ROUND(AE32+AD33-ROUND(AC$6+IF(AC$5=$C33,$E$5+$E33,0),2),2)*10&lt;=ROUND(AC$6+IF(AC$5=$C33,$E$5+$E33,0),2)),ROUND(AE32+AD33,2),MIN(ROUND(AC$6+IF(AC$5=$C33,$E$5+$E33,0),2),ROUND(AE32+AD33,2))),0)</f>
        <v>0</v>
      </c>
      <c r="AD33" s="24">
        <f>IF(AE32&gt;0,ROUND(ROUND(AE32*100,0)*ROUND(AC$7*10000,0)/12000000,0)/100,0)</f>
        <v>0</v>
      </c>
      <c r="AE33" s="24">
        <f>IF(AE32&gt;0,ROUND(AE32+AD33-AC33,2),0)</f>
        <v>0</v>
      </c>
      <c r="AF33" s="24">
        <f>IF(AE32&gt;0,ROUND(AF32+ROUND(ROUND(AF32*100,0)*ROUND(AC$7*10000,0)/12000000,0)/100+0.02,2),0)</f>
        <v>0</v>
      </c>
      <c r="AG33" s="24">
        <f>IF(AI32&gt;0,IF(AND(ROUND(AI32+AH33-ROUND(AG$6+IF(AG$5=$C33,$E$5+$E33,0),2),2)&gt;0,ROUND(AI32+AH33-ROUND(AG$6+IF(AG$5=$C33,$E$5+$E33,0),2),2)&lt;=AJ33,ROUND(AI32+AH33-ROUND(AG$6+IF(AG$5=$C33,$E$5+$E33,0),2),2)*10&lt;=ROUND(AG$6+IF(AG$5=$C33,$E$5+$E33,0),2)),ROUND(AI32+AH33,2),MIN(ROUND(AG$6+IF(AG$5=$C33,$E$5+$E33,0),2),ROUND(AI32+AH33,2))),0)</f>
        <v>0</v>
      </c>
      <c r="AH33" s="24">
        <f>IF(AI32&gt;0,ROUND(ROUND(AI32*100,0)*ROUND(AG$7*10000,0)/12000000,0)/100,0)</f>
        <v>0</v>
      </c>
      <c r="AI33" s="24">
        <f>IF(AI32&gt;0,ROUND(AI32+AH33-AG33,2),0)</f>
        <v>0</v>
      </c>
      <c r="AJ33" s="24">
        <f>IF(AI32&gt;0,ROUND(AJ32+ROUND(ROUND(AJ32*100,0)*ROUND(AG$7*10000,0)/12000000,0)/100+0.02,2),0)</f>
        <v>0</v>
      </c>
      <c r="AK33" s="24">
        <f>IF(AM32&gt;0,IF(AND(ROUND(AM32+AL33-ROUND(AK$6+IF(AK$5=$C33,$E$5+$E33,0),2),2)&gt;0,ROUND(AM32+AL33-ROUND(AK$6+IF(AK$5=$C33,$E$5+$E33,0),2),2)&lt;=AN33,ROUND(AM32+AL33-ROUND(AK$6+IF(AK$5=$C33,$E$5+$E33,0),2),2)*10&lt;=ROUND(AK$6+IF(AK$5=$C33,$E$5+$E33,0),2)),ROUND(AM32+AL33,2),MIN(ROUND(AK$6+IF(AK$5=$C33,$E$5+$E33,0),2),ROUND(AM32+AL33,2))),0)</f>
        <v>0</v>
      </c>
      <c r="AL33" s="24">
        <f>IF(AM32&gt;0,ROUND(ROUND(AM32*100,0)*ROUND(AK$7*10000,0)/12000000,0)/100,0)</f>
        <v>0</v>
      </c>
      <c r="AM33" s="24">
        <f>IF(AM32&gt;0,ROUND(AM32+AL33-AK33,2),0)</f>
        <v>0</v>
      </c>
      <c r="AN33" s="24">
        <f>IF(AM32&gt;0,ROUND(AN32+ROUND(ROUND(AN32*100,0)*ROUND(AK$7*10000,0)/12000000,0)/100+0.02,2),0)</f>
        <v>0</v>
      </c>
      <c r="AO33" s="24">
        <f>IF(AQ32&gt;0,IF(AND(ROUND(AQ32+AP33-ROUND(AO$6+IF(AO$5=$C33,$E$5+$E33,0),2),2)&gt;0,ROUND(AQ32+AP33-ROUND(AO$6+IF(AO$5=$C33,$E$5+$E33,0),2),2)&lt;=AR33,ROUND(AQ32+AP33-ROUND(AO$6+IF(AO$5=$C33,$E$5+$E33,0),2),2)*10&lt;=ROUND(AO$6+IF(AO$5=$C33,$E$5+$E33,0),2)),ROUND(AQ32+AP33,2),MIN(ROUND(AO$6+IF(AO$5=$C33,$E$5+$E33,0),2),ROUND(AQ32+AP33,2))),0)</f>
        <v>0</v>
      </c>
      <c r="AP33" s="24">
        <f>IF(AQ32&gt;0,ROUND(ROUND(AQ32*100,0)*ROUND(AO$7*10000,0)/12000000,0)/100,0)</f>
        <v>0</v>
      </c>
      <c r="AQ33" s="24">
        <f>IF(AQ32&gt;0,ROUND(AQ32+AP33-AO33,2),0)</f>
        <v>0</v>
      </c>
      <c r="AR33" s="24">
        <f>IF(AQ32&gt;0,ROUND(AR32+ROUND(ROUND(AR32*100,0)*ROUND(AO$7*10000,0)/12000000,0)/100+0.02,2),0)</f>
        <v>0</v>
      </c>
      <c r="AS33" s="24">
        <f>IF(AU32&gt;0,IF(AND(ROUND(AU32+AT33-ROUND(AS$6+IF(AS$5=$C33,$E$5+$E33,0),2),2)&gt;0,ROUND(AU32+AT33-ROUND(AS$6+IF(AS$5=$C33,$E$5+$E33,0),2),2)&lt;=AV33,ROUND(AU32+AT33-ROUND(AS$6+IF(AS$5=$C33,$E$5+$E33,0),2),2)*10&lt;=ROUND(AS$6+IF(AS$5=$C33,$E$5+$E33,0),2)),ROUND(AU32+AT33,2),MIN(ROUND(AS$6+IF(AS$5=$C33,$E$5+$E33,0),2),ROUND(AU32+AT33,2))),0)</f>
        <v>0</v>
      </c>
      <c r="AT33" s="24">
        <f>IF(AU32&gt;0,ROUND(ROUND(AU32*100,0)*ROUND(AS$7*10000,0)/12000000,0)/100,0)</f>
        <v>0</v>
      </c>
      <c r="AU33" s="24">
        <f>IF(AU32&gt;0,ROUND(AU32+AT33-AS33,2),0)</f>
        <v>0</v>
      </c>
      <c r="AV33" s="24">
        <f>IF(AU32&gt;0,ROUND(AV32+ROUND(ROUND(AV32*100,0)*ROUND(AS$7*10000,0)/12000000,0)/100+0.02,2),0)</f>
        <v>0</v>
      </c>
    </row>
    <row r="34" spans="1:48" x14ac:dyDescent="0.25">
      <c r="A34" s="17">
        <f>IF(F34&gt;0,24,"")</f>
        <v>24</v>
      </c>
      <c r="B34" s="18">
        <f>IF(F34&gt;0,EDATE($E$6,24),"")</f>
        <v>47063</v>
      </c>
      <c r="C34" s="21">
        <f>IF(H33&gt;0,MIN(IF(K33&gt;0,I$5,99),IF(O33&gt;0,M$5,99),IF(S33&gt;0,Q$5,99),IF(W33&gt;0,U$5,99),IF(AA33&gt;0,Y$5,99),IF(AE33&gt;0,AC$5,99),IF(AI33&gt;0,AG$5,99),IF(AM33&gt;0,AK$5,99),IF(AQ33&gt;0,AO$5,99),IF(AU33&gt;0,AS$5,99)),0)</f>
        <v>3</v>
      </c>
      <c r="D34" t="str">
        <f>IF(C34&gt;0,INDEX($I$4:$AV$4,1,MATCH(C34,$I$5:$AV$5,0)),"")</f>
        <v>Préstamo de coche</v>
      </c>
      <c r="E34" s="24">
        <f>ROUND(IF(AND(I$8&gt;0,K33=0),I$6,0)+IF(AND(M$8&gt;0,O33=0),M$6,0)+IF(AND(Q$8&gt;0,S33=0),Q$6,0)+IF(AND(U$8&gt;0,W33=0),U$6,0)+IF(AND(Y$8&gt;0,AA33=0),Y$6,0)+IF(AND(AC$8&gt;0,AE33=0),AC$6,0)+IF(AND(AG$8&gt;0,AI33=0),AG$6,0)+IF(AND(AK$8&gt;0,AM33=0),AK$6,0)+IF(AND(AO$8&gt;0,AQ33=0),AO$6,0)+IF(AND(AS$8&gt;0,AU33=0),AS$6,0),2)</f>
        <v>125</v>
      </c>
      <c r="F34" s="24">
        <f>ROUND(I34+M34+Q34+U34+Y34+AC34+AG34+AK34+AO34+AS34,2)</f>
        <v>475</v>
      </c>
      <c r="G34" s="24">
        <f>ROUND(J34+N34+R34+V34+Z34+AD34+AH34+AL34+AP34+AT34,2)</f>
        <v>12.1</v>
      </c>
      <c r="H34" s="24">
        <f>ROUND(K34+O34+S34+W34+AA34+AE34+AI34+AM34+AQ34+AU34,2)</f>
        <v>1956.29</v>
      </c>
      <c r="I34" s="24">
        <f>IF(K33&gt;0,IF(AND(ROUND(K33+J34-ROUND(I$6+IF(I$5=$C34,$E$5+$E34,0),2),2)&gt;0,ROUND(K33+J34-ROUND(I$6+IF(I$5=$C34,$E$5+$E34,0),2),2)&lt;=L34,ROUND(K33+J34-ROUND(I$6+IF(I$5=$C34,$E$5+$E34,0),2),2)*10&lt;=ROUND(I$6+IF(I$5=$C34,$E$5+$E34,0),2)),ROUND(K33+J34,2),MIN(ROUND(I$6+IF(I$5=$C34,$E$5+$E34,0),2),ROUND(K33+J34,2))),0)</f>
        <v>0</v>
      </c>
      <c r="J34" s="24">
        <f>IF(K33&gt;0,ROUND(ROUND(K33*100,0)*ROUND(I$7*10000,0)/12000000,0)/100,0)</f>
        <v>0</v>
      </c>
      <c r="K34" s="24">
        <f>IF(K33&gt;0,ROUND(K33+J34-I34,2),0)</f>
        <v>0</v>
      </c>
      <c r="L34" s="24">
        <f>IF(K33&gt;0,ROUND(L33+ROUND(ROUND(L33*100,0)*ROUND(I$7*10000,0)/12000000,0)/100+0.02,2),0)</f>
        <v>0</v>
      </c>
      <c r="M34" s="24">
        <f>IF(O33&gt;0,IF(AND(ROUND(O33+N34-ROUND(M$6+IF(M$5=$C34,$E$5+$E34,0),2),2)&gt;0,ROUND(O33+N34-ROUND(M$6+IF(M$5=$C34,$E$5+$E34,0),2),2)&lt;=P34,ROUND(O33+N34-ROUND(M$6+IF(M$5=$C34,$E$5+$E34,0),2),2)*10&lt;=ROUND(M$6+IF(M$5=$C34,$E$5+$E34,0),2)),ROUND(O33+N34,2),MIN(ROUND(M$6+IF(M$5=$C34,$E$5+$E34,0),2),ROUND(O33+N34,2))),0)</f>
        <v>475</v>
      </c>
      <c r="N34" s="24">
        <f>IF(O33&gt;0,ROUND(ROUND(O33*100,0)*ROUND(M$7*10000,0)/12000000,0)/100,0)</f>
        <v>12.1</v>
      </c>
      <c r="O34" s="24">
        <f>IF(O33&gt;0,ROUND(O33+N34-M34,2),0)</f>
        <v>1956.29</v>
      </c>
      <c r="P34" s="24">
        <f>IF(O33&gt;0,ROUND(P33+ROUND(ROUND(P33*100,0)*ROUND(M$7*10000,0)/12000000,0)/100+0.02,2),0)</f>
        <v>0.48</v>
      </c>
      <c r="Q34" s="24">
        <f>IF(S33&gt;0,IF(AND(ROUND(S33+R34-ROUND(Q$6+IF(Q$5=$C34,$E$5+$E34,0),2),2)&gt;0,ROUND(S33+R34-ROUND(Q$6+IF(Q$5=$C34,$E$5+$E34,0),2),2)&lt;=T34,ROUND(S33+R34-ROUND(Q$6+IF(Q$5=$C34,$E$5+$E34,0),2),2)*10&lt;=ROUND(Q$6+IF(Q$5=$C34,$E$5+$E34,0),2)),ROUND(S33+R34,2),MIN(ROUND(Q$6+IF(Q$5=$C34,$E$5+$E34,0),2),ROUND(S33+R34,2))),0)</f>
        <v>0</v>
      </c>
      <c r="R34" s="24">
        <f>IF(S33&gt;0,ROUND(ROUND(S33*100,0)*ROUND(Q$7*10000,0)/12000000,0)/100,0)</f>
        <v>0</v>
      </c>
      <c r="S34" s="24">
        <f>IF(S33&gt;0,ROUND(S33+R34-Q34,2),0)</f>
        <v>0</v>
      </c>
      <c r="T34" s="24">
        <f>IF(S33&gt;0,ROUND(T33+ROUND(ROUND(T33*100,0)*ROUND(Q$7*10000,0)/12000000,0)/100+0.02,2),0)</f>
        <v>0</v>
      </c>
      <c r="U34" s="24">
        <f>IF(W33&gt;0,IF(AND(ROUND(W33+V34-ROUND(U$6+IF(U$5=$C34,$E$5+$E34,0),2),2)&gt;0,ROUND(W33+V34-ROUND(U$6+IF(U$5=$C34,$E$5+$E34,0),2),2)&lt;=X34,ROUND(W33+V34-ROUND(U$6+IF(U$5=$C34,$E$5+$E34,0),2),2)*10&lt;=ROUND(U$6+IF(U$5=$C34,$E$5+$E34,0),2)),ROUND(W33+V34,2),MIN(ROUND(U$6+IF(U$5=$C34,$E$5+$E34,0),2),ROUND(W33+V34,2))),0)</f>
        <v>0</v>
      </c>
      <c r="V34" s="24">
        <f>IF(W33&gt;0,ROUND(ROUND(W33*100,0)*ROUND(U$7*10000,0)/12000000,0)/100,0)</f>
        <v>0</v>
      </c>
      <c r="W34" s="24">
        <f>IF(W33&gt;0,ROUND(W33+V34-U34,2),0)</f>
        <v>0</v>
      </c>
      <c r="X34" s="24">
        <f>IF(W33&gt;0,ROUND(X33+ROUND(ROUND(X33*100,0)*ROUND(U$7*10000,0)/12000000,0)/100+0.02,2),0)</f>
        <v>0</v>
      </c>
      <c r="Y34" s="24">
        <f>IF(AA33&gt;0,IF(AND(ROUND(AA33+Z34-ROUND(Y$6+IF(Y$5=$C34,$E$5+$E34,0),2),2)&gt;0,ROUND(AA33+Z34-ROUND(Y$6+IF(Y$5=$C34,$E$5+$E34,0),2),2)&lt;=AB34,ROUND(AA33+Z34-ROUND(Y$6+IF(Y$5=$C34,$E$5+$E34,0),2),2)*10&lt;=ROUND(Y$6+IF(Y$5=$C34,$E$5+$E34,0),2)),ROUND(AA33+Z34,2),MIN(ROUND(Y$6+IF(Y$5=$C34,$E$5+$E34,0),2),ROUND(AA33+Z34,2))),0)</f>
        <v>0</v>
      </c>
      <c r="Z34" s="24">
        <f>IF(AA33&gt;0,ROUND(ROUND(AA33*100,0)*ROUND(Y$7*10000,0)/12000000,0)/100,0)</f>
        <v>0</v>
      </c>
      <c r="AA34" s="24">
        <f>IF(AA33&gt;0,ROUND(AA33+Z34-Y34,2),0)</f>
        <v>0</v>
      </c>
      <c r="AB34" s="24">
        <f>IF(AA33&gt;0,ROUND(AB33+ROUND(ROUND(AB33*100,0)*ROUND(Y$7*10000,0)/12000000,0)/100+0.02,2),0)</f>
        <v>0</v>
      </c>
      <c r="AC34" s="24">
        <f>IF(AE33&gt;0,IF(AND(ROUND(AE33+AD34-ROUND(AC$6+IF(AC$5=$C34,$E$5+$E34,0),2),2)&gt;0,ROUND(AE33+AD34-ROUND(AC$6+IF(AC$5=$C34,$E$5+$E34,0),2),2)&lt;=AF34,ROUND(AE33+AD34-ROUND(AC$6+IF(AC$5=$C34,$E$5+$E34,0),2),2)*10&lt;=ROUND(AC$6+IF(AC$5=$C34,$E$5+$E34,0),2)),ROUND(AE33+AD34,2),MIN(ROUND(AC$6+IF(AC$5=$C34,$E$5+$E34,0),2),ROUND(AE33+AD34,2))),0)</f>
        <v>0</v>
      </c>
      <c r="AD34" s="24">
        <f>IF(AE33&gt;0,ROUND(ROUND(AE33*100,0)*ROUND(AC$7*10000,0)/12000000,0)/100,0)</f>
        <v>0</v>
      </c>
      <c r="AE34" s="24">
        <f>IF(AE33&gt;0,ROUND(AE33+AD34-AC34,2),0)</f>
        <v>0</v>
      </c>
      <c r="AF34" s="24">
        <f>IF(AE33&gt;0,ROUND(AF33+ROUND(ROUND(AF33*100,0)*ROUND(AC$7*10000,0)/12000000,0)/100+0.02,2),0)</f>
        <v>0</v>
      </c>
      <c r="AG34" s="24">
        <f>IF(AI33&gt;0,IF(AND(ROUND(AI33+AH34-ROUND(AG$6+IF(AG$5=$C34,$E$5+$E34,0),2),2)&gt;0,ROUND(AI33+AH34-ROUND(AG$6+IF(AG$5=$C34,$E$5+$E34,0),2),2)&lt;=AJ34,ROUND(AI33+AH34-ROUND(AG$6+IF(AG$5=$C34,$E$5+$E34,0),2),2)*10&lt;=ROUND(AG$6+IF(AG$5=$C34,$E$5+$E34,0),2)),ROUND(AI33+AH34,2),MIN(ROUND(AG$6+IF(AG$5=$C34,$E$5+$E34,0),2),ROUND(AI33+AH34,2))),0)</f>
        <v>0</v>
      </c>
      <c r="AH34" s="24">
        <f>IF(AI33&gt;0,ROUND(ROUND(AI33*100,0)*ROUND(AG$7*10000,0)/12000000,0)/100,0)</f>
        <v>0</v>
      </c>
      <c r="AI34" s="24">
        <f>IF(AI33&gt;0,ROUND(AI33+AH34-AG34,2),0)</f>
        <v>0</v>
      </c>
      <c r="AJ34" s="24">
        <f>IF(AI33&gt;0,ROUND(AJ33+ROUND(ROUND(AJ33*100,0)*ROUND(AG$7*10000,0)/12000000,0)/100+0.02,2),0)</f>
        <v>0</v>
      </c>
      <c r="AK34" s="24">
        <f>IF(AM33&gt;0,IF(AND(ROUND(AM33+AL34-ROUND(AK$6+IF(AK$5=$C34,$E$5+$E34,0),2),2)&gt;0,ROUND(AM33+AL34-ROUND(AK$6+IF(AK$5=$C34,$E$5+$E34,0),2),2)&lt;=AN34,ROUND(AM33+AL34-ROUND(AK$6+IF(AK$5=$C34,$E$5+$E34,0),2),2)*10&lt;=ROUND(AK$6+IF(AK$5=$C34,$E$5+$E34,0),2)),ROUND(AM33+AL34,2),MIN(ROUND(AK$6+IF(AK$5=$C34,$E$5+$E34,0),2),ROUND(AM33+AL34,2))),0)</f>
        <v>0</v>
      </c>
      <c r="AL34" s="24">
        <f>IF(AM33&gt;0,ROUND(ROUND(AM33*100,0)*ROUND(AK$7*10000,0)/12000000,0)/100,0)</f>
        <v>0</v>
      </c>
      <c r="AM34" s="24">
        <f>IF(AM33&gt;0,ROUND(AM33+AL34-AK34,2),0)</f>
        <v>0</v>
      </c>
      <c r="AN34" s="24">
        <f>IF(AM33&gt;0,ROUND(AN33+ROUND(ROUND(AN33*100,0)*ROUND(AK$7*10000,0)/12000000,0)/100+0.02,2),0)</f>
        <v>0</v>
      </c>
      <c r="AO34" s="24">
        <f>IF(AQ33&gt;0,IF(AND(ROUND(AQ33+AP34-ROUND(AO$6+IF(AO$5=$C34,$E$5+$E34,0),2),2)&gt;0,ROUND(AQ33+AP34-ROUND(AO$6+IF(AO$5=$C34,$E$5+$E34,0),2),2)&lt;=AR34,ROUND(AQ33+AP34-ROUND(AO$6+IF(AO$5=$C34,$E$5+$E34,0),2),2)*10&lt;=ROUND(AO$6+IF(AO$5=$C34,$E$5+$E34,0),2)),ROUND(AQ33+AP34,2),MIN(ROUND(AO$6+IF(AO$5=$C34,$E$5+$E34,0),2),ROUND(AQ33+AP34,2))),0)</f>
        <v>0</v>
      </c>
      <c r="AP34" s="24">
        <f>IF(AQ33&gt;0,ROUND(ROUND(AQ33*100,0)*ROUND(AO$7*10000,0)/12000000,0)/100,0)</f>
        <v>0</v>
      </c>
      <c r="AQ34" s="24">
        <f>IF(AQ33&gt;0,ROUND(AQ33+AP34-AO34,2),0)</f>
        <v>0</v>
      </c>
      <c r="AR34" s="24">
        <f>IF(AQ33&gt;0,ROUND(AR33+ROUND(ROUND(AR33*100,0)*ROUND(AO$7*10000,0)/12000000,0)/100+0.02,2),0)</f>
        <v>0</v>
      </c>
      <c r="AS34" s="24">
        <f>IF(AU33&gt;0,IF(AND(ROUND(AU33+AT34-ROUND(AS$6+IF(AS$5=$C34,$E$5+$E34,0),2),2)&gt;0,ROUND(AU33+AT34-ROUND(AS$6+IF(AS$5=$C34,$E$5+$E34,0),2),2)&lt;=AV34,ROUND(AU33+AT34-ROUND(AS$6+IF(AS$5=$C34,$E$5+$E34,0),2),2)*10&lt;=ROUND(AS$6+IF(AS$5=$C34,$E$5+$E34,0),2)),ROUND(AU33+AT34,2),MIN(ROUND(AS$6+IF(AS$5=$C34,$E$5+$E34,0),2),ROUND(AU33+AT34,2))),0)</f>
        <v>0</v>
      </c>
      <c r="AT34" s="24">
        <f>IF(AU33&gt;0,ROUND(ROUND(AU33*100,0)*ROUND(AS$7*10000,0)/12000000,0)/100,0)</f>
        <v>0</v>
      </c>
      <c r="AU34" s="24">
        <f>IF(AU33&gt;0,ROUND(AU33+AT34-AS34,2),0)</f>
        <v>0</v>
      </c>
      <c r="AV34" s="24">
        <f>IF(AU33&gt;0,ROUND(AV33+ROUND(ROUND(AV33*100,0)*ROUND(AS$7*10000,0)/12000000,0)/100+0.02,2),0)</f>
        <v>0</v>
      </c>
    </row>
    <row r="35" spans="1:48" x14ac:dyDescent="0.25">
      <c r="A35" s="17">
        <f>IF(F35&gt;0,25,"")</f>
        <v>25</v>
      </c>
      <c r="B35" s="18">
        <f>IF(F35&gt;0,EDATE($E$6,25),"")</f>
        <v>47093</v>
      </c>
      <c r="C35" s="21">
        <f>IF(H34&gt;0,MIN(IF(K34&gt;0,I$5,99),IF(O34&gt;0,M$5,99),IF(S34&gt;0,Q$5,99),IF(W34&gt;0,U$5,99),IF(AA34&gt;0,Y$5,99),IF(AE34&gt;0,AC$5,99),IF(AI34&gt;0,AG$5,99),IF(AM34&gt;0,AK$5,99),IF(AQ34&gt;0,AO$5,99),IF(AU34&gt;0,AS$5,99)),0)</f>
        <v>3</v>
      </c>
      <c r="D35" t="str">
        <f>IF(C35&gt;0,INDEX($I$4:$AV$4,1,MATCH(C35,$I$5:$AV$5,0)),"")</f>
        <v>Préstamo de coche</v>
      </c>
      <c r="E35" s="24">
        <f>ROUND(IF(AND(I$8&gt;0,K34=0),I$6,0)+IF(AND(M$8&gt;0,O34=0),M$6,0)+IF(AND(Q$8&gt;0,S34=0),Q$6,0)+IF(AND(U$8&gt;0,W34=0),U$6,0)+IF(AND(Y$8&gt;0,AA34=0),Y$6,0)+IF(AND(AC$8&gt;0,AE34=0),AC$6,0)+IF(AND(AG$8&gt;0,AI34=0),AG$6,0)+IF(AND(AK$8&gt;0,AM34=0),AK$6,0)+IF(AND(AO$8&gt;0,AQ34=0),AO$6,0)+IF(AND(AS$8&gt;0,AU34=0),AS$6,0),2)</f>
        <v>125</v>
      </c>
      <c r="F35" s="24">
        <f>ROUND(I35+M35+Q35+U35+Y35+AC35+AG35+AK35+AO35+AS35,2)</f>
        <v>475</v>
      </c>
      <c r="G35" s="24">
        <f>ROUND(J35+N35+R35+V35+Z35+AD35+AH35+AL35+AP35+AT35,2)</f>
        <v>9.78</v>
      </c>
      <c r="H35" s="24">
        <f>ROUND(K35+O35+S35+W35+AA35+AE35+AI35+AM35+AQ35+AU35,2)</f>
        <v>1491.07</v>
      </c>
      <c r="I35" s="24">
        <f>IF(K34&gt;0,IF(AND(ROUND(K34+J35-ROUND(I$6+IF(I$5=$C35,$E$5+$E35,0),2),2)&gt;0,ROUND(K34+J35-ROUND(I$6+IF(I$5=$C35,$E$5+$E35,0),2),2)&lt;=L35,ROUND(K34+J35-ROUND(I$6+IF(I$5=$C35,$E$5+$E35,0),2),2)*10&lt;=ROUND(I$6+IF(I$5=$C35,$E$5+$E35,0),2)),ROUND(K34+J35,2),MIN(ROUND(I$6+IF(I$5=$C35,$E$5+$E35,0),2),ROUND(K34+J35,2))),0)</f>
        <v>0</v>
      </c>
      <c r="J35" s="24">
        <f>IF(K34&gt;0,ROUND(ROUND(K34*100,0)*ROUND(I$7*10000,0)/12000000,0)/100,0)</f>
        <v>0</v>
      </c>
      <c r="K35" s="24">
        <f>IF(K34&gt;0,ROUND(K34+J35-I35,2),0)</f>
        <v>0</v>
      </c>
      <c r="L35" s="24">
        <f>IF(K34&gt;0,ROUND(L34+ROUND(ROUND(L34*100,0)*ROUND(I$7*10000,0)/12000000,0)/100+0.02,2),0)</f>
        <v>0</v>
      </c>
      <c r="M35" s="24">
        <f>IF(O34&gt;0,IF(AND(ROUND(O34+N35-ROUND(M$6+IF(M$5=$C35,$E$5+$E35,0),2),2)&gt;0,ROUND(O34+N35-ROUND(M$6+IF(M$5=$C35,$E$5+$E35,0),2),2)&lt;=P35,ROUND(O34+N35-ROUND(M$6+IF(M$5=$C35,$E$5+$E35,0),2),2)*10&lt;=ROUND(M$6+IF(M$5=$C35,$E$5+$E35,0),2)),ROUND(O34+N35,2),MIN(ROUND(M$6+IF(M$5=$C35,$E$5+$E35,0),2),ROUND(O34+N35,2))),0)</f>
        <v>475</v>
      </c>
      <c r="N35" s="24">
        <f>IF(O34&gt;0,ROUND(ROUND(O34*100,0)*ROUND(M$7*10000,0)/12000000,0)/100,0)</f>
        <v>9.78</v>
      </c>
      <c r="O35" s="24">
        <f>IF(O34&gt;0,ROUND(O34+N35-M35,2),0)</f>
        <v>1491.07</v>
      </c>
      <c r="P35" s="24">
        <f>IF(O34&gt;0,ROUND(P34+ROUND(ROUND(P34*100,0)*ROUND(M$7*10000,0)/12000000,0)/100+0.02,2),0)</f>
        <v>0.5</v>
      </c>
      <c r="Q35" s="24">
        <f>IF(S34&gt;0,IF(AND(ROUND(S34+R35-ROUND(Q$6+IF(Q$5=$C35,$E$5+$E35,0),2),2)&gt;0,ROUND(S34+R35-ROUND(Q$6+IF(Q$5=$C35,$E$5+$E35,0),2),2)&lt;=T35,ROUND(S34+R35-ROUND(Q$6+IF(Q$5=$C35,$E$5+$E35,0),2),2)*10&lt;=ROUND(Q$6+IF(Q$5=$C35,$E$5+$E35,0),2)),ROUND(S34+R35,2),MIN(ROUND(Q$6+IF(Q$5=$C35,$E$5+$E35,0),2),ROUND(S34+R35,2))),0)</f>
        <v>0</v>
      </c>
      <c r="R35" s="24">
        <f>IF(S34&gt;0,ROUND(ROUND(S34*100,0)*ROUND(Q$7*10000,0)/12000000,0)/100,0)</f>
        <v>0</v>
      </c>
      <c r="S35" s="24">
        <f>IF(S34&gt;0,ROUND(S34+R35-Q35,2),0)</f>
        <v>0</v>
      </c>
      <c r="T35" s="24">
        <f>IF(S34&gt;0,ROUND(T34+ROUND(ROUND(T34*100,0)*ROUND(Q$7*10000,0)/12000000,0)/100+0.02,2),0)</f>
        <v>0</v>
      </c>
      <c r="U35" s="24">
        <f>IF(W34&gt;0,IF(AND(ROUND(W34+V35-ROUND(U$6+IF(U$5=$C35,$E$5+$E35,0),2),2)&gt;0,ROUND(W34+V35-ROUND(U$6+IF(U$5=$C35,$E$5+$E35,0),2),2)&lt;=X35,ROUND(W34+V35-ROUND(U$6+IF(U$5=$C35,$E$5+$E35,0),2),2)*10&lt;=ROUND(U$6+IF(U$5=$C35,$E$5+$E35,0),2)),ROUND(W34+V35,2),MIN(ROUND(U$6+IF(U$5=$C35,$E$5+$E35,0),2),ROUND(W34+V35,2))),0)</f>
        <v>0</v>
      </c>
      <c r="V35" s="24">
        <f>IF(W34&gt;0,ROUND(ROUND(W34*100,0)*ROUND(U$7*10000,0)/12000000,0)/100,0)</f>
        <v>0</v>
      </c>
      <c r="W35" s="24">
        <f>IF(W34&gt;0,ROUND(W34+V35-U35,2),0)</f>
        <v>0</v>
      </c>
      <c r="X35" s="24">
        <f>IF(W34&gt;0,ROUND(X34+ROUND(ROUND(X34*100,0)*ROUND(U$7*10000,0)/12000000,0)/100+0.02,2),0)</f>
        <v>0</v>
      </c>
      <c r="Y35" s="24">
        <f>IF(AA34&gt;0,IF(AND(ROUND(AA34+Z35-ROUND(Y$6+IF(Y$5=$C35,$E$5+$E35,0),2),2)&gt;0,ROUND(AA34+Z35-ROUND(Y$6+IF(Y$5=$C35,$E$5+$E35,0),2),2)&lt;=AB35,ROUND(AA34+Z35-ROUND(Y$6+IF(Y$5=$C35,$E$5+$E35,0),2),2)*10&lt;=ROUND(Y$6+IF(Y$5=$C35,$E$5+$E35,0),2)),ROUND(AA34+Z35,2),MIN(ROUND(Y$6+IF(Y$5=$C35,$E$5+$E35,0),2),ROUND(AA34+Z35,2))),0)</f>
        <v>0</v>
      </c>
      <c r="Z35" s="24">
        <f>IF(AA34&gt;0,ROUND(ROUND(AA34*100,0)*ROUND(Y$7*10000,0)/12000000,0)/100,0)</f>
        <v>0</v>
      </c>
      <c r="AA35" s="24">
        <f>IF(AA34&gt;0,ROUND(AA34+Z35-Y35,2),0)</f>
        <v>0</v>
      </c>
      <c r="AB35" s="24">
        <f>IF(AA34&gt;0,ROUND(AB34+ROUND(ROUND(AB34*100,0)*ROUND(Y$7*10000,0)/12000000,0)/100+0.02,2),0)</f>
        <v>0</v>
      </c>
      <c r="AC35" s="24">
        <f>IF(AE34&gt;0,IF(AND(ROUND(AE34+AD35-ROUND(AC$6+IF(AC$5=$C35,$E$5+$E35,0),2),2)&gt;0,ROUND(AE34+AD35-ROUND(AC$6+IF(AC$5=$C35,$E$5+$E35,0),2),2)&lt;=AF35,ROUND(AE34+AD35-ROUND(AC$6+IF(AC$5=$C35,$E$5+$E35,0),2),2)*10&lt;=ROUND(AC$6+IF(AC$5=$C35,$E$5+$E35,0),2)),ROUND(AE34+AD35,2),MIN(ROUND(AC$6+IF(AC$5=$C35,$E$5+$E35,0),2),ROUND(AE34+AD35,2))),0)</f>
        <v>0</v>
      </c>
      <c r="AD35" s="24">
        <f>IF(AE34&gt;0,ROUND(ROUND(AE34*100,0)*ROUND(AC$7*10000,0)/12000000,0)/100,0)</f>
        <v>0</v>
      </c>
      <c r="AE35" s="24">
        <f>IF(AE34&gt;0,ROUND(AE34+AD35-AC35,2),0)</f>
        <v>0</v>
      </c>
      <c r="AF35" s="24">
        <f>IF(AE34&gt;0,ROUND(AF34+ROUND(ROUND(AF34*100,0)*ROUND(AC$7*10000,0)/12000000,0)/100+0.02,2),0)</f>
        <v>0</v>
      </c>
      <c r="AG35" s="24">
        <f>IF(AI34&gt;0,IF(AND(ROUND(AI34+AH35-ROUND(AG$6+IF(AG$5=$C35,$E$5+$E35,0),2),2)&gt;0,ROUND(AI34+AH35-ROUND(AG$6+IF(AG$5=$C35,$E$5+$E35,0),2),2)&lt;=AJ35,ROUND(AI34+AH35-ROUND(AG$6+IF(AG$5=$C35,$E$5+$E35,0),2),2)*10&lt;=ROUND(AG$6+IF(AG$5=$C35,$E$5+$E35,0),2)),ROUND(AI34+AH35,2),MIN(ROUND(AG$6+IF(AG$5=$C35,$E$5+$E35,0),2),ROUND(AI34+AH35,2))),0)</f>
        <v>0</v>
      </c>
      <c r="AH35" s="24">
        <f>IF(AI34&gt;0,ROUND(ROUND(AI34*100,0)*ROUND(AG$7*10000,0)/12000000,0)/100,0)</f>
        <v>0</v>
      </c>
      <c r="AI35" s="24">
        <f>IF(AI34&gt;0,ROUND(AI34+AH35-AG35,2),0)</f>
        <v>0</v>
      </c>
      <c r="AJ35" s="24">
        <f>IF(AI34&gt;0,ROUND(AJ34+ROUND(ROUND(AJ34*100,0)*ROUND(AG$7*10000,0)/12000000,0)/100+0.02,2),0)</f>
        <v>0</v>
      </c>
      <c r="AK35" s="24">
        <f>IF(AM34&gt;0,IF(AND(ROUND(AM34+AL35-ROUND(AK$6+IF(AK$5=$C35,$E$5+$E35,0),2),2)&gt;0,ROUND(AM34+AL35-ROUND(AK$6+IF(AK$5=$C35,$E$5+$E35,0),2),2)&lt;=AN35,ROUND(AM34+AL35-ROUND(AK$6+IF(AK$5=$C35,$E$5+$E35,0),2),2)*10&lt;=ROUND(AK$6+IF(AK$5=$C35,$E$5+$E35,0),2)),ROUND(AM34+AL35,2),MIN(ROUND(AK$6+IF(AK$5=$C35,$E$5+$E35,0),2),ROUND(AM34+AL35,2))),0)</f>
        <v>0</v>
      </c>
      <c r="AL35" s="24">
        <f>IF(AM34&gt;0,ROUND(ROUND(AM34*100,0)*ROUND(AK$7*10000,0)/12000000,0)/100,0)</f>
        <v>0</v>
      </c>
      <c r="AM35" s="24">
        <f>IF(AM34&gt;0,ROUND(AM34+AL35-AK35,2),0)</f>
        <v>0</v>
      </c>
      <c r="AN35" s="24">
        <f>IF(AM34&gt;0,ROUND(AN34+ROUND(ROUND(AN34*100,0)*ROUND(AK$7*10000,0)/12000000,0)/100+0.02,2),0)</f>
        <v>0</v>
      </c>
      <c r="AO35" s="24">
        <f>IF(AQ34&gt;0,IF(AND(ROUND(AQ34+AP35-ROUND(AO$6+IF(AO$5=$C35,$E$5+$E35,0),2),2)&gt;0,ROUND(AQ34+AP35-ROUND(AO$6+IF(AO$5=$C35,$E$5+$E35,0),2),2)&lt;=AR35,ROUND(AQ34+AP35-ROUND(AO$6+IF(AO$5=$C35,$E$5+$E35,0),2),2)*10&lt;=ROUND(AO$6+IF(AO$5=$C35,$E$5+$E35,0),2)),ROUND(AQ34+AP35,2),MIN(ROUND(AO$6+IF(AO$5=$C35,$E$5+$E35,0),2),ROUND(AQ34+AP35,2))),0)</f>
        <v>0</v>
      </c>
      <c r="AP35" s="24">
        <f>IF(AQ34&gt;0,ROUND(ROUND(AQ34*100,0)*ROUND(AO$7*10000,0)/12000000,0)/100,0)</f>
        <v>0</v>
      </c>
      <c r="AQ35" s="24">
        <f>IF(AQ34&gt;0,ROUND(AQ34+AP35-AO35,2),0)</f>
        <v>0</v>
      </c>
      <c r="AR35" s="24">
        <f>IF(AQ34&gt;0,ROUND(AR34+ROUND(ROUND(AR34*100,0)*ROUND(AO$7*10000,0)/12000000,0)/100+0.02,2),0)</f>
        <v>0</v>
      </c>
      <c r="AS35" s="24">
        <f>IF(AU34&gt;0,IF(AND(ROUND(AU34+AT35-ROUND(AS$6+IF(AS$5=$C35,$E$5+$E35,0),2),2)&gt;0,ROUND(AU34+AT35-ROUND(AS$6+IF(AS$5=$C35,$E$5+$E35,0),2),2)&lt;=AV35,ROUND(AU34+AT35-ROUND(AS$6+IF(AS$5=$C35,$E$5+$E35,0),2),2)*10&lt;=ROUND(AS$6+IF(AS$5=$C35,$E$5+$E35,0),2)),ROUND(AU34+AT35,2),MIN(ROUND(AS$6+IF(AS$5=$C35,$E$5+$E35,0),2),ROUND(AU34+AT35,2))),0)</f>
        <v>0</v>
      </c>
      <c r="AT35" s="24">
        <f>IF(AU34&gt;0,ROUND(ROUND(AU34*100,0)*ROUND(AS$7*10000,0)/12000000,0)/100,0)</f>
        <v>0</v>
      </c>
      <c r="AU35" s="24">
        <f>IF(AU34&gt;0,ROUND(AU34+AT35-AS35,2),0)</f>
        <v>0</v>
      </c>
      <c r="AV35" s="24">
        <f>IF(AU34&gt;0,ROUND(AV34+ROUND(ROUND(AV34*100,0)*ROUND(AS$7*10000,0)/12000000,0)/100+0.02,2),0)</f>
        <v>0</v>
      </c>
    </row>
    <row r="36" spans="1:48" x14ac:dyDescent="0.25">
      <c r="A36" s="17">
        <f>IF(F36&gt;0,26,"")</f>
        <v>26</v>
      </c>
      <c r="B36" s="18">
        <f>IF(F36&gt;0,EDATE($E$6,26),"")</f>
        <v>47124</v>
      </c>
      <c r="C36" s="21">
        <f>IF(H35&gt;0,MIN(IF(K35&gt;0,I$5,99),IF(O35&gt;0,M$5,99),IF(S35&gt;0,Q$5,99),IF(W35&gt;0,U$5,99),IF(AA35&gt;0,Y$5,99),IF(AE35&gt;0,AC$5,99),IF(AI35&gt;0,AG$5,99),IF(AM35&gt;0,AK$5,99),IF(AQ35&gt;0,AO$5,99),IF(AU35&gt;0,AS$5,99)),0)</f>
        <v>3</v>
      </c>
      <c r="D36" t="str">
        <f>IF(C36&gt;0,INDEX($I$4:$AV$4,1,MATCH(C36,$I$5:$AV$5,0)),"")</f>
        <v>Préstamo de coche</v>
      </c>
      <c r="E36" s="24">
        <f>ROUND(IF(AND(I$8&gt;0,K35=0),I$6,0)+IF(AND(M$8&gt;0,O35=0),M$6,0)+IF(AND(Q$8&gt;0,S35=0),Q$6,0)+IF(AND(U$8&gt;0,W35=0),U$6,0)+IF(AND(Y$8&gt;0,AA35=0),Y$6,0)+IF(AND(AC$8&gt;0,AE35=0),AC$6,0)+IF(AND(AG$8&gt;0,AI35=0),AG$6,0)+IF(AND(AK$8&gt;0,AM35=0),AK$6,0)+IF(AND(AO$8&gt;0,AQ35=0),AO$6,0)+IF(AND(AS$8&gt;0,AU35=0),AS$6,0),2)</f>
        <v>125</v>
      </c>
      <c r="F36" s="24">
        <f>ROUND(I36+M36+Q36+U36+Y36+AC36+AG36+AK36+AO36+AS36,2)</f>
        <v>475</v>
      </c>
      <c r="G36" s="24">
        <f>ROUND(J36+N36+R36+V36+Z36+AD36+AH36+AL36+AP36+AT36,2)</f>
        <v>7.46</v>
      </c>
      <c r="H36" s="24">
        <f>ROUND(K36+O36+S36+W36+AA36+AE36+AI36+AM36+AQ36+AU36,2)</f>
        <v>1023.53</v>
      </c>
      <c r="I36" s="24">
        <f>IF(K35&gt;0,IF(AND(ROUND(K35+J36-ROUND(I$6+IF(I$5=$C36,$E$5+$E36,0),2),2)&gt;0,ROUND(K35+J36-ROUND(I$6+IF(I$5=$C36,$E$5+$E36,0),2),2)&lt;=L36,ROUND(K35+J36-ROUND(I$6+IF(I$5=$C36,$E$5+$E36,0),2),2)*10&lt;=ROUND(I$6+IF(I$5=$C36,$E$5+$E36,0),2)),ROUND(K35+J36,2),MIN(ROUND(I$6+IF(I$5=$C36,$E$5+$E36,0),2),ROUND(K35+J36,2))),0)</f>
        <v>0</v>
      </c>
      <c r="J36" s="24">
        <f>IF(K35&gt;0,ROUND(ROUND(K35*100,0)*ROUND(I$7*10000,0)/12000000,0)/100,0)</f>
        <v>0</v>
      </c>
      <c r="K36" s="24">
        <f>IF(K35&gt;0,ROUND(K35+J36-I36,2),0)</f>
        <v>0</v>
      </c>
      <c r="L36" s="24">
        <f>IF(K35&gt;0,ROUND(L35+ROUND(ROUND(L35*100,0)*ROUND(I$7*10000,0)/12000000,0)/100+0.02,2),0)</f>
        <v>0</v>
      </c>
      <c r="M36" s="24">
        <f>IF(O35&gt;0,IF(AND(ROUND(O35+N36-ROUND(M$6+IF(M$5=$C36,$E$5+$E36,0),2),2)&gt;0,ROUND(O35+N36-ROUND(M$6+IF(M$5=$C36,$E$5+$E36,0),2),2)&lt;=P36,ROUND(O35+N36-ROUND(M$6+IF(M$5=$C36,$E$5+$E36,0),2),2)*10&lt;=ROUND(M$6+IF(M$5=$C36,$E$5+$E36,0),2)),ROUND(O35+N36,2),MIN(ROUND(M$6+IF(M$5=$C36,$E$5+$E36,0),2),ROUND(O35+N36,2))),0)</f>
        <v>475</v>
      </c>
      <c r="N36" s="24">
        <f>IF(O35&gt;0,ROUND(ROUND(O35*100,0)*ROUND(M$7*10000,0)/12000000,0)/100,0)</f>
        <v>7.46</v>
      </c>
      <c r="O36" s="24">
        <f>IF(O35&gt;0,ROUND(O35+N36-M36,2),0)</f>
        <v>1023.53</v>
      </c>
      <c r="P36" s="24">
        <f>IF(O35&gt;0,ROUND(P35+ROUND(ROUND(P35*100,0)*ROUND(M$7*10000,0)/12000000,0)/100+0.02,2),0)</f>
        <v>0.52</v>
      </c>
      <c r="Q36" s="24">
        <f>IF(S35&gt;0,IF(AND(ROUND(S35+R36-ROUND(Q$6+IF(Q$5=$C36,$E$5+$E36,0),2),2)&gt;0,ROUND(S35+R36-ROUND(Q$6+IF(Q$5=$C36,$E$5+$E36,0),2),2)&lt;=T36,ROUND(S35+R36-ROUND(Q$6+IF(Q$5=$C36,$E$5+$E36,0),2),2)*10&lt;=ROUND(Q$6+IF(Q$5=$C36,$E$5+$E36,0),2)),ROUND(S35+R36,2),MIN(ROUND(Q$6+IF(Q$5=$C36,$E$5+$E36,0),2),ROUND(S35+R36,2))),0)</f>
        <v>0</v>
      </c>
      <c r="R36" s="24">
        <f>IF(S35&gt;0,ROUND(ROUND(S35*100,0)*ROUND(Q$7*10000,0)/12000000,0)/100,0)</f>
        <v>0</v>
      </c>
      <c r="S36" s="24">
        <f>IF(S35&gt;0,ROUND(S35+R36-Q36,2),0)</f>
        <v>0</v>
      </c>
      <c r="T36" s="24">
        <f>IF(S35&gt;0,ROUND(T35+ROUND(ROUND(T35*100,0)*ROUND(Q$7*10000,0)/12000000,0)/100+0.02,2),0)</f>
        <v>0</v>
      </c>
      <c r="U36" s="24">
        <f>IF(W35&gt;0,IF(AND(ROUND(W35+V36-ROUND(U$6+IF(U$5=$C36,$E$5+$E36,0),2),2)&gt;0,ROUND(W35+V36-ROUND(U$6+IF(U$5=$C36,$E$5+$E36,0),2),2)&lt;=X36,ROUND(W35+V36-ROUND(U$6+IF(U$5=$C36,$E$5+$E36,0),2),2)*10&lt;=ROUND(U$6+IF(U$5=$C36,$E$5+$E36,0),2)),ROUND(W35+V36,2),MIN(ROUND(U$6+IF(U$5=$C36,$E$5+$E36,0),2),ROUND(W35+V36,2))),0)</f>
        <v>0</v>
      </c>
      <c r="V36" s="24">
        <f>IF(W35&gt;0,ROUND(ROUND(W35*100,0)*ROUND(U$7*10000,0)/12000000,0)/100,0)</f>
        <v>0</v>
      </c>
      <c r="W36" s="24">
        <f>IF(W35&gt;0,ROUND(W35+V36-U36,2),0)</f>
        <v>0</v>
      </c>
      <c r="X36" s="24">
        <f>IF(W35&gt;0,ROUND(X35+ROUND(ROUND(X35*100,0)*ROUND(U$7*10000,0)/12000000,0)/100+0.02,2),0)</f>
        <v>0</v>
      </c>
      <c r="Y36" s="24">
        <f>IF(AA35&gt;0,IF(AND(ROUND(AA35+Z36-ROUND(Y$6+IF(Y$5=$C36,$E$5+$E36,0),2),2)&gt;0,ROUND(AA35+Z36-ROUND(Y$6+IF(Y$5=$C36,$E$5+$E36,0),2),2)&lt;=AB36,ROUND(AA35+Z36-ROUND(Y$6+IF(Y$5=$C36,$E$5+$E36,0),2),2)*10&lt;=ROUND(Y$6+IF(Y$5=$C36,$E$5+$E36,0),2)),ROUND(AA35+Z36,2),MIN(ROUND(Y$6+IF(Y$5=$C36,$E$5+$E36,0),2),ROUND(AA35+Z36,2))),0)</f>
        <v>0</v>
      </c>
      <c r="Z36" s="24">
        <f>IF(AA35&gt;0,ROUND(ROUND(AA35*100,0)*ROUND(Y$7*10000,0)/12000000,0)/100,0)</f>
        <v>0</v>
      </c>
      <c r="AA36" s="24">
        <f>IF(AA35&gt;0,ROUND(AA35+Z36-Y36,2),0)</f>
        <v>0</v>
      </c>
      <c r="AB36" s="24">
        <f>IF(AA35&gt;0,ROUND(AB35+ROUND(ROUND(AB35*100,0)*ROUND(Y$7*10000,0)/12000000,0)/100+0.02,2),0)</f>
        <v>0</v>
      </c>
      <c r="AC36" s="24">
        <f>IF(AE35&gt;0,IF(AND(ROUND(AE35+AD36-ROUND(AC$6+IF(AC$5=$C36,$E$5+$E36,0),2),2)&gt;0,ROUND(AE35+AD36-ROUND(AC$6+IF(AC$5=$C36,$E$5+$E36,0),2),2)&lt;=AF36,ROUND(AE35+AD36-ROUND(AC$6+IF(AC$5=$C36,$E$5+$E36,0),2),2)*10&lt;=ROUND(AC$6+IF(AC$5=$C36,$E$5+$E36,0),2)),ROUND(AE35+AD36,2),MIN(ROUND(AC$6+IF(AC$5=$C36,$E$5+$E36,0),2),ROUND(AE35+AD36,2))),0)</f>
        <v>0</v>
      </c>
      <c r="AD36" s="24">
        <f>IF(AE35&gt;0,ROUND(ROUND(AE35*100,0)*ROUND(AC$7*10000,0)/12000000,0)/100,0)</f>
        <v>0</v>
      </c>
      <c r="AE36" s="24">
        <f>IF(AE35&gt;0,ROUND(AE35+AD36-AC36,2),0)</f>
        <v>0</v>
      </c>
      <c r="AF36" s="24">
        <f>IF(AE35&gt;0,ROUND(AF35+ROUND(ROUND(AF35*100,0)*ROUND(AC$7*10000,0)/12000000,0)/100+0.02,2),0)</f>
        <v>0</v>
      </c>
      <c r="AG36" s="24">
        <f>IF(AI35&gt;0,IF(AND(ROUND(AI35+AH36-ROUND(AG$6+IF(AG$5=$C36,$E$5+$E36,0),2),2)&gt;0,ROUND(AI35+AH36-ROUND(AG$6+IF(AG$5=$C36,$E$5+$E36,0),2),2)&lt;=AJ36,ROUND(AI35+AH36-ROUND(AG$6+IF(AG$5=$C36,$E$5+$E36,0),2),2)*10&lt;=ROUND(AG$6+IF(AG$5=$C36,$E$5+$E36,0),2)),ROUND(AI35+AH36,2),MIN(ROUND(AG$6+IF(AG$5=$C36,$E$5+$E36,0),2),ROUND(AI35+AH36,2))),0)</f>
        <v>0</v>
      </c>
      <c r="AH36" s="24">
        <f>IF(AI35&gt;0,ROUND(ROUND(AI35*100,0)*ROUND(AG$7*10000,0)/12000000,0)/100,0)</f>
        <v>0</v>
      </c>
      <c r="AI36" s="24">
        <f>IF(AI35&gt;0,ROUND(AI35+AH36-AG36,2),0)</f>
        <v>0</v>
      </c>
      <c r="AJ36" s="24">
        <f>IF(AI35&gt;0,ROUND(AJ35+ROUND(ROUND(AJ35*100,0)*ROUND(AG$7*10000,0)/12000000,0)/100+0.02,2),0)</f>
        <v>0</v>
      </c>
      <c r="AK36" s="24">
        <f>IF(AM35&gt;0,IF(AND(ROUND(AM35+AL36-ROUND(AK$6+IF(AK$5=$C36,$E$5+$E36,0),2),2)&gt;0,ROUND(AM35+AL36-ROUND(AK$6+IF(AK$5=$C36,$E$5+$E36,0),2),2)&lt;=AN36,ROUND(AM35+AL36-ROUND(AK$6+IF(AK$5=$C36,$E$5+$E36,0),2),2)*10&lt;=ROUND(AK$6+IF(AK$5=$C36,$E$5+$E36,0),2)),ROUND(AM35+AL36,2),MIN(ROUND(AK$6+IF(AK$5=$C36,$E$5+$E36,0),2),ROUND(AM35+AL36,2))),0)</f>
        <v>0</v>
      </c>
      <c r="AL36" s="24">
        <f>IF(AM35&gt;0,ROUND(ROUND(AM35*100,0)*ROUND(AK$7*10000,0)/12000000,0)/100,0)</f>
        <v>0</v>
      </c>
      <c r="AM36" s="24">
        <f>IF(AM35&gt;0,ROUND(AM35+AL36-AK36,2),0)</f>
        <v>0</v>
      </c>
      <c r="AN36" s="24">
        <f>IF(AM35&gt;0,ROUND(AN35+ROUND(ROUND(AN35*100,0)*ROUND(AK$7*10000,0)/12000000,0)/100+0.02,2),0)</f>
        <v>0</v>
      </c>
      <c r="AO36" s="24">
        <f>IF(AQ35&gt;0,IF(AND(ROUND(AQ35+AP36-ROUND(AO$6+IF(AO$5=$C36,$E$5+$E36,0),2),2)&gt;0,ROUND(AQ35+AP36-ROUND(AO$6+IF(AO$5=$C36,$E$5+$E36,0),2),2)&lt;=AR36,ROUND(AQ35+AP36-ROUND(AO$6+IF(AO$5=$C36,$E$5+$E36,0),2),2)*10&lt;=ROUND(AO$6+IF(AO$5=$C36,$E$5+$E36,0),2)),ROUND(AQ35+AP36,2),MIN(ROUND(AO$6+IF(AO$5=$C36,$E$5+$E36,0),2),ROUND(AQ35+AP36,2))),0)</f>
        <v>0</v>
      </c>
      <c r="AP36" s="24">
        <f>IF(AQ35&gt;0,ROUND(ROUND(AQ35*100,0)*ROUND(AO$7*10000,0)/12000000,0)/100,0)</f>
        <v>0</v>
      </c>
      <c r="AQ36" s="24">
        <f>IF(AQ35&gt;0,ROUND(AQ35+AP36-AO36,2),0)</f>
        <v>0</v>
      </c>
      <c r="AR36" s="24">
        <f>IF(AQ35&gt;0,ROUND(AR35+ROUND(ROUND(AR35*100,0)*ROUND(AO$7*10000,0)/12000000,0)/100+0.02,2),0)</f>
        <v>0</v>
      </c>
      <c r="AS36" s="24">
        <f>IF(AU35&gt;0,IF(AND(ROUND(AU35+AT36-ROUND(AS$6+IF(AS$5=$C36,$E$5+$E36,0),2),2)&gt;0,ROUND(AU35+AT36-ROUND(AS$6+IF(AS$5=$C36,$E$5+$E36,0),2),2)&lt;=AV36,ROUND(AU35+AT36-ROUND(AS$6+IF(AS$5=$C36,$E$5+$E36,0),2),2)*10&lt;=ROUND(AS$6+IF(AS$5=$C36,$E$5+$E36,0),2)),ROUND(AU35+AT36,2),MIN(ROUND(AS$6+IF(AS$5=$C36,$E$5+$E36,0),2),ROUND(AU35+AT36,2))),0)</f>
        <v>0</v>
      </c>
      <c r="AT36" s="24">
        <f>IF(AU35&gt;0,ROUND(ROUND(AU35*100,0)*ROUND(AS$7*10000,0)/12000000,0)/100,0)</f>
        <v>0</v>
      </c>
      <c r="AU36" s="24">
        <f>IF(AU35&gt;0,ROUND(AU35+AT36-AS36,2),0)</f>
        <v>0</v>
      </c>
      <c r="AV36" s="24">
        <f>IF(AU35&gt;0,ROUND(AV35+ROUND(ROUND(AV35*100,0)*ROUND(AS$7*10000,0)/12000000,0)/100+0.02,2),0)</f>
        <v>0</v>
      </c>
    </row>
    <row r="37" spans="1:48" x14ac:dyDescent="0.25">
      <c r="A37" s="17">
        <f>IF(F37&gt;0,27,"")</f>
        <v>27</v>
      </c>
      <c r="B37" s="18">
        <f>IF(F37&gt;0,EDATE($E$6,27),"")</f>
        <v>47155</v>
      </c>
      <c r="C37" s="21">
        <f>IF(H36&gt;0,MIN(IF(K36&gt;0,I$5,99),IF(O36&gt;0,M$5,99),IF(S36&gt;0,Q$5,99),IF(W36&gt;0,U$5,99),IF(AA36&gt;0,Y$5,99),IF(AE36&gt;0,AC$5,99),IF(AI36&gt;0,AG$5,99),IF(AM36&gt;0,AK$5,99),IF(AQ36&gt;0,AO$5,99),IF(AU36&gt;0,AS$5,99)),0)</f>
        <v>3</v>
      </c>
      <c r="D37" t="str">
        <f>IF(C37&gt;0,INDEX($I$4:$AV$4,1,MATCH(C37,$I$5:$AV$5,0)),"")</f>
        <v>Préstamo de coche</v>
      </c>
      <c r="E37" s="24">
        <f>ROUND(IF(AND(I$8&gt;0,K36=0),I$6,0)+IF(AND(M$8&gt;0,O36=0),M$6,0)+IF(AND(Q$8&gt;0,S36=0),Q$6,0)+IF(AND(U$8&gt;0,W36=0),U$6,0)+IF(AND(Y$8&gt;0,AA36=0),Y$6,0)+IF(AND(AC$8&gt;0,AE36=0),AC$6,0)+IF(AND(AG$8&gt;0,AI36=0),AG$6,0)+IF(AND(AK$8&gt;0,AM36=0),AK$6,0)+IF(AND(AO$8&gt;0,AQ36=0),AO$6,0)+IF(AND(AS$8&gt;0,AU36=0),AS$6,0),2)</f>
        <v>125</v>
      </c>
      <c r="F37" s="24">
        <f>ROUND(I37+M37+Q37+U37+Y37+AC37+AG37+AK37+AO37+AS37,2)</f>
        <v>475</v>
      </c>
      <c r="G37" s="24">
        <f>ROUND(J37+N37+R37+V37+Z37+AD37+AH37+AL37+AP37+AT37,2)</f>
        <v>5.12</v>
      </c>
      <c r="H37" s="24">
        <f>ROUND(K37+O37+S37+W37+AA37+AE37+AI37+AM37+AQ37+AU37,2)</f>
        <v>553.65</v>
      </c>
      <c r="I37" s="24">
        <f>IF(K36&gt;0,IF(AND(ROUND(K36+J37-ROUND(I$6+IF(I$5=$C37,$E$5+$E37,0),2),2)&gt;0,ROUND(K36+J37-ROUND(I$6+IF(I$5=$C37,$E$5+$E37,0),2),2)&lt;=L37,ROUND(K36+J37-ROUND(I$6+IF(I$5=$C37,$E$5+$E37,0),2),2)*10&lt;=ROUND(I$6+IF(I$5=$C37,$E$5+$E37,0),2)),ROUND(K36+J37,2),MIN(ROUND(I$6+IF(I$5=$C37,$E$5+$E37,0),2),ROUND(K36+J37,2))),0)</f>
        <v>0</v>
      </c>
      <c r="J37" s="24">
        <f>IF(K36&gt;0,ROUND(ROUND(K36*100,0)*ROUND(I$7*10000,0)/12000000,0)/100,0)</f>
        <v>0</v>
      </c>
      <c r="K37" s="24">
        <f>IF(K36&gt;0,ROUND(K36+J37-I37,2),0)</f>
        <v>0</v>
      </c>
      <c r="L37" s="24">
        <f>IF(K36&gt;0,ROUND(L36+ROUND(ROUND(L36*100,0)*ROUND(I$7*10000,0)/12000000,0)/100+0.02,2),0)</f>
        <v>0</v>
      </c>
      <c r="M37" s="24">
        <f>IF(O36&gt;0,IF(AND(ROUND(O36+N37-ROUND(M$6+IF(M$5=$C37,$E$5+$E37,0),2),2)&gt;0,ROUND(O36+N37-ROUND(M$6+IF(M$5=$C37,$E$5+$E37,0),2),2)&lt;=P37,ROUND(O36+N37-ROUND(M$6+IF(M$5=$C37,$E$5+$E37,0),2),2)*10&lt;=ROUND(M$6+IF(M$5=$C37,$E$5+$E37,0),2)),ROUND(O36+N37,2),MIN(ROUND(M$6+IF(M$5=$C37,$E$5+$E37,0),2),ROUND(O36+N37,2))),0)</f>
        <v>475</v>
      </c>
      <c r="N37" s="24">
        <f>IF(O36&gt;0,ROUND(ROUND(O36*100,0)*ROUND(M$7*10000,0)/12000000,0)/100,0)</f>
        <v>5.12</v>
      </c>
      <c r="O37" s="24">
        <f>IF(O36&gt;0,ROUND(O36+N37-M37,2),0)</f>
        <v>553.65</v>
      </c>
      <c r="P37" s="24">
        <f>IF(O36&gt;0,ROUND(P36+ROUND(ROUND(P36*100,0)*ROUND(M$7*10000,0)/12000000,0)/100+0.02,2),0)</f>
        <v>0.54</v>
      </c>
      <c r="Q37" s="24">
        <f>IF(S36&gt;0,IF(AND(ROUND(S36+R37-ROUND(Q$6+IF(Q$5=$C37,$E$5+$E37,0),2),2)&gt;0,ROUND(S36+R37-ROUND(Q$6+IF(Q$5=$C37,$E$5+$E37,0),2),2)&lt;=T37,ROUND(S36+R37-ROUND(Q$6+IF(Q$5=$C37,$E$5+$E37,0),2),2)*10&lt;=ROUND(Q$6+IF(Q$5=$C37,$E$5+$E37,0),2)),ROUND(S36+R37,2),MIN(ROUND(Q$6+IF(Q$5=$C37,$E$5+$E37,0),2),ROUND(S36+R37,2))),0)</f>
        <v>0</v>
      </c>
      <c r="R37" s="24">
        <f>IF(S36&gt;0,ROUND(ROUND(S36*100,0)*ROUND(Q$7*10000,0)/12000000,0)/100,0)</f>
        <v>0</v>
      </c>
      <c r="S37" s="24">
        <f>IF(S36&gt;0,ROUND(S36+R37-Q37,2),0)</f>
        <v>0</v>
      </c>
      <c r="T37" s="24">
        <f>IF(S36&gt;0,ROUND(T36+ROUND(ROUND(T36*100,0)*ROUND(Q$7*10000,0)/12000000,0)/100+0.02,2),0)</f>
        <v>0</v>
      </c>
      <c r="U37" s="24">
        <f>IF(W36&gt;0,IF(AND(ROUND(W36+V37-ROUND(U$6+IF(U$5=$C37,$E$5+$E37,0),2),2)&gt;0,ROUND(W36+V37-ROUND(U$6+IF(U$5=$C37,$E$5+$E37,0),2),2)&lt;=X37,ROUND(W36+V37-ROUND(U$6+IF(U$5=$C37,$E$5+$E37,0),2),2)*10&lt;=ROUND(U$6+IF(U$5=$C37,$E$5+$E37,0),2)),ROUND(W36+V37,2),MIN(ROUND(U$6+IF(U$5=$C37,$E$5+$E37,0),2),ROUND(W36+V37,2))),0)</f>
        <v>0</v>
      </c>
      <c r="V37" s="24">
        <f>IF(W36&gt;0,ROUND(ROUND(W36*100,0)*ROUND(U$7*10000,0)/12000000,0)/100,0)</f>
        <v>0</v>
      </c>
      <c r="W37" s="24">
        <f>IF(W36&gt;0,ROUND(W36+V37-U37,2),0)</f>
        <v>0</v>
      </c>
      <c r="X37" s="24">
        <f>IF(W36&gt;0,ROUND(X36+ROUND(ROUND(X36*100,0)*ROUND(U$7*10000,0)/12000000,0)/100+0.02,2),0)</f>
        <v>0</v>
      </c>
      <c r="Y37" s="24">
        <f>IF(AA36&gt;0,IF(AND(ROUND(AA36+Z37-ROUND(Y$6+IF(Y$5=$C37,$E$5+$E37,0),2),2)&gt;0,ROUND(AA36+Z37-ROUND(Y$6+IF(Y$5=$C37,$E$5+$E37,0),2),2)&lt;=AB37,ROUND(AA36+Z37-ROUND(Y$6+IF(Y$5=$C37,$E$5+$E37,0),2),2)*10&lt;=ROUND(Y$6+IF(Y$5=$C37,$E$5+$E37,0),2)),ROUND(AA36+Z37,2),MIN(ROUND(Y$6+IF(Y$5=$C37,$E$5+$E37,0),2),ROUND(AA36+Z37,2))),0)</f>
        <v>0</v>
      </c>
      <c r="Z37" s="24">
        <f>IF(AA36&gt;0,ROUND(ROUND(AA36*100,0)*ROUND(Y$7*10000,0)/12000000,0)/100,0)</f>
        <v>0</v>
      </c>
      <c r="AA37" s="24">
        <f>IF(AA36&gt;0,ROUND(AA36+Z37-Y37,2),0)</f>
        <v>0</v>
      </c>
      <c r="AB37" s="24">
        <f>IF(AA36&gt;0,ROUND(AB36+ROUND(ROUND(AB36*100,0)*ROUND(Y$7*10000,0)/12000000,0)/100+0.02,2),0)</f>
        <v>0</v>
      </c>
      <c r="AC37" s="24">
        <f>IF(AE36&gt;0,IF(AND(ROUND(AE36+AD37-ROUND(AC$6+IF(AC$5=$C37,$E$5+$E37,0),2),2)&gt;0,ROUND(AE36+AD37-ROUND(AC$6+IF(AC$5=$C37,$E$5+$E37,0),2),2)&lt;=AF37,ROUND(AE36+AD37-ROUND(AC$6+IF(AC$5=$C37,$E$5+$E37,0),2),2)*10&lt;=ROUND(AC$6+IF(AC$5=$C37,$E$5+$E37,0),2)),ROUND(AE36+AD37,2),MIN(ROUND(AC$6+IF(AC$5=$C37,$E$5+$E37,0),2),ROUND(AE36+AD37,2))),0)</f>
        <v>0</v>
      </c>
      <c r="AD37" s="24">
        <f>IF(AE36&gt;0,ROUND(ROUND(AE36*100,0)*ROUND(AC$7*10000,0)/12000000,0)/100,0)</f>
        <v>0</v>
      </c>
      <c r="AE37" s="24">
        <f>IF(AE36&gt;0,ROUND(AE36+AD37-AC37,2),0)</f>
        <v>0</v>
      </c>
      <c r="AF37" s="24">
        <f>IF(AE36&gt;0,ROUND(AF36+ROUND(ROUND(AF36*100,0)*ROUND(AC$7*10000,0)/12000000,0)/100+0.02,2),0)</f>
        <v>0</v>
      </c>
      <c r="AG37" s="24">
        <f>IF(AI36&gt;0,IF(AND(ROUND(AI36+AH37-ROUND(AG$6+IF(AG$5=$C37,$E$5+$E37,0),2),2)&gt;0,ROUND(AI36+AH37-ROUND(AG$6+IF(AG$5=$C37,$E$5+$E37,0),2),2)&lt;=AJ37,ROUND(AI36+AH37-ROUND(AG$6+IF(AG$5=$C37,$E$5+$E37,0),2),2)*10&lt;=ROUND(AG$6+IF(AG$5=$C37,$E$5+$E37,0),2)),ROUND(AI36+AH37,2),MIN(ROUND(AG$6+IF(AG$5=$C37,$E$5+$E37,0),2),ROUND(AI36+AH37,2))),0)</f>
        <v>0</v>
      </c>
      <c r="AH37" s="24">
        <f>IF(AI36&gt;0,ROUND(ROUND(AI36*100,0)*ROUND(AG$7*10000,0)/12000000,0)/100,0)</f>
        <v>0</v>
      </c>
      <c r="AI37" s="24">
        <f>IF(AI36&gt;0,ROUND(AI36+AH37-AG37,2),0)</f>
        <v>0</v>
      </c>
      <c r="AJ37" s="24">
        <f>IF(AI36&gt;0,ROUND(AJ36+ROUND(ROUND(AJ36*100,0)*ROUND(AG$7*10000,0)/12000000,0)/100+0.02,2),0)</f>
        <v>0</v>
      </c>
      <c r="AK37" s="24">
        <f>IF(AM36&gt;0,IF(AND(ROUND(AM36+AL37-ROUND(AK$6+IF(AK$5=$C37,$E$5+$E37,0),2),2)&gt;0,ROUND(AM36+AL37-ROUND(AK$6+IF(AK$5=$C37,$E$5+$E37,0),2),2)&lt;=AN37,ROUND(AM36+AL37-ROUND(AK$6+IF(AK$5=$C37,$E$5+$E37,0),2),2)*10&lt;=ROUND(AK$6+IF(AK$5=$C37,$E$5+$E37,0),2)),ROUND(AM36+AL37,2),MIN(ROUND(AK$6+IF(AK$5=$C37,$E$5+$E37,0),2),ROUND(AM36+AL37,2))),0)</f>
        <v>0</v>
      </c>
      <c r="AL37" s="24">
        <f>IF(AM36&gt;0,ROUND(ROUND(AM36*100,0)*ROUND(AK$7*10000,0)/12000000,0)/100,0)</f>
        <v>0</v>
      </c>
      <c r="AM37" s="24">
        <f>IF(AM36&gt;0,ROUND(AM36+AL37-AK37,2),0)</f>
        <v>0</v>
      </c>
      <c r="AN37" s="24">
        <f>IF(AM36&gt;0,ROUND(AN36+ROUND(ROUND(AN36*100,0)*ROUND(AK$7*10000,0)/12000000,0)/100+0.02,2),0)</f>
        <v>0</v>
      </c>
      <c r="AO37" s="24">
        <f>IF(AQ36&gt;0,IF(AND(ROUND(AQ36+AP37-ROUND(AO$6+IF(AO$5=$C37,$E$5+$E37,0),2),2)&gt;0,ROUND(AQ36+AP37-ROUND(AO$6+IF(AO$5=$C37,$E$5+$E37,0),2),2)&lt;=AR37,ROUND(AQ36+AP37-ROUND(AO$6+IF(AO$5=$C37,$E$5+$E37,0),2),2)*10&lt;=ROUND(AO$6+IF(AO$5=$C37,$E$5+$E37,0),2)),ROUND(AQ36+AP37,2),MIN(ROUND(AO$6+IF(AO$5=$C37,$E$5+$E37,0),2),ROUND(AQ36+AP37,2))),0)</f>
        <v>0</v>
      </c>
      <c r="AP37" s="24">
        <f>IF(AQ36&gt;0,ROUND(ROUND(AQ36*100,0)*ROUND(AO$7*10000,0)/12000000,0)/100,0)</f>
        <v>0</v>
      </c>
      <c r="AQ37" s="24">
        <f>IF(AQ36&gt;0,ROUND(AQ36+AP37-AO37,2),0)</f>
        <v>0</v>
      </c>
      <c r="AR37" s="24">
        <f>IF(AQ36&gt;0,ROUND(AR36+ROUND(ROUND(AR36*100,0)*ROUND(AO$7*10000,0)/12000000,0)/100+0.02,2),0)</f>
        <v>0</v>
      </c>
      <c r="AS37" s="24">
        <f>IF(AU36&gt;0,IF(AND(ROUND(AU36+AT37-ROUND(AS$6+IF(AS$5=$C37,$E$5+$E37,0),2),2)&gt;0,ROUND(AU36+AT37-ROUND(AS$6+IF(AS$5=$C37,$E$5+$E37,0),2),2)&lt;=AV37,ROUND(AU36+AT37-ROUND(AS$6+IF(AS$5=$C37,$E$5+$E37,0),2),2)*10&lt;=ROUND(AS$6+IF(AS$5=$C37,$E$5+$E37,0),2)),ROUND(AU36+AT37,2),MIN(ROUND(AS$6+IF(AS$5=$C37,$E$5+$E37,0),2),ROUND(AU36+AT37,2))),0)</f>
        <v>0</v>
      </c>
      <c r="AT37" s="24">
        <f>IF(AU36&gt;0,ROUND(ROUND(AU36*100,0)*ROUND(AS$7*10000,0)/12000000,0)/100,0)</f>
        <v>0</v>
      </c>
      <c r="AU37" s="24">
        <f>IF(AU36&gt;0,ROUND(AU36+AT37-AS37,2),0)</f>
        <v>0</v>
      </c>
      <c r="AV37" s="24">
        <f>IF(AU36&gt;0,ROUND(AV36+ROUND(ROUND(AV36*100,0)*ROUND(AS$7*10000,0)/12000000,0)/100+0.02,2),0)</f>
        <v>0</v>
      </c>
    </row>
    <row r="38" spans="1:48" x14ac:dyDescent="0.25">
      <c r="A38" s="17">
        <f>IF(F38&gt;0,28,"")</f>
        <v>28</v>
      </c>
      <c r="B38" s="18">
        <f>IF(F38&gt;0,EDATE($E$6,28),"")</f>
        <v>47183</v>
      </c>
      <c r="C38" s="21">
        <f>IF(H37&gt;0,MIN(IF(K37&gt;0,I$5,99),IF(O37&gt;0,M$5,99),IF(S37&gt;0,Q$5,99),IF(W37&gt;0,U$5,99),IF(AA37&gt;0,Y$5,99),IF(AE37&gt;0,AC$5,99),IF(AI37&gt;0,AG$5,99),IF(AM37&gt;0,AK$5,99),IF(AQ37&gt;0,AO$5,99),IF(AU37&gt;0,AS$5,99)),0)</f>
        <v>3</v>
      </c>
      <c r="D38" t="str">
        <f>IF(C38&gt;0,INDEX($I$4:$AV$4,1,MATCH(C38,$I$5:$AV$5,0)),"")</f>
        <v>Préstamo de coche</v>
      </c>
      <c r="E38" s="24">
        <f>ROUND(IF(AND(I$8&gt;0,K37=0),I$6,0)+IF(AND(M$8&gt;0,O37=0),M$6,0)+IF(AND(Q$8&gt;0,S37=0),Q$6,0)+IF(AND(U$8&gt;0,W37=0),U$6,0)+IF(AND(Y$8&gt;0,AA37=0),Y$6,0)+IF(AND(AC$8&gt;0,AE37=0),AC$6,0)+IF(AND(AG$8&gt;0,AI37=0),AG$6,0)+IF(AND(AK$8&gt;0,AM37=0),AK$6,0)+IF(AND(AO$8&gt;0,AQ37=0),AO$6,0)+IF(AND(AS$8&gt;0,AU37=0),AS$6,0),2)</f>
        <v>125</v>
      </c>
      <c r="F38" s="24">
        <f>ROUND(I38+M38+Q38+U38+Y38+AC38+AG38+AK38+AO38+AS38,2)</f>
        <v>475</v>
      </c>
      <c r="G38" s="24">
        <f>ROUND(J38+N38+R38+V38+Z38+AD38+AH38+AL38+AP38+AT38,2)</f>
        <v>2.77</v>
      </c>
      <c r="H38" s="24">
        <f>ROUND(K38+O38+S38+W38+AA38+AE38+AI38+AM38+AQ38+AU38,2)</f>
        <v>81.42</v>
      </c>
      <c r="I38" s="24">
        <f>IF(K37&gt;0,IF(AND(ROUND(K37+J38-ROUND(I$6+IF(I$5=$C38,$E$5+$E38,0),2),2)&gt;0,ROUND(K37+J38-ROUND(I$6+IF(I$5=$C38,$E$5+$E38,0),2),2)&lt;=L38,ROUND(K37+J38-ROUND(I$6+IF(I$5=$C38,$E$5+$E38,0),2),2)*10&lt;=ROUND(I$6+IF(I$5=$C38,$E$5+$E38,0),2)),ROUND(K37+J38,2),MIN(ROUND(I$6+IF(I$5=$C38,$E$5+$E38,0),2),ROUND(K37+J38,2))),0)</f>
        <v>0</v>
      </c>
      <c r="J38" s="24">
        <f>IF(K37&gt;0,ROUND(ROUND(K37*100,0)*ROUND(I$7*10000,0)/12000000,0)/100,0)</f>
        <v>0</v>
      </c>
      <c r="K38" s="24">
        <f>IF(K37&gt;0,ROUND(K37+J38-I38,2),0)</f>
        <v>0</v>
      </c>
      <c r="L38" s="24">
        <f>IF(K37&gt;0,ROUND(L37+ROUND(ROUND(L37*100,0)*ROUND(I$7*10000,0)/12000000,0)/100+0.02,2),0)</f>
        <v>0</v>
      </c>
      <c r="M38" s="24">
        <f>IF(O37&gt;0,IF(AND(ROUND(O37+N38-ROUND(M$6+IF(M$5=$C38,$E$5+$E38,0),2),2)&gt;0,ROUND(O37+N38-ROUND(M$6+IF(M$5=$C38,$E$5+$E38,0),2),2)&lt;=P38,ROUND(O37+N38-ROUND(M$6+IF(M$5=$C38,$E$5+$E38,0),2),2)*10&lt;=ROUND(M$6+IF(M$5=$C38,$E$5+$E38,0),2)),ROUND(O37+N38,2),MIN(ROUND(M$6+IF(M$5=$C38,$E$5+$E38,0),2),ROUND(O37+N38,2))),0)</f>
        <v>475</v>
      </c>
      <c r="N38" s="24">
        <f>IF(O37&gt;0,ROUND(ROUND(O37*100,0)*ROUND(M$7*10000,0)/12000000,0)/100,0)</f>
        <v>2.77</v>
      </c>
      <c r="O38" s="24">
        <f>IF(O37&gt;0,ROUND(O37+N38-M38,2),0)</f>
        <v>81.42</v>
      </c>
      <c r="P38" s="24">
        <f>IF(O37&gt;0,ROUND(P37+ROUND(ROUND(P37*100,0)*ROUND(M$7*10000,0)/12000000,0)/100+0.02,2),0)</f>
        <v>0.56</v>
      </c>
      <c r="Q38" s="24">
        <f>IF(S37&gt;0,IF(AND(ROUND(S37+R38-ROUND(Q$6+IF(Q$5=$C38,$E$5+$E38,0),2),2)&gt;0,ROUND(S37+R38-ROUND(Q$6+IF(Q$5=$C38,$E$5+$E38,0),2),2)&lt;=T38,ROUND(S37+R38-ROUND(Q$6+IF(Q$5=$C38,$E$5+$E38,0),2),2)*10&lt;=ROUND(Q$6+IF(Q$5=$C38,$E$5+$E38,0),2)),ROUND(S37+R38,2),MIN(ROUND(Q$6+IF(Q$5=$C38,$E$5+$E38,0),2),ROUND(S37+R38,2))),0)</f>
        <v>0</v>
      </c>
      <c r="R38" s="24">
        <f>IF(S37&gt;0,ROUND(ROUND(S37*100,0)*ROUND(Q$7*10000,0)/12000000,0)/100,0)</f>
        <v>0</v>
      </c>
      <c r="S38" s="24">
        <f>IF(S37&gt;0,ROUND(S37+R38-Q38,2),0)</f>
        <v>0</v>
      </c>
      <c r="T38" s="24">
        <f>IF(S37&gt;0,ROUND(T37+ROUND(ROUND(T37*100,0)*ROUND(Q$7*10000,0)/12000000,0)/100+0.02,2),0)</f>
        <v>0</v>
      </c>
      <c r="U38" s="24">
        <f>IF(W37&gt;0,IF(AND(ROUND(W37+V38-ROUND(U$6+IF(U$5=$C38,$E$5+$E38,0),2),2)&gt;0,ROUND(W37+V38-ROUND(U$6+IF(U$5=$C38,$E$5+$E38,0),2),2)&lt;=X38,ROUND(W37+V38-ROUND(U$6+IF(U$5=$C38,$E$5+$E38,0),2),2)*10&lt;=ROUND(U$6+IF(U$5=$C38,$E$5+$E38,0),2)),ROUND(W37+V38,2),MIN(ROUND(U$6+IF(U$5=$C38,$E$5+$E38,0),2),ROUND(W37+V38,2))),0)</f>
        <v>0</v>
      </c>
      <c r="V38" s="24">
        <f>IF(W37&gt;0,ROUND(ROUND(W37*100,0)*ROUND(U$7*10000,0)/12000000,0)/100,0)</f>
        <v>0</v>
      </c>
      <c r="W38" s="24">
        <f>IF(W37&gt;0,ROUND(W37+V38-U38,2),0)</f>
        <v>0</v>
      </c>
      <c r="X38" s="24">
        <f>IF(W37&gt;0,ROUND(X37+ROUND(ROUND(X37*100,0)*ROUND(U$7*10000,0)/12000000,0)/100+0.02,2),0)</f>
        <v>0</v>
      </c>
      <c r="Y38" s="24">
        <f>IF(AA37&gt;0,IF(AND(ROUND(AA37+Z38-ROUND(Y$6+IF(Y$5=$C38,$E$5+$E38,0),2),2)&gt;0,ROUND(AA37+Z38-ROUND(Y$6+IF(Y$5=$C38,$E$5+$E38,0),2),2)&lt;=AB38,ROUND(AA37+Z38-ROUND(Y$6+IF(Y$5=$C38,$E$5+$E38,0),2),2)*10&lt;=ROUND(Y$6+IF(Y$5=$C38,$E$5+$E38,0),2)),ROUND(AA37+Z38,2),MIN(ROUND(Y$6+IF(Y$5=$C38,$E$5+$E38,0),2),ROUND(AA37+Z38,2))),0)</f>
        <v>0</v>
      </c>
      <c r="Z38" s="24">
        <f>IF(AA37&gt;0,ROUND(ROUND(AA37*100,0)*ROUND(Y$7*10000,0)/12000000,0)/100,0)</f>
        <v>0</v>
      </c>
      <c r="AA38" s="24">
        <f>IF(AA37&gt;0,ROUND(AA37+Z38-Y38,2),0)</f>
        <v>0</v>
      </c>
      <c r="AB38" s="24">
        <f>IF(AA37&gt;0,ROUND(AB37+ROUND(ROUND(AB37*100,0)*ROUND(Y$7*10000,0)/12000000,0)/100+0.02,2),0)</f>
        <v>0</v>
      </c>
      <c r="AC38" s="24">
        <f>IF(AE37&gt;0,IF(AND(ROUND(AE37+AD38-ROUND(AC$6+IF(AC$5=$C38,$E$5+$E38,0),2),2)&gt;0,ROUND(AE37+AD38-ROUND(AC$6+IF(AC$5=$C38,$E$5+$E38,0),2),2)&lt;=AF38,ROUND(AE37+AD38-ROUND(AC$6+IF(AC$5=$C38,$E$5+$E38,0),2),2)*10&lt;=ROUND(AC$6+IF(AC$5=$C38,$E$5+$E38,0),2)),ROUND(AE37+AD38,2),MIN(ROUND(AC$6+IF(AC$5=$C38,$E$5+$E38,0),2),ROUND(AE37+AD38,2))),0)</f>
        <v>0</v>
      </c>
      <c r="AD38" s="24">
        <f>IF(AE37&gt;0,ROUND(ROUND(AE37*100,0)*ROUND(AC$7*10000,0)/12000000,0)/100,0)</f>
        <v>0</v>
      </c>
      <c r="AE38" s="24">
        <f>IF(AE37&gt;0,ROUND(AE37+AD38-AC38,2),0)</f>
        <v>0</v>
      </c>
      <c r="AF38" s="24">
        <f>IF(AE37&gt;0,ROUND(AF37+ROUND(ROUND(AF37*100,0)*ROUND(AC$7*10000,0)/12000000,0)/100+0.02,2),0)</f>
        <v>0</v>
      </c>
      <c r="AG38" s="24">
        <f>IF(AI37&gt;0,IF(AND(ROUND(AI37+AH38-ROUND(AG$6+IF(AG$5=$C38,$E$5+$E38,0),2),2)&gt;0,ROUND(AI37+AH38-ROUND(AG$6+IF(AG$5=$C38,$E$5+$E38,0),2),2)&lt;=AJ38,ROUND(AI37+AH38-ROUND(AG$6+IF(AG$5=$C38,$E$5+$E38,0),2),2)*10&lt;=ROUND(AG$6+IF(AG$5=$C38,$E$5+$E38,0),2)),ROUND(AI37+AH38,2),MIN(ROUND(AG$6+IF(AG$5=$C38,$E$5+$E38,0),2),ROUND(AI37+AH38,2))),0)</f>
        <v>0</v>
      </c>
      <c r="AH38" s="24">
        <f>IF(AI37&gt;0,ROUND(ROUND(AI37*100,0)*ROUND(AG$7*10000,0)/12000000,0)/100,0)</f>
        <v>0</v>
      </c>
      <c r="AI38" s="24">
        <f>IF(AI37&gt;0,ROUND(AI37+AH38-AG38,2),0)</f>
        <v>0</v>
      </c>
      <c r="AJ38" s="24">
        <f>IF(AI37&gt;0,ROUND(AJ37+ROUND(ROUND(AJ37*100,0)*ROUND(AG$7*10000,0)/12000000,0)/100+0.02,2),0)</f>
        <v>0</v>
      </c>
      <c r="AK38" s="24">
        <f>IF(AM37&gt;0,IF(AND(ROUND(AM37+AL38-ROUND(AK$6+IF(AK$5=$C38,$E$5+$E38,0),2),2)&gt;0,ROUND(AM37+AL38-ROUND(AK$6+IF(AK$5=$C38,$E$5+$E38,0),2),2)&lt;=AN38,ROUND(AM37+AL38-ROUND(AK$6+IF(AK$5=$C38,$E$5+$E38,0),2),2)*10&lt;=ROUND(AK$6+IF(AK$5=$C38,$E$5+$E38,0),2)),ROUND(AM37+AL38,2),MIN(ROUND(AK$6+IF(AK$5=$C38,$E$5+$E38,0),2),ROUND(AM37+AL38,2))),0)</f>
        <v>0</v>
      </c>
      <c r="AL38" s="24">
        <f>IF(AM37&gt;0,ROUND(ROUND(AM37*100,0)*ROUND(AK$7*10000,0)/12000000,0)/100,0)</f>
        <v>0</v>
      </c>
      <c r="AM38" s="24">
        <f>IF(AM37&gt;0,ROUND(AM37+AL38-AK38,2),0)</f>
        <v>0</v>
      </c>
      <c r="AN38" s="24">
        <f>IF(AM37&gt;0,ROUND(AN37+ROUND(ROUND(AN37*100,0)*ROUND(AK$7*10000,0)/12000000,0)/100+0.02,2),0)</f>
        <v>0</v>
      </c>
      <c r="AO38" s="24">
        <f>IF(AQ37&gt;0,IF(AND(ROUND(AQ37+AP38-ROUND(AO$6+IF(AO$5=$C38,$E$5+$E38,0),2),2)&gt;0,ROUND(AQ37+AP38-ROUND(AO$6+IF(AO$5=$C38,$E$5+$E38,0),2),2)&lt;=AR38,ROUND(AQ37+AP38-ROUND(AO$6+IF(AO$5=$C38,$E$5+$E38,0),2),2)*10&lt;=ROUND(AO$6+IF(AO$5=$C38,$E$5+$E38,0),2)),ROUND(AQ37+AP38,2),MIN(ROUND(AO$6+IF(AO$5=$C38,$E$5+$E38,0),2),ROUND(AQ37+AP38,2))),0)</f>
        <v>0</v>
      </c>
      <c r="AP38" s="24">
        <f>IF(AQ37&gt;0,ROUND(ROUND(AQ37*100,0)*ROUND(AO$7*10000,0)/12000000,0)/100,0)</f>
        <v>0</v>
      </c>
      <c r="AQ38" s="24">
        <f>IF(AQ37&gt;0,ROUND(AQ37+AP38-AO38,2),0)</f>
        <v>0</v>
      </c>
      <c r="AR38" s="24">
        <f>IF(AQ37&gt;0,ROUND(AR37+ROUND(ROUND(AR37*100,0)*ROUND(AO$7*10000,0)/12000000,0)/100+0.02,2),0)</f>
        <v>0</v>
      </c>
      <c r="AS38" s="24">
        <f>IF(AU37&gt;0,IF(AND(ROUND(AU37+AT38-ROUND(AS$6+IF(AS$5=$C38,$E$5+$E38,0),2),2)&gt;0,ROUND(AU37+AT38-ROUND(AS$6+IF(AS$5=$C38,$E$5+$E38,0),2),2)&lt;=AV38,ROUND(AU37+AT38-ROUND(AS$6+IF(AS$5=$C38,$E$5+$E38,0),2),2)*10&lt;=ROUND(AS$6+IF(AS$5=$C38,$E$5+$E38,0),2)),ROUND(AU37+AT38,2),MIN(ROUND(AS$6+IF(AS$5=$C38,$E$5+$E38,0),2),ROUND(AU37+AT38,2))),0)</f>
        <v>0</v>
      </c>
      <c r="AT38" s="24">
        <f>IF(AU37&gt;0,ROUND(ROUND(AU37*100,0)*ROUND(AS$7*10000,0)/12000000,0)/100,0)</f>
        <v>0</v>
      </c>
      <c r="AU38" s="24">
        <f>IF(AU37&gt;0,ROUND(AU37+AT38-AS38,2),0)</f>
        <v>0</v>
      </c>
      <c r="AV38" s="24">
        <f>IF(AU37&gt;0,ROUND(AV37+ROUND(ROUND(AV37*100,0)*ROUND(AS$7*10000,0)/12000000,0)/100+0.02,2),0)</f>
        <v>0</v>
      </c>
    </row>
    <row r="39" spans="1:48" x14ac:dyDescent="0.25">
      <c r="A39" s="17">
        <f>IF(F39&gt;0,29,"")</f>
        <v>29</v>
      </c>
      <c r="B39" s="18">
        <f>IF(F39&gt;0,EDATE($E$6,29),"")</f>
        <v>47214</v>
      </c>
      <c r="C39" s="21">
        <f>IF(H38&gt;0,MIN(IF(K38&gt;0,I$5,99),IF(O38&gt;0,M$5,99),IF(S38&gt;0,Q$5,99),IF(W38&gt;0,U$5,99),IF(AA38&gt;0,Y$5,99),IF(AE38&gt;0,AC$5,99),IF(AI38&gt;0,AG$5,99),IF(AM38&gt;0,AK$5,99),IF(AQ38&gt;0,AO$5,99),IF(AU38&gt;0,AS$5,99)),0)</f>
        <v>3</v>
      </c>
      <c r="D39" t="str">
        <f>IF(C39&gt;0,INDEX($I$4:$AV$4,1,MATCH(C39,$I$5:$AV$5,0)),"")</f>
        <v>Préstamo de coche</v>
      </c>
      <c r="E39" s="24">
        <f>ROUND(IF(AND(I$8&gt;0,K38=0),I$6,0)+IF(AND(M$8&gt;0,O38=0),M$6,0)+IF(AND(Q$8&gt;0,S38=0),Q$6,0)+IF(AND(U$8&gt;0,W38=0),U$6,0)+IF(AND(Y$8&gt;0,AA38=0),Y$6,0)+IF(AND(AC$8&gt;0,AE38=0),AC$6,0)+IF(AND(AG$8&gt;0,AI38=0),AG$6,0)+IF(AND(AK$8&gt;0,AM38=0),AK$6,0)+IF(AND(AO$8&gt;0,AQ38=0),AO$6,0)+IF(AND(AS$8&gt;0,AU38=0),AS$6,0),2)</f>
        <v>125</v>
      </c>
      <c r="F39" s="24">
        <f>ROUND(I39+M39+Q39+U39+Y39+AC39+AG39+AK39+AO39+AS39,2)</f>
        <v>81.83</v>
      </c>
      <c r="G39" s="24">
        <f>ROUND(J39+N39+R39+V39+Z39+AD39+AH39+AL39+AP39+AT39,2)</f>
        <v>0.41</v>
      </c>
      <c r="H39" s="24">
        <f>ROUND(K39+O39+S39+W39+AA39+AE39+AI39+AM39+AQ39+AU39,2)</f>
        <v>0</v>
      </c>
      <c r="I39" s="24">
        <f>IF(K38&gt;0,IF(AND(ROUND(K38+J39-ROUND(I$6+IF(I$5=$C39,$E$5+$E39,0),2),2)&gt;0,ROUND(K38+J39-ROUND(I$6+IF(I$5=$C39,$E$5+$E39,0),2),2)&lt;=L39,ROUND(K38+J39-ROUND(I$6+IF(I$5=$C39,$E$5+$E39,0),2),2)*10&lt;=ROUND(I$6+IF(I$5=$C39,$E$5+$E39,0),2)),ROUND(K38+J39,2),MIN(ROUND(I$6+IF(I$5=$C39,$E$5+$E39,0),2),ROUND(K38+J39,2))),0)</f>
        <v>0</v>
      </c>
      <c r="J39" s="24">
        <f>IF(K38&gt;0,ROUND(ROUND(K38*100,0)*ROUND(I$7*10000,0)/12000000,0)/100,0)</f>
        <v>0</v>
      </c>
      <c r="K39" s="24">
        <f>IF(K38&gt;0,ROUND(K38+J39-I39,2),0)</f>
        <v>0</v>
      </c>
      <c r="L39" s="24">
        <f>IF(K38&gt;0,ROUND(L38+ROUND(ROUND(L38*100,0)*ROUND(I$7*10000,0)/12000000,0)/100+0.02,2),0)</f>
        <v>0</v>
      </c>
      <c r="M39" s="24">
        <f>IF(O38&gt;0,IF(AND(ROUND(O38+N39-ROUND(M$6+IF(M$5=$C39,$E$5+$E39,0),2),2)&gt;0,ROUND(O38+N39-ROUND(M$6+IF(M$5=$C39,$E$5+$E39,0),2),2)&lt;=P39,ROUND(O38+N39-ROUND(M$6+IF(M$5=$C39,$E$5+$E39,0),2),2)*10&lt;=ROUND(M$6+IF(M$5=$C39,$E$5+$E39,0),2)),ROUND(O38+N39,2),MIN(ROUND(M$6+IF(M$5=$C39,$E$5+$E39,0),2),ROUND(O38+N39,2))),0)</f>
        <v>81.83</v>
      </c>
      <c r="N39" s="24">
        <f>IF(O38&gt;0,ROUND(ROUND(O38*100,0)*ROUND(M$7*10000,0)/12000000,0)/100,0)</f>
        <v>0.41</v>
      </c>
      <c r="O39" s="24">
        <f>IF(O38&gt;0,ROUND(O38+N39-M39,2),0)</f>
        <v>0</v>
      </c>
      <c r="P39" s="24">
        <f>IF(O38&gt;0,ROUND(P38+ROUND(ROUND(P38*100,0)*ROUND(M$7*10000,0)/12000000,0)/100+0.02,2),0)</f>
        <v>0.58</v>
      </c>
      <c r="Q39" s="24">
        <f>IF(S38&gt;0,IF(AND(ROUND(S38+R39-ROUND(Q$6+IF(Q$5=$C39,$E$5+$E39,0),2),2)&gt;0,ROUND(S38+R39-ROUND(Q$6+IF(Q$5=$C39,$E$5+$E39,0),2),2)&lt;=T39,ROUND(S38+R39-ROUND(Q$6+IF(Q$5=$C39,$E$5+$E39,0),2),2)*10&lt;=ROUND(Q$6+IF(Q$5=$C39,$E$5+$E39,0),2)),ROUND(S38+R39,2),MIN(ROUND(Q$6+IF(Q$5=$C39,$E$5+$E39,0),2),ROUND(S38+R39,2))),0)</f>
        <v>0</v>
      </c>
      <c r="R39" s="24">
        <f>IF(S38&gt;0,ROUND(ROUND(S38*100,0)*ROUND(Q$7*10000,0)/12000000,0)/100,0)</f>
        <v>0</v>
      </c>
      <c r="S39" s="24">
        <f>IF(S38&gt;0,ROUND(S38+R39-Q39,2),0)</f>
        <v>0</v>
      </c>
      <c r="T39" s="24">
        <f>IF(S38&gt;0,ROUND(T38+ROUND(ROUND(T38*100,0)*ROUND(Q$7*10000,0)/12000000,0)/100+0.02,2),0)</f>
        <v>0</v>
      </c>
      <c r="U39" s="24">
        <f>IF(W38&gt;0,IF(AND(ROUND(W38+V39-ROUND(U$6+IF(U$5=$C39,$E$5+$E39,0),2),2)&gt;0,ROUND(W38+V39-ROUND(U$6+IF(U$5=$C39,$E$5+$E39,0),2),2)&lt;=X39,ROUND(W38+V39-ROUND(U$6+IF(U$5=$C39,$E$5+$E39,0),2),2)*10&lt;=ROUND(U$6+IF(U$5=$C39,$E$5+$E39,0),2)),ROUND(W38+V39,2),MIN(ROUND(U$6+IF(U$5=$C39,$E$5+$E39,0),2),ROUND(W38+V39,2))),0)</f>
        <v>0</v>
      </c>
      <c r="V39" s="24">
        <f>IF(W38&gt;0,ROUND(ROUND(W38*100,0)*ROUND(U$7*10000,0)/12000000,0)/100,0)</f>
        <v>0</v>
      </c>
      <c r="W39" s="24">
        <f>IF(W38&gt;0,ROUND(W38+V39-U39,2),0)</f>
        <v>0</v>
      </c>
      <c r="X39" s="24">
        <f>IF(W38&gt;0,ROUND(X38+ROUND(ROUND(X38*100,0)*ROUND(U$7*10000,0)/12000000,0)/100+0.02,2),0)</f>
        <v>0</v>
      </c>
      <c r="Y39" s="24">
        <f>IF(AA38&gt;0,IF(AND(ROUND(AA38+Z39-ROUND(Y$6+IF(Y$5=$C39,$E$5+$E39,0),2),2)&gt;0,ROUND(AA38+Z39-ROUND(Y$6+IF(Y$5=$C39,$E$5+$E39,0),2),2)&lt;=AB39,ROUND(AA38+Z39-ROUND(Y$6+IF(Y$5=$C39,$E$5+$E39,0),2),2)*10&lt;=ROUND(Y$6+IF(Y$5=$C39,$E$5+$E39,0),2)),ROUND(AA38+Z39,2),MIN(ROUND(Y$6+IF(Y$5=$C39,$E$5+$E39,0),2),ROUND(AA38+Z39,2))),0)</f>
        <v>0</v>
      </c>
      <c r="Z39" s="24">
        <f>IF(AA38&gt;0,ROUND(ROUND(AA38*100,0)*ROUND(Y$7*10000,0)/12000000,0)/100,0)</f>
        <v>0</v>
      </c>
      <c r="AA39" s="24">
        <f>IF(AA38&gt;0,ROUND(AA38+Z39-Y39,2),0)</f>
        <v>0</v>
      </c>
      <c r="AB39" s="24">
        <f>IF(AA38&gt;0,ROUND(AB38+ROUND(ROUND(AB38*100,0)*ROUND(Y$7*10000,0)/12000000,0)/100+0.02,2),0)</f>
        <v>0</v>
      </c>
      <c r="AC39" s="24">
        <f>IF(AE38&gt;0,IF(AND(ROUND(AE38+AD39-ROUND(AC$6+IF(AC$5=$C39,$E$5+$E39,0),2),2)&gt;0,ROUND(AE38+AD39-ROUND(AC$6+IF(AC$5=$C39,$E$5+$E39,0),2),2)&lt;=AF39,ROUND(AE38+AD39-ROUND(AC$6+IF(AC$5=$C39,$E$5+$E39,0),2),2)*10&lt;=ROUND(AC$6+IF(AC$5=$C39,$E$5+$E39,0),2)),ROUND(AE38+AD39,2),MIN(ROUND(AC$6+IF(AC$5=$C39,$E$5+$E39,0),2),ROUND(AE38+AD39,2))),0)</f>
        <v>0</v>
      </c>
      <c r="AD39" s="24">
        <f>IF(AE38&gt;0,ROUND(ROUND(AE38*100,0)*ROUND(AC$7*10000,0)/12000000,0)/100,0)</f>
        <v>0</v>
      </c>
      <c r="AE39" s="24">
        <f>IF(AE38&gt;0,ROUND(AE38+AD39-AC39,2),0)</f>
        <v>0</v>
      </c>
      <c r="AF39" s="24">
        <f>IF(AE38&gt;0,ROUND(AF38+ROUND(ROUND(AF38*100,0)*ROUND(AC$7*10000,0)/12000000,0)/100+0.02,2),0)</f>
        <v>0</v>
      </c>
      <c r="AG39" s="24">
        <f>IF(AI38&gt;0,IF(AND(ROUND(AI38+AH39-ROUND(AG$6+IF(AG$5=$C39,$E$5+$E39,0),2),2)&gt;0,ROUND(AI38+AH39-ROUND(AG$6+IF(AG$5=$C39,$E$5+$E39,0),2),2)&lt;=AJ39,ROUND(AI38+AH39-ROUND(AG$6+IF(AG$5=$C39,$E$5+$E39,0),2),2)*10&lt;=ROUND(AG$6+IF(AG$5=$C39,$E$5+$E39,0),2)),ROUND(AI38+AH39,2),MIN(ROUND(AG$6+IF(AG$5=$C39,$E$5+$E39,0),2),ROUND(AI38+AH39,2))),0)</f>
        <v>0</v>
      </c>
      <c r="AH39" s="24">
        <f>IF(AI38&gt;0,ROUND(ROUND(AI38*100,0)*ROUND(AG$7*10000,0)/12000000,0)/100,0)</f>
        <v>0</v>
      </c>
      <c r="AI39" s="24">
        <f>IF(AI38&gt;0,ROUND(AI38+AH39-AG39,2),0)</f>
        <v>0</v>
      </c>
      <c r="AJ39" s="24">
        <f>IF(AI38&gt;0,ROUND(AJ38+ROUND(ROUND(AJ38*100,0)*ROUND(AG$7*10000,0)/12000000,0)/100+0.02,2),0)</f>
        <v>0</v>
      </c>
      <c r="AK39" s="24">
        <f>IF(AM38&gt;0,IF(AND(ROUND(AM38+AL39-ROUND(AK$6+IF(AK$5=$C39,$E$5+$E39,0),2),2)&gt;0,ROUND(AM38+AL39-ROUND(AK$6+IF(AK$5=$C39,$E$5+$E39,0),2),2)&lt;=AN39,ROUND(AM38+AL39-ROUND(AK$6+IF(AK$5=$C39,$E$5+$E39,0),2),2)*10&lt;=ROUND(AK$6+IF(AK$5=$C39,$E$5+$E39,0),2)),ROUND(AM38+AL39,2),MIN(ROUND(AK$6+IF(AK$5=$C39,$E$5+$E39,0),2),ROUND(AM38+AL39,2))),0)</f>
        <v>0</v>
      </c>
      <c r="AL39" s="24">
        <f>IF(AM38&gt;0,ROUND(ROUND(AM38*100,0)*ROUND(AK$7*10000,0)/12000000,0)/100,0)</f>
        <v>0</v>
      </c>
      <c r="AM39" s="24">
        <f>IF(AM38&gt;0,ROUND(AM38+AL39-AK39,2),0)</f>
        <v>0</v>
      </c>
      <c r="AN39" s="24">
        <f>IF(AM38&gt;0,ROUND(AN38+ROUND(ROUND(AN38*100,0)*ROUND(AK$7*10000,0)/12000000,0)/100+0.02,2),0)</f>
        <v>0</v>
      </c>
      <c r="AO39" s="24">
        <f>IF(AQ38&gt;0,IF(AND(ROUND(AQ38+AP39-ROUND(AO$6+IF(AO$5=$C39,$E$5+$E39,0),2),2)&gt;0,ROUND(AQ38+AP39-ROUND(AO$6+IF(AO$5=$C39,$E$5+$E39,0),2),2)&lt;=AR39,ROUND(AQ38+AP39-ROUND(AO$6+IF(AO$5=$C39,$E$5+$E39,0),2),2)*10&lt;=ROUND(AO$6+IF(AO$5=$C39,$E$5+$E39,0),2)),ROUND(AQ38+AP39,2),MIN(ROUND(AO$6+IF(AO$5=$C39,$E$5+$E39,0),2),ROUND(AQ38+AP39,2))),0)</f>
        <v>0</v>
      </c>
      <c r="AP39" s="24">
        <f>IF(AQ38&gt;0,ROUND(ROUND(AQ38*100,0)*ROUND(AO$7*10000,0)/12000000,0)/100,0)</f>
        <v>0</v>
      </c>
      <c r="AQ39" s="24">
        <f>IF(AQ38&gt;0,ROUND(AQ38+AP39-AO39,2),0)</f>
        <v>0</v>
      </c>
      <c r="AR39" s="24">
        <f>IF(AQ38&gt;0,ROUND(AR38+ROUND(ROUND(AR38*100,0)*ROUND(AO$7*10000,0)/12000000,0)/100+0.02,2),0)</f>
        <v>0</v>
      </c>
      <c r="AS39" s="24">
        <f>IF(AU38&gt;0,IF(AND(ROUND(AU38+AT39-ROUND(AS$6+IF(AS$5=$C39,$E$5+$E39,0),2),2)&gt;0,ROUND(AU38+AT39-ROUND(AS$6+IF(AS$5=$C39,$E$5+$E39,0),2),2)&lt;=AV39,ROUND(AU38+AT39-ROUND(AS$6+IF(AS$5=$C39,$E$5+$E39,0),2),2)*10&lt;=ROUND(AS$6+IF(AS$5=$C39,$E$5+$E39,0),2)),ROUND(AU38+AT39,2),MIN(ROUND(AS$6+IF(AS$5=$C39,$E$5+$E39,0),2),ROUND(AU38+AT39,2))),0)</f>
        <v>0</v>
      </c>
      <c r="AT39" s="24">
        <f>IF(AU38&gt;0,ROUND(ROUND(AU38*100,0)*ROUND(AS$7*10000,0)/12000000,0)/100,0)</f>
        <v>0</v>
      </c>
      <c r="AU39" s="24">
        <f>IF(AU38&gt;0,ROUND(AU38+AT39-AS39,2),0)</f>
        <v>0</v>
      </c>
      <c r="AV39" s="24">
        <f>IF(AU38&gt;0,ROUND(AV38+ROUND(ROUND(AV38*100,0)*ROUND(AS$7*10000,0)/12000000,0)/100+0.02,2),0)</f>
        <v>0</v>
      </c>
    </row>
    <row r="40" spans="1:48" x14ac:dyDescent="0.25">
      <c r="A40" s="17" t="str">
        <f>IF(F40&gt;0,30,"")</f>
        <v/>
      </c>
      <c r="B40" s="18" t="str">
        <f>IF(F40&gt;0,EDATE($E$6,30),"")</f>
        <v/>
      </c>
      <c r="C40" s="21">
        <f>IF(H39&gt;0,MIN(IF(K39&gt;0,I$5,99),IF(O39&gt;0,M$5,99),IF(S39&gt;0,Q$5,99),IF(W39&gt;0,U$5,99),IF(AA39&gt;0,Y$5,99),IF(AE39&gt;0,AC$5,99),IF(AI39&gt;0,AG$5,99),IF(AM39&gt;0,AK$5,99),IF(AQ39&gt;0,AO$5,99),IF(AU39&gt;0,AS$5,99)),0)</f>
        <v>0</v>
      </c>
      <c r="D40" t="str">
        <f>IF(C40&gt;0,INDEX($I$4:$AV$4,1,MATCH(C40,$I$5:$AV$5,0)),"")</f>
        <v/>
      </c>
      <c r="E40" s="24">
        <f>ROUND(IF(AND(I$8&gt;0,K39=0),I$6,0)+IF(AND(M$8&gt;0,O39=0),M$6,0)+IF(AND(Q$8&gt;0,S39=0),Q$6,0)+IF(AND(U$8&gt;0,W39=0),U$6,0)+IF(AND(Y$8&gt;0,AA39=0),Y$6,0)+IF(AND(AC$8&gt;0,AE39=0),AC$6,0)+IF(AND(AG$8&gt;0,AI39=0),AG$6,0)+IF(AND(AK$8&gt;0,AM39=0),AK$6,0)+IF(AND(AO$8&gt;0,AQ39=0),AO$6,0)+IF(AND(AS$8&gt;0,AU39=0),AS$6,0),2)</f>
        <v>325</v>
      </c>
      <c r="F40" s="24">
        <f>ROUND(I40+M40+Q40+U40+Y40+AC40+AG40+AK40+AO40+AS40,2)</f>
        <v>0</v>
      </c>
      <c r="G40" s="24">
        <f>ROUND(J40+N40+R40+V40+Z40+AD40+AH40+AL40+AP40+AT40,2)</f>
        <v>0</v>
      </c>
      <c r="H40" s="24">
        <f>ROUND(K40+O40+S40+W40+AA40+AE40+AI40+AM40+AQ40+AU40,2)</f>
        <v>0</v>
      </c>
      <c r="I40" s="24">
        <f>IF(K39&gt;0,IF(AND(ROUND(K39+J40-ROUND(I$6+IF(I$5=$C40,$E$5+$E40,0),2),2)&gt;0,ROUND(K39+J40-ROUND(I$6+IF(I$5=$C40,$E$5+$E40,0),2),2)&lt;=L40,ROUND(K39+J40-ROUND(I$6+IF(I$5=$C40,$E$5+$E40,0),2),2)*10&lt;=ROUND(I$6+IF(I$5=$C40,$E$5+$E40,0),2)),ROUND(K39+J40,2),MIN(ROUND(I$6+IF(I$5=$C40,$E$5+$E40,0),2),ROUND(K39+J40,2))),0)</f>
        <v>0</v>
      </c>
      <c r="J40" s="24">
        <f>IF(K39&gt;0,ROUND(ROUND(K39*100,0)*ROUND(I$7*10000,0)/12000000,0)/100,0)</f>
        <v>0</v>
      </c>
      <c r="K40" s="24">
        <f>IF(K39&gt;0,ROUND(K39+J40-I40,2),0)</f>
        <v>0</v>
      </c>
      <c r="L40" s="24">
        <f>IF(K39&gt;0,ROUND(L39+ROUND(ROUND(L39*100,0)*ROUND(I$7*10000,0)/12000000,0)/100+0.02,2),0)</f>
        <v>0</v>
      </c>
      <c r="M40" s="24">
        <f>IF(O39&gt;0,IF(AND(ROUND(O39+N40-ROUND(M$6+IF(M$5=$C40,$E$5+$E40,0),2),2)&gt;0,ROUND(O39+N40-ROUND(M$6+IF(M$5=$C40,$E$5+$E40,0),2),2)&lt;=P40,ROUND(O39+N40-ROUND(M$6+IF(M$5=$C40,$E$5+$E40,0),2),2)*10&lt;=ROUND(M$6+IF(M$5=$C40,$E$5+$E40,0),2)),ROUND(O39+N40,2),MIN(ROUND(M$6+IF(M$5=$C40,$E$5+$E40,0),2),ROUND(O39+N40,2))),0)</f>
        <v>0</v>
      </c>
      <c r="N40" s="24">
        <f>IF(O39&gt;0,ROUND(ROUND(O39*100,0)*ROUND(M$7*10000,0)/12000000,0)/100,0)</f>
        <v>0</v>
      </c>
      <c r="O40" s="24">
        <f>IF(O39&gt;0,ROUND(O39+N40-M40,2),0)</f>
        <v>0</v>
      </c>
      <c r="P40" s="24">
        <f>IF(O39&gt;0,ROUND(P39+ROUND(ROUND(P39*100,0)*ROUND(M$7*10000,0)/12000000,0)/100+0.02,2),0)</f>
        <v>0</v>
      </c>
      <c r="Q40" s="24">
        <f>IF(S39&gt;0,IF(AND(ROUND(S39+R40-ROUND(Q$6+IF(Q$5=$C40,$E$5+$E40,0),2),2)&gt;0,ROUND(S39+R40-ROUND(Q$6+IF(Q$5=$C40,$E$5+$E40,0),2),2)&lt;=T40,ROUND(S39+R40-ROUND(Q$6+IF(Q$5=$C40,$E$5+$E40,0),2),2)*10&lt;=ROUND(Q$6+IF(Q$5=$C40,$E$5+$E40,0),2)),ROUND(S39+R40,2),MIN(ROUND(Q$6+IF(Q$5=$C40,$E$5+$E40,0),2),ROUND(S39+R40,2))),0)</f>
        <v>0</v>
      </c>
      <c r="R40" s="24">
        <f>IF(S39&gt;0,ROUND(ROUND(S39*100,0)*ROUND(Q$7*10000,0)/12000000,0)/100,0)</f>
        <v>0</v>
      </c>
      <c r="S40" s="24">
        <f>IF(S39&gt;0,ROUND(S39+R40-Q40,2),0)</f>
        <v>0</v>
      </c>
      <c r="T40" s="24">
        <f>IF(S39&gt;0,ROUND(T39+ROUND(ROUND(T39*100,0)*ROUND(Q$7*10000,0)/12000000,0)/100+0.02,2),0)</f>
        <v>0</v>
      </c>
      <c r="U40" s="24">
        <f>IF(W39&gt;0,IF(AND(ROUND(W39+V40-ROUND(U$6+IF(U$5=$C40,$E$5+$E40,0),2),2)&gt;0,ROUND(W39+V40-ROUND(U$6+IF(U$5=$C40,$E$5+$E40,0),2),2)&lt;=X40,ROUND(W39+V40-ROUND(U$6+IF(U$5=$C40,$E$5+$E40,0),2),2)*10&lt;=ROUND(U$6+IF(U$5=$C40,$E$5+$E40,0),2)),ROUND(W39+V40,2),MIN(ROUND(U$6+IF(U$5=$C40,$E$5+$E40,0),2),ROUND(W39+V40,2))),0)</f>
        <v>0</v>
      </c>
      <c r="V40" s="24">
        <f>IF(W39&gt;0,ROUND(ROUND(W39*100,0)*ROUND(U$7*10000,0)/12000000,0)/100,0)</f>
        <v>0</v>
      </c>
      <c r="W40" s="24">
        <f>IF(W39&gt;0,ROUND(W39+V40-U40,2),0)</f>
        <v>0</v>
      </c>
      <c r="X40" s="24">
        <f>IF(W39&gt;0,ROUND(X39+ROUND(ROUND(X39*100,0)*ROUND(U$7*10000,0)/12000000,0)/100+0.02,2),0)</f>
        <v>0</v>
      </c>
      <c r="Y40" s="24">
        <f>IF(AA39&gt;0,IF(AND(ROUND(AA39+Z40-ROUND(Y$6+IF(Y$5=$C40,$E$5+$E40,0),2),2)&gt;0,ROUND(AA39+Z40-ROUND(Y$6+IF(Y$5=$C40,$E$5+$E40,0),2),2)&lt;=AB40,ROUND(AA39+Z40-ROUND(Y$6+IF(Y$5=$C40,$E$5+$E40,0),2),2)*10&lt;=ROUND(Y$6+IF(Y$5=$C40,$E$5+$E40,0),2)),ROUND(AA39+Z40,2),MIN(ROUND(Y$6+IF(Y$5=$C40,$E$5+$E40,0),2),ROUND(AA39+Z40,2))),0)</f>
        <v>0</v>
      </c>
      <c r="Z40" s="24">
        <f>IF(AA39&gt;0,ROUND(ROUND(AA39*100,0)*ROUND(Y$7*10000,0)/12000000,0)/100,0)</f>
        <v>0</v>
      </c>
      <c r="AA40" s="24">
        <f>IF(AA39&gt;0,ROUND(AA39+Z40-Y40,2),0)</f>
        <v>0</v>
      </c>
      <c r="AB40" s="24">
        <f>IF(AA39&gt;0,ROUND(AB39+ROUND(ROUND(AB39*100,0)*ROUND(Y$7*10000,0)/12000000,0)/100+0.02,2),0)</f>
        <v>0</v>
      </c>
      <c r="AC40" s="24">
        <f>IF(AE39&gt;0,IF(AND(ROUND(AE39+AD40-ROUND(AC$6+IF(AC$5=$C40,$E$5+$E40,0),2),2)&gt;0,ROUND(AE39+AD40-ROUND(AC$6+IF(AC$5=$C40,$E$5+$E40,0),2),2)&lt;=AF40,ROUND(AE39+AD40-ROUND(AC$6+IF(AC$5=$C40,$E$5+$E40,0),2),2)*10&lt;=ROUND(AC$6+IF(AC$5=$C40,$E$5+$E40,0),2)),ROUND(AE39+AD40,2),MIN(ROUND(AC$6+IF(AC$5=$C40,$E$5+$E40,0),2),ROUND(AE39+AD40,2))),0)</f>
        <v>0</v>
      </c>
      <c r="AD40" s="24">
        <f>IF(AE39&gt;0,ROUND(ROUND(AE39*100,0)*ROUND(AC$7*10000,0)/12000000,0)/100,0)</f>
        <v>0</v>
      </c>
      <c r="AE40" s="24">
        <f>IF(AE39&gt;0,ROUND(AE39+AD40-AC40,2),0)</f>
        <v>0</v>
      </c>
      <c r="AF40" s="24">
        <f>IF(AE39&gt;0,ROUND(AF39+ROUND(ROUND(AF39*100,0)*ROUND(AC$7*10000,0)/12000000,0)/100+0.02,2),0)</f>
        <v>0</v>
      </c>
      <c r="AG40" s="24">
        <f>IF(AI39&gt;0,IF(AND(ROUND(AI39+AH40-ROUND(AG$6+IF(AG$5=$C40,$E$5+$E40,0),2),2)&gt;0,ROUND(AI39+AH40-ROUND(AG$6+IF(AG$5=$C40,$E$5+$E40,0),2),2)&lt;=AJ40,ROUND(AI39+AH40-ROUND(AG$6+IF(AG$5=$C40,$E$5+$E40,0),2),2)*10&lt;=ROUND(AG$6+IF(AG$5=$C40,$E$5+$E40,0),2)),ROUND(AI39+AH40,2),MIN(ROUND(AG$6+IF(AG$5=$C40,$E$5+$E40,0),2),ROUND(AI39+AH40,2))),0)</f>
        <v>0</v>
      </c>
      <c r="AH40" s="24">
        <f>IF(AI39&gt;0,ROUND(ROUND(AI39*100,0)*ROUND(AG$7*10000,0)/12000000,0)/100,0)</f>
        <v>0</v>
      </c>
      <c r="AI40" s="24">
        <f>IF(AI39&gt;0,ROUND(AI39+AH40-AG40,2),0)</f>
        <v>0</v>
      </c>
      <c r="AJ40" s="24">
        <f>IF(AI39&gt;0,ROUND(AJ39+ROUND(ROUND(AJ39*100,0)*ROUND(AG$7*10000,0)/12000000,0)/100+0.02,2),0)</f>
        <v>0</v>
      </c>
      <c r="AK40" s="24">
        <f>IF(AM39&gt;0,IF(AND(ROUND(AM39+AL40-ROUND(AK$6+IF(AK$5=$C40,$E$5+$E40,0),2),2)&gt;0,ROUND(AM39+AL40-ROUND(AK$6+IF(AK$5=$C40,$E$5+$E40,0),2),2)&lt;=AN40,ROUND(AM39+AL40-ROUND(AK$6+IF(AK$5=$C40,$E$5+$E40,0),2),2)*10&lt;=ROUND(AK$6+IF(AK$5=$C40,$E$5+$E40,0),2)),ROUND(AM39+AL40,2),MIN(ROUND(AK$6+IF(AK$5=$C40,$E$5+$E40,0),2),ROUND(AM39+AL40,2))),0)</f>
        <v>0</v>
      </c>
      <c r="AL40" s="24">
        <f>IF(AM39&gt;0,ROUND(ROUND(AM39*100,0)*ROUND(AK$7*10000,0)/12000000,0)/100,0)</f>
        <v>0</v>
      </c>
      <c r="AM40" s="24">
        <f>IF(AM39&gt;0,ROUND(AM39+AL40-AK40,2),0)</f>
        <v>0</v>
      </c>
      <c r="AN40" s="24">
        <f>IF(AM39&gt;0,ROUND(AN39+ROUND(ROUND(AN39*100,0)*ROUND(AK$7*10000,0)/12000000,0)/100+0.02,2),0)</f>
        <v>0</v>
      </c>
      <c r="AO40" s="24">
        <f>IF(AQ39&gt;0,IF(AND(ROUND(AQ39+AP40-ROUND(AO$6+IF(AO$5=$C40,$E$5+$E40,0),2),2)&gt;0,ROUND(AQ39+AP40-ROUND(AO$6+IF(AO$5=$C40,$E$5+$E40,0),2),2)&lt;=AR40,ROUND(AQ39+AP40-ROUND(AO$6+IF(AO$5=$C40,$E$5+$E40,0),2),2)*10&lt;=ROUND(AO$6+IF(AO$5=$C40,$E$5+$E40,0),2)),ROUND(AQ39+AP40,2),MIN(ROUND(AO$6+IF(AO$5=$C40,$E$5+$E40,0),2),ROUND(AQ39+AP40,2))),0)</f>
        <v>0</v>
      </c>
      <c r="AP40" s="24">
        <f>IF(AQ39&gt;0,ROUND(ROUND(AQ39*100,0)*ROUND(AO$7*10000,0)/12000000,0)/100,0)</f>
        <v>0</v>
      </c>
      <c r="AQ40" s="24">
        <f>IF(AQ39&gt;0,ROUND(AQ39+AP40-AO40,2),0)</f>
        <v>0</v>
      </c>
      <c r="AR40" s="24">
        <f>IF(AQ39&gt;0,ROUND(AR39+ROUND(ROUND(AR39*100,0)*ROUND(AO$7*10000,0)/12000000,0)/100+0.02,2),0)</f>
        <v>0</v>
      </c>
      <c r="AS40" s="24">
        <f>IF(AU39&gt;0,IF(AND(ROUND(AU39+AT40-ROUND(AS$6+IF(AS$5=$C40,$E$5+$E40,0),2),2)&gt;0,ROUND(AU39+AT40-ROUND(AS$6+IF(AS$5=$C40,$E$5+$E40,0),2),2)&lt;=AV40,ROUND(AU39+AT40-ROUND(AS$6+IF(AS$5=$C40,$E$5+$E40,0),2),2)*10&lt;=ROUND(AS$6+IF(AS$5=$C40,$E$5+$E40,0),2)),ROUND(AU39+AT40,2),MIN(ROUND(AS$6+IF(AS$5=$C40,$E$5+$E40,0),2),ROUND(AU39+AT40,2))),0)</f>
        <v>0</v>
      </c>
      <c r="AT40" s="24">
        <f>IF(AU39&gt;0,ROUND(ROUND(AU39*100,0)*ROUND(AS$7*10000,0)/12000000,0)/100,0)</f>
        <v>0</v>
      </c>
      <c r="AU40" s="24">
        <f>IF(AU39&gt;0,ROUND(AU39+AT40-AS40,2),0)</f>
        <v>0</v>
      </c>
      <c r="AV40" s="24">
        <f>IF(AU39&gt;0,ROUND(AV39+ROUND(ROUND(AV39*100,0)*ROUND(AS$7*10000,0)/12000000,0)/100+0.02,2),0)</f>
        <v>0</v>
      </c>
    </row>
    <row r="41" spans="1:48" x14ac:dyDescent="0.25">
      <c r="A41" s="17" t="str">
        <f>IF(F41&gt;0,31,"")</f>
        <v/>
      </c>
      <c r="B41" s="18" t="str">
        <f>IF(F41&gt;0,EDATE($E$6,31),"")</f>
        <v/>
      </c>
      <c r="C41" s="21">
        <f>IF(H40&gt;0,MIN(IF(K40&gt;0,I$5,99),IF(O40&gt;0,M$5,99),IF(S40&gt;0,Q$5,99),IF(W40&gt;0,U$5,99),IF(AA40&gt;0,Y$5,99),IF(AE40&gt;0,AC$5,99),IF(AI40&gt;0,AG$5,99),IF(AM40&gt;0,AK$5,99),IF(AQ40&gt;0,AO$5,99),IF(AU40&gt;0,AS$5,99)),0)</f>
        <v>0</v>
      </c>
      <c r="D41" t="str">
        <f>IF(C41&gt;0,INDEX($I$4:$AV$4,1,MATCH(C41,$I$5:$AV$5,0)),"")</f>
        <v/>
      </c>
      <c r="E41" s="24">
        <f>ROUND(IF(AND(I$8&gt;0,K40=0),I$6,0)+IF(AND(M$8&gt;0,O40=0),M$6,0)+IF(AND(Q$8&gt;0,S40=0),Q$6,0)+IF(AND(U$8&gt;0,W40=0),U$6,0)+IF(AND(Y$8&gt;0,AA40=0),Y$6,0)+IF(AND(AC$8&gt;0,AE40=0),AC$6,0)+IF(AND(AG$8&gt;0,AI40=0),AG$6,0)+IF(AND(AK$8&gt;0,AM40=0),AK$6,0)+IF(AND(AO$8&gt;0,AQ40=0),AO$6,0)+IF(AND(AS$8&gt;0,AU40=0),AS$6,0),2)</f>
        <v>325</v>
      </c>
      <c r="F41" s="24">
        <f>ROUND(I41+M41+Q41+U41+Y41+AC41+AG41+AK41+AO41+AS41,2)</f>
        <v>0</v>
      </c>
      <c r="G41" s="24">
        <f>ROUND(J41+N41+R41+V41+Z41+AD41+AH41+AL41+AP41+AT41,2)</f>
        <v>0</v>
      </c>
      <c r="H41" s="24">
        <f>ROUND(K41+O41+S41+W41+AA41+AE41+AI41+AM41+AQ41+AU41,2)</f>
        <v>0</v>
      </c>
      <c r="I41" s="24">
        <f>IF(K40&gt;0,IF(AND(ROUND(K40+J41-ROUND(I$6+IF(I$5=$C41,$E$5+$E41,0),2),2)&gt;0,ROUND(K40+J41-ROUND(I$6+IF(I$5=$C41,$E$5+$E41,0),2),2)&lt;=L41,ROUND(K40+J41-ROUND(I$6+IF(I$5=$C41,$E$5+$E41,0),2),2)*10&lt;=ROUND(I$6+IF(I$5=$C41,$E$5+$E41,0),2)),ROUND(K40+J41,2),MIN(ROUND(I$6+IF(I$5=$C41,$E$5+$E41,0),2),ROUND(K40+J41,2))),0)</f>
        <v>0</v>
      </c>
      <c r="J41" s="24">
        <f>IF(K40&gt;0,ROUND(ROUND(K40*100,0)*ROUND(I$7*10000,0)/12000000,0)/100,0)</f>
        <v>0</v>
      </c>
      <c r="K41" s="24">
        <f>IF(K40&gt;0,ROUND(K40+J41-I41,2),0)</f>
        <v>0</v>
      </c>
      <c r="L41" s="24">
        <f>IF(K40&gt;0,ROUND(L40+ROUND(ROUND(L40*100,0)*ROUND(I$7*10000,0)/12000000,0)/100+0.02,2),0)</f>
        <v>0</v>
      </c>
      <c r="M41" s="24">
        <f>IF(O40&gt;0,IF(AND(ROUND(O40+N41-ROUND(M$6+IF(M$5=$C41,$E$5+$E41,0),2),2)&gt;0,ROUND(O40+N41-ROUND(M$6+IF(M$5=$C41,$E$5+$E41,0),2),2)&lt;=P41,ROUND(O40+N41-ROUND(M$6+IF(M$5=$C41,$E$5+$E41,0),2),2)*10&lt;=ROUND(M$6+IF(M$5=$C41,$E$5+$E41,0),2)),ROUND(O40+N41,2),MIN(ROUND(M$6+IF(M$5=$C41,$E$5+$E41,0),2),ROUND(O40+N41,2))),0)</f>
        <v>0</v>
      </c>
      <c r="N41" s="24">
        <f>IF(O40&gt;0,ROUND(ROUND(O40*100,0)*ROUND(M$7*10000,0)/12000000,0)/100,0)</f>
        <v>0</v>
      </c>
      <c r="O41" s="24">
        <f>IF(O40&gt;0,ROUND(O40+N41-M41,2),0)</f>
        <v>0</v>
      </c>
      <c r="P41" s="24">
        <f>IF(O40&gt;0,ROUND(P40+ROUND(ROUND(P40*100,0)*ROUND(M$7*10000,0)/12000000,0)/100+0.02,2),0)</f>
        <v>0</v>
      </c>
      <c r="Q41" s="24">
        <f>IF(S40&gt;0,IF(AND(ROUND(S40+R41-ROUND(Q$6+IF(Q$5=$C41,$E$5+$E41,0),2),2)&gt;0,ROUND(S40+R41-ROUND(Q$6+IF(Q$5=$C41,$E$5+$E41,0),2),2)&lt;=T41,ROUND(S40+R41-ROUND(Q$6+IF(Q$5=$C41,$E$5+$E41,0),2),2)*10&lt;=ROUND(Q$6+IF(Q$5=$C41,$E$5+$E41,0),2)),ROUND(S40+R41,2),MIN(ROUND(Q$6+IF(Q$5=$C41,$E$5+$E41,0),2),ROUND(S40+R41,2))),0)</f>
        <v>0</v>
      </c>
      <c r="R41" s="24">
        <f>IF(S40&gt;0,ROUND(ROUND(S40*100,0)*ROUND(Q$7*10000,0)/12000000,0)/100,0)</f>
        <v>0</v>
      </c>
      <c r="S41" s="24">
        <f>IF(S40&gt;0,ROUND(S40+R41-Q41,2),0)</f>
        <v>0</v>
      </c>
      <c r="T41" s="24">
        <f>IF(S40&gt;0,ROUND(T40+ROUND(ROUND(T40*100,0)*ROUND(Q$7*10000,0)/12000000,0)/100+0.02,2),0)</f>
        <v>0</v>
      </c>
      <c r="U41" s="24">
        <f>IF(W40&gt;0,IF(AND(ROUND(W40+V41-ROUND(U$6+IF(U$5=$C41,$E$5+$E41,0),2),2)&gt;0,ROUND(W40+V41-ROUND(U$6+IF(U$5=$C41,$E$5+$E41,0),2),2)&lt;=X41,ROUND(W40+V41-ROUND(U$6+IF(U$5=$C41,$E$5+$E41,0),2),2)*10&lt;=ROUND(U$6+IF(U$5=$C41,$E$5+$E41,0),2)),ROUND(W40+V41,2),MIN(ROUND(U$6+IF(U$5=$C41,$E$5+$E41,0),2),ROUND(W40+V41,2))),0)</f>
        <v>0</v>
      </c>
      <c r="V41" s="24">
        <f>IF(W40&gt;0,ROUND(ROUND(W40*100,0)*ROUND(U$7*10000,0)/12000000,0)/100,0)</f>
        <v>0</v>
      </c>
      <c r="W41" s="24">
        <f>IF(W40&gt;0,ROUND(W40+V41-U41,2),0)</f>
        <v>0</v>
      </c>
      <c r="X41" s="24">
        <f>IF(W40&gt;0,ROUND(X40+ROUND(ROUND(X40*100,0)*ROUND(U$7*10000,0)/12000000,0)/100+0.02,2),0)</f>
        <v>0</v>
      </c>
      <c r="Y41" s="24">
        <f>IF(AA40&gt;0,IF(AND(ROUND(AA40+Z41-ROUND(Y$6+IF(Y$5=$C41,$E$5+$E41,0),2),2)&gt;0,ROUND(AA40+Z41-ROUND(Y$6+IF(Y$5=$C41,$E$5+$E41,0),2),2)&lt;=AB41,ROUND(AA40+Z41-ROUND(Y$6+IF(Y$5=$C41,$E$5+$E41,0),2),2)*10&lt;=ROUND(Y$6+IF(Y$5=$C41,$E$5+$E41,0),2)),ROUND(AA40+Z41,2),MIN(ROUND(Y$6+IF(Y$5=$C41,$E$5+$E41,0),2),ROUND(AA40+Z41,2))),0)</f>
        <v>0</v>
      </c>
      <c r="Z41" s="24">
        <f>IF(AA40&gt;0,ROUND(ROUND(AA40*100,0)*ROUND(Y$7*10000,0)/12000000,0)/100,0)</f>
        <v>0</v>
      </c>
      <c r="AA41" s="24">
        <f>IF(AA40&gt;0,ROUND(AA40+Z41-Y41,2),0)</f>
        <v>0</v>
      </c>
      <c r="AB41" s="24">
        <f>IF(AA40&gt;0,ROUND(AB40+ROUND(ROUND(AB40*100,0)*ROUND(Y$7*10000,0)/12000000,0)/100+0.02,2),0)</f>
        <v>0</v>
      </c>
      <c r="AC41" s="24">
        <f>IF(AE40&gt;0,IF(AND(ROUND(AE40+AD41-ROUND(AC$6+IF(AC$5=$C41,$E$5+$E41,0),2),2)&gt;0,ROUND(AE40+AD41-ROUND(AC$6+IF(AC$5=$C41,$E$5+$E41,0),2),2)&lt;=AF41,ROUND(AE40+AD41-ROUND(AC$6+IF(AC$5=$C41,$E$5+$E41,0),2),2)*10&lt;=ROUND(AC$6+IF(AC$5=$C41,$E$5+$E41,0),2)),ROUND(AE40+AD41,2),MIN(ROUND(AC$6+IF(AC$5=$C41,$E$5+$E41,0),2),ROUND(AE40+AD41,2))),0)</f>
        <v>0</v>
      </c>
      <c r="AD41" s="24">
        <f>IF(AE40&gt;0,ROUND(ROUND(AE40*100,0)*ROUND(AC$7*10000,0)/12000000,0)/100,0)</f>
        <v>0</v>
      </c>
      <c r="AE41" s="24">
        <f>IF(AE40&gt;0,ROUND(AE40+AD41-AC41,2),0)</f>
        <v>0</v>
      </c>
      <c r="AF41" s="24">
        <f>IF(AE40&gt;0,ROUND(AF40+ROUND(ROUND(AF40*100,0)*ROUND(AC$7*10000,0)/12000000,0)/100+0.02,2),0)</f>
        <v>0</v>
      </c>
      <c r="AG41" s="24">
        <f>IF(AI40&gt;0,IF(AND(ROUND(AI40+AH41-ROUND(AG$6+IF(AG$5=$C41,$E$5+$E41,0),2),2)&gt;0,ROUND(AI40+AH41-ROUND(AG$6+IF(AG$5=$C41,$E$5+$E41,0),2),2)&lt;=AJ41,ROUND(AI40+AH41-ROUND(AG$6+IF(AG$5=$C41,$E$5+$E41,0),2),2)*10&lt;=ROUND(AG$6+IF(AG$5=$C41,$E$5+$E41,0),2)),ROUND(AI40+AH41,2),MIN(ROUND(AG$6+IF(AG$5=$C41,$E$5+$E41,0),2),ROUND(AI40+AH41,2))),0)</f>
        <v>0</v>
      </c>
      <c r="AH41" s="24">
        <f>IF(AI40&gt;0,ROUND(ROUND(AI40*100,0)*ROUND(AG$7*10000,0)/12000000,0)/100,0)</f>
        <v>0</v>
      </c>
      <c r="AI41" s="24">
        <f>IF(AI40&gt;0,ROUND(AI40+AH41-AG41,2),0)</f>
        <v>0</v>
      </c>
      <c r="AJ41" s="24">
        <f>IF(AI40&gt;0,ROUND(AJ40+ROUND(ROUND(AJ40*100,0)*ROUND(AG$7*10000,0)/12000000,0)/100+0.02,2),0)</f>
        <v>0</v>
      </c>
      <c r="AK41" s="24">
        <f>IF(AM40&gt;0,IF(AND(ROUND(AM40+AL41-ROUND(AK$6+IF(AK$5=$C41,$E$5+$E41,0),2),2)&gt;0,ROUND(AM40+AL41-ROUND(AK$6+IF(AK$5=$C41,$E$5+$E41,0),2),2)&lt;=AN41,ROUND(AM40+AL41-ROUND(AK$6+IF(AK$5=$C41,$E$5+$E41,0),2),2)*10&lt;=ROUND(AK$6+IF(AK$5=$C41,$E$5+$E41,0),2)),ROUND(AM40+AL41,2),MIN(ROUND(AK$6+IF(AK$5=$C41,$E$5+$E41,0),2),ROUND(AM40+AL41,2))),0)</f>
        <v>0</v>
      </c>
      <c r="AL41" s="24">
        <f>IF(AM40&gt;0,ROUND(ROUND(AM40*100,0)*ROUND(AK$7*10000,0)/12000000,0)/100,0)</f>
        <v>0</v>
      </c>
      <c r="AM41" s="24">
        <f>IF(AM40&gt;0,ROUND(AM40+AL41-AK41,2),0)</f>
        <v>0</v>
      </c>
      <c r="AN41" s="24">
        <f>IF(AM40&gt;0,ROUND(AN40+ROUND(ROUND(AN40*100,0)*ROUND(AK$7*10000,0)/12000000,0)/100+0.02,2),0)</f>
        <v>0</v>
      </c>
      <c r="AO41" s="24">
        <f>IF(AQ40&gt;0,IF(AND(ROUND(AQ40+AP41-ROUND(AO$6+IF(AO$5=$C41,$E$5+$E41,0),2),2)&gt;0,ROUND(AQ40+AP41-ROUND(AO$6+IF(AO$5=$C41,$E$5+$E41,0),2),2)&lt;=AR41,ROUND(AQ40+AP41-ROUND(AO$6+IF(AO$5=$C41,$E$5+$E41,0),2),2)*10&lt;=ROUND(AO$6+IF(AO$5=$C41,$E$5+$E41,0),2)),ROUND(AQ40+AP41,2),MIN(ROUND(AO$6+IF(AO$5=$C41,$E$5+$E41,0),2),ROUND(AQ40+AP41,2))),0)</f>
        <v>0</v>
      </c>
      <c r="AP41" s="24">
        <f>IF(AQ40&gt;0,ROUND(ROUND(AQ40*100,0)*ROUND(AO$7*10000,0)/12000000,0)/100,0)</f>
        <v>0</v>
      </c>
      <c r="AQ41" s="24">
        <f>IF(AQ40&gt;0,ROUND(AQ40+AP41-AO41,2),0)</f>
        <v>0</v>
      </c>
      <c r="AR41" s="24">
        <f>IF(AQ40&gt;0,ROUND(AR40+ROUND(ROUND(AR40*100,0)*ROUND(AO$7*10000,0)/12000000,0)/100+0.02,2),0)</f>
        <v>0</v>
      </c>
      <c r="AS41" s="24">
        <f>IF(AU40&gt;0,IF(AND(ROUND(AU40+AT41-ROUND(AS$6+IF(AS$5=$C41,$E$5+$E41,0),2),2)&gt;0,ROUND(AU40+AT41-ROUND(AS$6+IF(AS$5=$C41,$E$5+$E41,0),2),2)&lt;=AV41,ROUND(AU40+AT41-ROUND(AS$6+IF(AS$5=$C41,$E$5+$E41,0),2),2)*10&lt;=ROUND(AS$6+IF(AS$5=$C41,$E$5+$E41,0),2)),ROUND(AU40+AT41,2),MIN(ROUND(AS$6+IF(AS$5=$C41,$E$5+$E41,0),2),ROUND(AU40+AT41,2))),0)</f>
        <v>0</v>
      </c>
      <c r="AT41" s="24">
        <f>IF(AU40&gt;0,ROUND(ROUND(AU40*100,0)*ROUND(AS$7*10000,0)/12000000,0)/100,0)</f>
        <v>0</v>
      </c>
      <c r="AU41" s="24">
        <f>IF(AU40&gt;0,ROUND(AU40+AT41-AS41,2),0)</f>
        <v>0</v>
      </c>
      <c r="AV41" s="24">
        <f>IF(AU40&gt;0,ROUND(AV40+ROUND(ROUND(AV40*100,0)*ROUND(AS$7*10000,0)/12000000,0)/100+0.02,2),0)</f>
        <v>0</v>
      </c>
    </row>
    <row r="42" spans="1:48" x14ac:dyDescent="0.25">
      <c r="A42" s="17" t="str">
        <f>IF(F42&gt;0,32,"")</f>
        <v/>
      </c>
      <c r="B42" s="18" t="str">
        <f>IF(F42&gt;0,EDATE($E$6,32),"")</f>
        <v/>
      </c>
      <c r="C42" s="21">
        <f>IF(H41&gt;0,MIN(IF(K41&gt;0,I$5,99),IF(O41&gt;0,M$5,99),IF(S41&gt;0,Q$5,99),IF(W41&gt;0,U$5,99),IF(AA41&gt;0,Y$5,99),IF(AE41&gt;0,AC$5,99),IF(AI41&gt;0,AG$5,99),IF(AM41&gt;0,AK$5,99),IF(AQ41&gt;0,AO$5,99),IF(AU41&gt;0,AS$5,99)),0)</f>
        <v>0</v>
      </c>
      <c r="D42" t="str">
        <f>IF(C42&gt;0,INDEX($I$4:$AV$4,1,MATCH(C42,$I$5:$AV$5,0)),"")</f>
        <v/>
      </c>
      <c r="E42" s="24">
        <f>ROUND(IF(AND(I$8&gt;0,K41=0),I$6,0)+IF(AND(M$8&gt;0,O41=0),M$6,0)+IF(AND(Q$8&gt;0,S41=0),Q$6,0)+IF(AND(U$8&gt;0,W41=0),U$6,0)+IF(AND(Y$8&gt;0,AA41=0),Y$6,0)+IF(AND(AC$8&gt;0,AE41=0),AC$6,0)+IF(AND(AG$8&gt;0,AI41=0),AG$6,0)+IF(AND(AK$8&gt;0,AM41=0),AK$6,0)+IF(AND(AO$8&gt;0,AQ41=0),AO$6,0)+IF(AND(AS$8&gt;0,AU41=0),AS$6,0),2)</f>
        <v>325</v>
      </c>
      <c r="F42" s="24">
        <f>ROUND(I42+M42+Q42+U42+Y42+AC42+AG42+AK42+AO42+AS42,2)</f>
        <v>0</v>
      </c>
      <c r="G42" s="24">
        <f>ROUND(J42+N42+R42+V42+Z42+AD42+AH42+AL42+AP42+AT42,2)</f>
        <v>0</v>
      </c>
      <c r="H42" s="24">
        <f>ROUND(K42+O42+S42+W42+AA42+AE42+AI42+AM42+AQ42+AU42,2)</f>
        <v>0</v>
      </c>
      <c r="I42" s="24">
        <f>IF(K41&gt;0,IF(AND(ROUND(K41+J42-ROUND(I$6+IF(I$5=$C42,$E$5+$E42,0),2),2)&gt;0,ROUND(K41+J42-ROUND(I$6+IF(I$5=$C42,$E$5+$E42,0),2),2)&lt;=L42,ROUND(K41+J42-ROUND(I$6+IF(I$5=$C42,$E$5+$E42,0),2),2)*10&lt;=ROUND(I$6+IF(I$5=$C42,$E$5+$E42,0),2)),ROUND(K41+J42,2),MIN(ROUND(I$6+IF(I$5=$C42,$E$5+$E42,0),2),ROUND(K41+J42,2))),0)</f>
        <v>0</v>
      </c>
      <c r="J42" s="24">
        <f>IF(K41&gt;0,ROUND(ROUND(K41*100,0)*ROUND(I$7*10000,0)/12000000,0)/100,0)</f>
        <v>0</v>
      </c>
      <c r="K42" s="24">
        <f>IF(K41&gt;0,ROUND(K41+J42-I42,2),0)</f>
        <v>0</v>
      </c>
      <c r="L42" s="24">
        <f>IF(K41&gt;0,ROUND(L41+ROUND(ROUND(L41*100,0)*ROUND(I$7*10000,0)/12000000,0)/100+0.02,2),0)</f>
        <v>0</v>
      </c>
      <c r="M42" s="24">
        <f>IF(O41&gt;0,IF(AND(ROUND(O41+N42-ROUND(M$6+IF(M$5=$C42,$E$5+$E42,0),2),2)&gt;0,ROUND(O41+N42-ROUND(M$6+IF(M$5=$C42,$E$5+$E42,0),2),2)&lt;=P42,ROUND(O41+N42-ROUND(M$6+IF(M$5=$C42,$E$5+$E42,0),2),2)*10&lt;=ROUND(M$6+IF(M$5=$C42,$E$5+$E42,0),2)),ROUND(O41+N42,2),MIN(ROUND(M$6+IF(M$5=$C42,$E$5+$E42,0),2),ROUND(O41+N42,2))),0)</f>
        <v>0</v>
      </c>
      <c r="N42" s="24">
        <f>IF(O41&gt;0,ROUND(ROUND(O41*100,0)*ROUND(M$7*10000,0)/12000000,0)/100,0)</f>
        <v>0</v>
      </c>
      <c r="O42" s="24">
        <f>IF(O41&gt;0,ROUND(O41+N42-M42,2),0)</f>
        <v>0</v>
      </c>
      <c r="P42" s="24">
        <f>IF(O41&gt;0,ROUND(P41+ROUND(ROUND(P41*100,0)*ROUND(M$7*10000,0)/12000000,0)/100+0.02,2),0)</f>
        <v>0</v>
      </c>
      <c r="Q42" s="24">
        <f>IF(S41&gt;0,IF(AND(ROUND(S41+R42-ROUND(Q$6+IF(Q$5=$C42,$E$5+$E42,0),2),2)&gt;0,ROUND(S41+R42-ROUND(Q$6+IF(Q$5=$C42,$E$5+$E42,0),2),2)&lt;=T42,ROUND(S41+R42-ROUND(Q$6+IF(Q$5=$C42,$E$5+$E42,0),2),2)*10&lt;=ROUND(Q$6+IF(Q$5=$C42,$E$5+$E42,0),2)),ROUND(S41+R42,2),MIN(ROUND(Q$6+IF(Q$5=$C42,$E$5+$E42,0),2),ROUND(S41+R42,2))),0)</f>
        <v>0</v>
      </c>
      <c r="R42" s="24">
        <f>IF(S41&gt;0,ROUND(ROUND(S41*100,0)*ROUND(Q$7*10000,0)/12000000,0)/100,0)</f>
        <v>0</v>
      </c>
      <c r="S42" s="24">
        <f>IF(S41&gt;0,ROUND(S41+R42-Q42,2),0)</f>
        <v>0</v>
      </c>
      <c r="T42" s="24">
        <f>IF(S41&gt;0,ROUND(T41+ROUND(ROUND(T41*100,0)*ROUND(Q$7*10000,0)/12000000,0)/100+0.02,2),0)</f>
        <v>0</v>
      </c>
      <c r="U42" s="24">
        <f>IF(W41&gt;0,IF(AND(ROUND(W41+V42-ROUND(U$6+IF(U$5=$C42,$E$5+$E42,0),2),2)&gt;0,ROUND(W41+V42-ROUND(U$6+IF(U$5=$C42,$E$5+$E42,0),2),2)&lt;=X42,ROUND(W41+V42-ROUND(U$6+IF(U$5=$C42,$E$5+$E42,0),2),2)*10&lt;=ROUND(U$6+IF(U$5=$C42,$E$5+$E42,0),2)),ROUND(W41+V42,2),MIN(ROUND(U$6+IF(U$5=$C42,$E$5+$E42,0),2),ROUND(W41+V42,2))),0)</f>
        <v>0</v>
      </c>
      <c r="V42" s="24">
        <f>IF(W41&gt;0,ROUND(ROUND(W41*100,0)*ROUND(U$7*10000,0)/12000000,0)/100,0)</f>
        <v>0</v>
      </c>
      <c r="W42" s="24">
        <f>IF(W41&gt;0,ROUND(W41+V42-U42,2),0)</f>
        <v>0</v>
      </c>
      <c r="X42" s="24">
        <f>IF(W41&gt;0,ROUND(X41+ROUND(ROUND(X41*100,0)*ROUND(U$7*10000,0)/12000000,0)/100+0.02,2),0)</f>
        <v>0</v>
      </c>
      <c r="Y42" s="24">
        <f>IF(AA41&gt;0,IF(AND(ROUND(AA41+Z42-ROUND(Y$6+IF(Y$5=$C42,$E$5+$E42,0),2),2)&gt;0,ROUND(AA41+Z42-ROUND(Y$6+IF(Y$5=$C42,$E$5+$E42,0),2),2)&lt;=AB42,ROUND(AA41+Z42-ROUND(Y$6+IF(Y$5=$C42,$E$5+$E42,0),2),2)*10&lt;=ROUND(Y$6+IF(Y$5=$C42,$E$5+$E42,0),2)),ROUND(AA41+Z42,2),MIN(ROUND(Y$6+IF(Y$5=$C42,$E$5+$E42,0),2),ROUND(AA41+Z42,2))),0)</f>
        <v>0</v>
      </c>
      <c r="Z42" s="24">
        <f>IF(AA41&gt;0,ROUND(ROUND(AA41*100,0)*ROUND(Y$7*10000,0)/12000000,0)/100,0)</f>
        <v>0</v>
      </c>
      <c r="AA42" s="24">
        <f>IF(AA41&gt;0,ROUND(AA41+Z42-Y42,2),0)</f>
        <v>0</v>
      </c>
      <c r="AB42" s="24">
        <f>IF(AA41&gt;0,ROUND(AB41+ROUND(ROUND(AB41*100,0)*ROUND(Y$7*10000,0)/12000000,0)/100+0.02,2),0)</f>
        <v>0</v>
      </c>
      <c r="AC42" s="24">
        <f>IF(AE41&gt;0,IF(AND(ROUND(AE41+AD42-ROUND(AC$6+IF(AC$5=$C42,$E$5+$E42,0),2),2)&gt;0,ROUND(AE41+AD42-ROUND(AC$6+IF(AC$5=$C42,$E$5+$E42,0),2),2)&lt;=AF42,ROUND(AE41+AD42-ROUND(AC$6+IF(AC$5=$C42,$E$5+$E42,0),2),2)*10&lt;=ROUND(AC$6+IF(AC$5=$C42,$E$5+$E42,0),2)),ROUND(AE41+AD42,2),MIN(ROUND(AC$6+IF(AC$5=$C42,$E$5+$E42,0),2),ROUND(AE41+AD42,2))),0)</f>
        <v>0</v>
      </c>
      <c r="AD42" s="24">
        <f>IF(AE41&gt;0,ROUND(ROUND(AE41*100,0)*ROUND(AC$7*10000,0)/12000000,0)/100,0)</f>
        <v>0</v>
      </c>
      <c r="AE42" s="24">
        <f>IF(AE41&gt;0,ROUND(AE41+AD42-AC42,2),0)</f>
        <v>0</v>
      </c>
      <c r="AF42" s="24">
        <f>IF(AE41&gt;0,ROUND(AF41+ROUND(ROUND(AF41*100,0)*ROUND(AC$7*10000,0)/12000000,0)/100+0.02,2),0)</f>
        <v>0</v>
      </c>
      <c r="AG42" s="24">
        <f>IF(AI41&gt;0,IF(AND(ROUND(AI41+AH42-ROUND(AG$6+IF(AG$5=$C42,$E$5+$E42,0),2),2)&gt;0,ROUND(AI41+AH42-ROUND(AG$6+IF(AG$5=$C42,$E$5+$E42,0),2),2)&lt;=AJ42,ROUND(AI41+AH42-ROUND(AG$6+IF(AG$5=$C42,$E$5+$E42,0),2),2)*10&lt;=ROUND(AG$6+IF(AG$5=$C42,$E$5+$E42,0),2)),ROUND(AI41+AH42,2),MIN(ROUND(AG$6+IF(AG$5=$C42,$E$5+$E42,0),2),ROUND(AI41+AH42,2))),0)</f>
        <v>0</v>
      </c>
      <c r="AH42" s="24">
        <f>IF(AI41&gt;0,ROUND(ROUND(AI41*100,0)*ROUND(AG$7*10000,0)/12000000,0)/100,0)</f>
        <v>0</v>
      </c>
      <c r="AI42" s="24">
        <f>IF(AI41&gt;0,ROUND(AI41+AH42-AG42,2),0)</f>
        <v>0</v>
      </c>
      <c r="AJ42" s="24">
        <f>IF(AI41&gt;0,ROUND(AJ41+ROUND(ROUND(AJ41*100,0)*ROUND(AG$7*10000,0)/12000000,0)/100+0.02,2),0)</f>
        <v>0</v>
      </c>
      <c r="AK42" s="24">
        <f>IF(AM41&gt;0,IF(AND(ROUND(AM41+AL42-ROUND(AK$6+IF(AK$5=$C42,$E$5+$E42,0),2),2)&gt;0,ROUND(AM41+AL42-ROUND(AK$6+IF(AK$5=$C42,$E$5+$E42,0),2),2)&lt;=AN42,ROUND(AM41+AL42-ROUND(AK$6+IF(AK$5=$C42,$E$5+$E42,0),2),2)*10&lt;=ROUND(AK$6+IF(AK$5=$C42,$E$5+$E42,0),2)),ROUND(AM41+AL42,2),MIN(ROUND(AK$6+IF(AK$5=$C42,$E$5+$E42,0),2),ROUND(AM41+AL42,2))),0)</f>
        <v>0</v>
      </c>
      <c r="AL42" s="24">
        <f>IF(AM41&gt;0,ROUND(ROUND(AM41*100,0)*ROUND(AK$7*10000,0)/12000000,0)/100,0)</f>
        <v>0</v>
      </c>
      <c r="AM42" s="24">
        <f>IF(AM41&gt;0,ROUND(AM41+AL42-AK42,2),0)</f>
        <v>0</v>
      </c>
      <c r="AN42" s="24">
        <f>IF(AM41&gt;0,ROUND(AN41+ROUND(ROUND(AN41*100,0)*ROUND(AK$7*10000,0)/12000000,0)/100+0.02,2),0)</f>
        <v>0</v>
      </c>
      <c r="AO42" s="24">
        <f>IF(AQ41&gt;0,IF(AND(ROUND(AQ41+AP42-ROUND(AO$6+IF(AO$5=$C42,$E$5+$E42,0),2),2)&gt;0,ROUND(AQ41+AP42-ROUND(AO$6+IF(AO$5=$C42,$E$5+$E42,0),2),2)&lt;=AR42,ROUND(AQ41+AP42-ROUND(AO$6+IF(AO$5=$C42,$E$5+$E42,0),2),2)*10&lt;=ROUND(AO$6+IF(AO$5=$C42,$E$5+$E42,0),2)),ROUND(AQ41+AP42,2),MIN(ROUND(AO$6+IF(AO$5=$C42,$E$5+$E42,0),2),ROUND(AQ41+AP42,2))),0)</f>
        <v>0</v>
      </c>
      <c r="AP42" s="24">
        <f>IF(AQ41&gt;0,ROUND(ROUND(AQ41*100,0)*ROUND(AO$7*10000,0)/12000000,0)/100,0)</f>
        <v>0</v>
      </c>
      <c r="AQ42" s="24">
        <f>IF(AQ41&gt;0,ROUND(AQ41+AP42-AO42,2),0)</f>
        <v>0</v>
      </c>
      <c r="AR42" s="24">
        <f>IF(AQ41&gt;0,ROUND(AR41+ROUND(ROUND(AR41*100,0)*ROUND(AO$7*10000,0)/12000000,0)/100+0.02,2),0)</f>
        <v>0</v>
      </c>
      <c r="AS42" s="24">
        <f>IF(AU41&gt;0,IF(AND(ROUND(AU41+AT42-ROUND(AS$6+IF(AS$5=$C42,$E$5+$E42,0),2),2)&gt;0,ROUND(AU41+AT42-ROUND(AS$6+IF(AS$5=$C42,$E$5+$E42,0),2),2)&lt;=AV42,ROUND(AU41+AT42-ROUND(AS$6+IF(AS$5=$C42,$E$5+$E42,0),2),2)*10&lt;=ROUND(AS$6+IF(AS$5=$C42,$E$5+$E42,0),2)),ROUND(AU41+AT42,2),MIN(ROUND(AS$6+IF(AS$5=$C42,$E$5+$E42,0),2),ROUND(AU41+AT42,2))),0)</f>
        <v>0</v>
      </c>
      <c r="AT42" s="24">
        <f>IF(AU41&gt;0,ROUND(ROUND(AU41*100,0)*ROUND(AS$7*10000,0)/12000000,0)/100,0)</f>
        <v>0</v>
      </c>
      <c r="AU42" s="24">
        <f>IF(AU41&gt;0,ROUND(AU41+AT42-AS42,2),0)</f>
        <v>0</v>
      </c>
      <c r="AV42" s="24">
        <f>IF(AU41&gt;0,ROUND(AV41+ROUND(ROUND(AV41*100,0)*ROUND(AS$7*10000,0)/12000000,0)/100+0.02,2),0)</f>
        <v>0</v>
      </c>
    </row>
    <row r="43" spans="1:48" x14ac:dyDescent="0.25">
      <c r="A43" s="17" t="str">
        <f>IF(F43&gt;0,33,"")</f>
        <v/>
      </c>
      <c r="B43" s="18" t="str">
        <f>IF(F43&gt;0,EDATE($E$6,33),"")</f>
        <v/>
      </c>
      <c r="C43" s="21">
        <f>IF(H42&gt;0,MIN(IF(K42&gt;0,I$5,99),IF(O42&gt;0,M$5,99),IF(S42&gt;0,Q$5,99),IF(W42&gt;0,U$5,99),IF(AA42&gt;0,Y$5,99),IF(AE42&gt;0,AC$5,99),IF(AI42&gt;0,AG$5,99),IF(AM42&gt;0,AK$5,99),IF(AQ42&gt;0,AO$5,99),IF(AU42&gt;0,AS$5,99)),0)</f>
        <v>0</v>
      </c>
      <c r="D43" t="str">
        <f>IF(C43&gt;0,INDEX($I$4:$AV$4,1,MATCH(C43,$I$5:$AV$5,0)),"")</f>
        <v/>
      </c>
      <c r="E43" s="24">
        <f>ROUND(IF(AND(I$8&gt;0,K42=0),I$6,0)+IF(AND(M$8&gt;0,O42=0),M$6,0)+IF(AND(Q$8&gt;0,S42=0),Q$6,0)+IF(AND(U$8&gt;0,W42=0),U$6,0)+IF(AND(Y$8&gt;0,AA42=0),Y$6,0)+IF(AND(AC$8&gt;0,AE42=0),AC$6,0)+IF(AND(AG$8&gt;0,AI42=0),AG$6,0)+IF(AND(AK$8&gt;0,AM42=0),AK$6,0)+IF(AND(AO$8&gt;0,AQ42=0),AO$6,0)+IF(AND(AS$8&gt;0,AU42=0),AS$6,0),2)</f>
        <v>325</v>
      </c>
      <c r="F43" s="24">
        <f>ROUND(I43+M43+Q43+U43+Y43+AC43+AG43+AK43+AO43+AS43,2)</f>
        <v>0</v>
      </c>
      <c r="G43" s="24">
        <f>ROUND(J43+N43+R43+V43+Z43+AD43+AH43+AL43+AP43+AT43,2)</f>
        <v>0</v>
      </c>
      <c r="H43" s="24">
        <f>ROUND(K43+O43+S43+W43+AA43+AE43+AI43+AM43+AQ43+AU43,2)</f>
        <v>0</v>
      </c>
      <c r="I43" s="24">
        <f>IF(K42&gt;0,IF(AND(ROUND(K42+J43-ROUND(I$6+IF(I$5=$C43,$E$5+$E43,0),2),2)&gt;0,ROUND(K42+J43-ROUND(I$6+IF(I$5=$C43,$E$5+$E43,0),2),2)&lt;=L43,ROUND(K42+J43-ROUND(I$6+IF(I$5=$C43,$E$5+$E43,0),2),2)*10&lt;=ROUND(I$6+IF(I$5=$C43,$E$5+$E43,0),2)),ROUND(K42+J43,2),MIN(ROUND(I$6+IF(I$5=$C43,$E$5+$E43,0),2),ROUND(K42+J43,2))),0)</f>
        <v>0</v>
      </c>
      <c r="J43" s="24">
        <f>IF(K42&gt;0,ROUND(ROUND(K42*100,0)*ROUND(I$7*10000,0)/12000000,0)/100,0)</f>
        <v>0</v>
      </c>
      <c r="K43" s="24">
        <f>IF(K42&gt;0,ROUND(K42+J43-I43,2),0)</f>
        <v>0</v>
      </c>
      <c r="L43" s="24">
        <f>IF(K42&gt;0,ROUND(L42+ROUND(ROUND(L42*100,0)*ROUND(I$7*10000,0)/12000000,0)/100+0.02,2),0)</f>
        <v>0</v>
      </c>
      <c r="M43" s="24">
        <f>IF(O42&gt;0,IF(AND(ROUND(O42+N43-ROUND(M$6+IF(M$5=$C43,$E$5+$E43,0),2),2)&gt;0,ROUND(O42+N43-ROUND(M$6+IF(M$5=$C43,$E$5+$E43,0),2),2)&lt;=P43,ROUND(O42+N43-ROUND(M$6+IF(M$5=$C43,$E$5+$E43,0),2),2)*10&lt;=ROUND(M$6+IF(M$5=$C43,$E$5+$E43,0),2)),ROUND(O42+N43,2),MIN(ROUND(M$6+IF(M$5=$C43,$E$5+$E43,0),2),ROUND(O42+N43,2))),0)</f>
        <v>0</v>
      </c>
      <c r="N43" s="24">
        <f>IF(O42&gt;0,ROUND(ROUND(O42*100,0)*ROUND(M$7*10000,0)/12000000,0)/100,0)</f>
        <v>0</v>
      </c>
      <c r="O43" s="24">
        <f>IF(O42&gt;0,ROUND(O42+N43-M43,2),0)</f>
        <v>0</v>
      </c>
      <c r="P43" s="24">
        <f>IF(O42&gt;0,ROUND(P42+ROUND(ROUND(P42*100,0)*ROUND(M$7*10000,0)/12000000,0)/100+0.02,2),0)</f>
        <v>0</v>
      </c>
      <c r="Q43" s="24">
        <f>IF(S42&gt;0,IF(AND(ROUND(S42+R43-ROUND(Q$6+IF(Q$5=$C43,$E$5+$E43,0),2),2)&gt;0,ROUND(S42+R43-ROUND(Q$6+IF(Q$5=$C43,$E$5+$E43,0),2),2)&lt;=T43,ROUND(S42+R43-ROUND(Q$6+IF(Q$5=$C43,$E$5+$E43,0),2),2)*10&lt;=ROUND(Q$6+IF(Q$5=$C43,$E$5+$E43,0),2)),ROUND(S42+R43,2),MIN(ROUND(Q$6+IF(Q$5=$C43,$E$5+$E43,0),2),ROUND(S42+R43,2))),0)</f>
        <v>0</v>
      </c>
      <c r="R43" s="24">
        <f>IF(S42&gt;0,ROUND(ROUND(S42*100,0)*ROUND(Q$7*10000,0)/12000000,0)/100,0)</f>
        <v>0</v>
      </c>
      <c r="S43" s="24">
        <f>IF(S42&gt;0,ROUND(S42+R43-Q43,2),0)</f>
        <v>0</v>
      </c>
      <c r="T43" s="24">
        <f>IF(S42&gt;0,ROUND(T42+ROUND(ROUND(T42*100,0)*ROUND(Q$7*10000,0)/12000000,0)/100+0.02,2),0)</f>
        <v>0</v>
      </c>
      <c r="U43" s="24">
        <f>IF(W42&gt;0,IF(AND(ROUND(W42+V43-ROUND(U$6+IF(U$5=$C43,$E$5+$E43,0),2),2)&gt;0,ROUND(W42+V43-ROUND(U$6+IF(U$5=$C43,$E$5+$E43,0),2),2)&lt;=X43,ROUND(W42+V43-ROUND(U$6+IF(U$5=$C43,$E$5+$E43,0),2),2)*10&lt;=ROUND(U$6+IF(U$5=$C43,$E$5+$E43,0),2)),ROUND(W42+V43,2),MIN(ROUND(U$6+IF(U$5=$C43,$E$5+$E43,0),2),ROUND(W42+V43,2))),0)</f>
        <v>0</v>
      </c>
      <c r="V43" s="24">
        <f>IF(W42&gt;0,ROUND(ROUND(W42*100,0)*ROUND(U$7*10000,0)/12000000,0)/100,0)</f>
        <v>0</v>
      </c>
      <c r="W43" s="24">
        <f>IF(W42&gt;0,ROUND(W42+V43-U43,2),0)</f>
        <v>0</v>
      </c>
      <c r="X43" s="24">
        <f>IF(W42&gt;0,ROUND(X42+ROUND(ROUND(X42*100,0)*ROUND(U$7*10000,0)/12000000,0)/100+0.02,2),0)</f>
        <v>0</v>
      </c>
      <c r="Y43" s="24">
        <f>IF(AA42&gt;0,IF(AND(ROUND(AA42+Z43-ROUND(Y$6+IF(Y$5=$C43,$E$5+$E43,0),2),2)&gt;0,ROUND(AA42+Z43-ROUND(Y$6+IF(Y$5=$C43,$E$5+$E43,0),2),2)&lt;=AB43,ROUND(AA42+Z43-ROUND(Y$6+IF(Y$5=$C43,$E$5+$E43,0),2),2)*10&lt;=ROUND(Y$6+IF(Y$5=$C43,$E$5+$E43,0),2)),ROUND(AA42+Z43,2),MIN(ROUND(Y$6+IF(Y$5=$C43,$E$5+$E43,0),2),ROUND(AA42+Z43,2))),0)</f>
        <v>0</v>
      </c>
      <c r="Z43" s="24">
        <f>IF(AA42&gt;0,ROUND(ROUND(AA42*100,0)*ROUND(Y$7*10000,0)/12000000,0)/100,0)</f>
        <v>0</v>
      </c>
      <c r="AA43" s="24">
        <f>IF(AA42&gt;0,ROUND(AA42+Z43-Y43,2),0)</f>
        <v>0</v>
      </c>
      <c r="AB43" s="24">
        <f>IF(AA42&gt;0,ROUND(AB42+ROUND(ROUND(AB42*100,0)*ROUND(Y$7*10000,0)/12000000,0)/100+0.02,2),0)</f>
        <v>0</v>
      </c>
      <c r="AC43" s="24">
        <f>IF(AE42&gt;0,IF(AND(ROUND(AE42+AD43-ROUND(AC$6+IF(AC$5=$C43,$E$5+$E43,0),2),2)&gt;0,ROUND(AE42+AD43-ROUND(AC$6+IF(AC$5=$C43,$E$5+$E43,0),2),2)&lt;=AF43,ROUND(AE42+AD43-ROUND(AC$6+IF(AC$5=$C43,$E$5+$E43,0),2),2)*10&lt;=ROUND(AC$6+IF(AC$5=$C43,$E$5+$E43,0),2)),ROUND(AE42+AD43,2),MIN(ROUND(AC$6+IF(AC$5=$C43,$E$5+$E43,0),2),ROUND(AE42+AD43,2))),0)</f>
        <v>0</v>
      </c>
      <c r="AD43" s="24">
        <f>IF(AE42&gt;0,ROUND(ROUND(AE42*100,0)*ROUND(AC$7*10000,0)/12000000,0)/100,0)</f>
        <v>0</v>
      </c>
      <c r="AE43" s="24">
        <f>IF(AE42&gt;0,ROUND(AE42+AD43-AC43,2),0)</f>
        <v>0</v>
      </c>
      <c r="AF43" s="24">
        <f>IF(AE42&gt;0,ROUND(AF42+ROUND(ROUND(AF42*100,0)*ROUND(AC$7*10000,0)/12000000,0)/100+0.02,2),0)</f>
        <v>0</v>
      </c>
      <c r="AG43" s="24">
        <f>IF(AI42&gt;0,IF(AND(ROUND(AI42+AH43-ROUND(AG$6+IF(AG$5=$C43,$E$5+$E43,0),2),2)&gt;0,ROUND(AI42+AH43-ROUND(AG$6+IF(AG$5=$C43,$E$5+$E43,0),2),2)&lt;=AJ43,ROUND(AI42+AH43-ROUND(AG$6+IF(AG$5=$C43,$E$5+$E43,0),2),2)*10&lt;=ROUND(AG$6+IF(AG$5=$C43,$E$5+$E43,0),2)),ROUND(AI42+AH43,2),MIN(ROUND(AG$6+IF(AG$5=$C43,$E$5+$E43,0),2),ROUND(AI42+AH43,2))),0)</f>
        <v>0</v>
      </c>
      <c r="AH43" s="24">
        <f>IF(AI42&gt;0,ROUND(ROUND(AI42*100,0)*ROUND(AG$7*10000,0)/12000000,0)/100,0)</f>
        <v>0</v>
      </c>
      <c r="AI43" s="24">
        <f>IF(AI42&gt;0,ROUND(AI42+AH43-AG43,2),0)</f>
        <v>0</v>
      </c>
      <c r="AJ43" s="24">
        <f>IF(AI42&gt;0,ROUND(AJ42+ROUND(ROUND(AJ42*100,0)*ROUND(AG$7*10000,0)/12000000,0)/100+0.02,2),0)</f>
        <v>0</v>
      </c>
      <c r="AK43" s="24">
        <f>IF(AM42&gt;0,IF(AND(ROUND(AM42+AL43-ROUND(AK$6+IF(AK$5=$C43,$E$5+$E43,0),2),2)&gt;0,ROUND(AM42+AL43-ROUND(AK$6+IF(AK$5=$C43,$E$5+$E43,0),2),2)&lt;=AN43,ROUND(AM42+AL43-ROUND(AK$6+IF(AK$5=$C43,$E$5+$E43,0),2),2)*10&lt;=ROUND(AK$6+IF(AK$5=$C43,$E$5+$E43,0),2)),ROUND(AM42+AL43,2),MIN(ROUND(AK$6+IF(AK$5=$C43,$E$5+$E43,0),2),ROUND(AM42+AL43,2))),0)</f>
        <v>0</v>
      </c>
      <c r="AL43" s="24">
        <f>IF(AM42&gt;0,ROUND(ROUND(AM42*100,0)*ROUND(AK$7*10000,0)/12000000,0)/100,0)</f>
        <v>0</v>
      </c>
      <c r="AM43" s="24">
        <f>IF(AM42&gt;0,ROUND(AM42+AL43-AK43,2),0)</f>
        <v>0</v>
      </c>
      <c r="AN43" s="24">
        <f>IF(AM42&gt;0,ROUND(AN42+ROUND(ROUND(AN42*100,0)*ROUND(AK$7*10000,0)/12000000,0)/100+0.02,2),0)</f>
        <v>0</v>
      </c>
      <c r="AO43" s="24">
        <f>IF(AQ42&gt;0,IF(AND(ROUND(AQ42+AP43-ROUND(AO$6+IF(AO$5=$C43,$E$5+$E43,0),2),2)&gt;0,ROUND(AQ42+AP43-ROUND(AO$6+IF(AO$5=$C43,$E$5+$E43,0),2),2)&lt;=AR43,ROUND(AQ42+AP43-ROUND(AO$6+IF(AO$5=$C43,$E$5+$E43,0),2),2)*10&lt;=ROUND(AO$6+IF(AO$5=$C43,$E$5+$E43,0),2)),ROUND(AQ42+AP43,2),MIN(ROUND(AO$6+IF(AO$5=$C43,$E$5+$E43,0),2),ROUND(AQ42+AP43,2))),0)</f>
        <v>0</v>
      </c>
      <c r="AP43" s="24">
        <f>IF(AQ42&gt;0,ROUND(ROUND(AQ42*100,0)*ROUND(AO$7*10000,0)/12000000,0)/100,0)</f>
        <v>0</v>
      </c>
      <c r="AQ43" s="24">
        <f>IF(AQ42&gt;0,ROUND(AQ42+AP43-AO43,2),0)</f>
        <v>0</v>
      </c>
      <c r="AR43" s="24">
        <f>IF(AQ42&gt;0,ROUND(AR42+ROUND(ROUND(AR42*100,0)*ROUND(AO$7*10000,0)/12000000,0)/100+0.02,2),0)</f>
        <v>0</v>
      </c>
      <c r="AS43" s="24">
        <f>IF(AU42&gt;0,IF(AND(ROUND(AU42+AT43-ROUND(AS$6+IF(AS$5=$C43,$E$5+$E43,0),2),2)&gt;0,ROUND(AU42+AT43-ROUND(AS$6+IF(AS$5=$C43,$E$5+$E43,0),2),2)&lt;=AV43,ROUND(AU42+AT43-ROUND(AS$6+IF(AS$5=$C43,$E$5+$E43,0),2),2)*10&lt;=ROUND(AS$6+IF(AS$5=$C43,$E$5+$E43,0),2)),ROUND(AU42+AT43,2),MIN(ROUND(AS$6+IF(AS$5=$C43,$E$5+$E43,0),2),ROUND(AU42+AT43,2))),0)</f>
        <v>0</v>
      </c>
      <c r="AT43" s="24">
        <f>IF(AU42&gt;0,ROUND(ROUND(AU42*100,0)*ROUND(AS$7*10000,0)/12000000,0)/100,0)</f>
        <v>0</v>
      </c>
      <c r="AU43" s="24">
        <f>IF(AU42&gt;0,ROUND(AU42+AT43-AS43,2),0)</f>
        <v>0</v>
      </c>
      <c r="AV43" s="24">
        <f>IF(AU42&gt;0,ROUND(AV42+ROUND(ROUND(AV42*100,0)*ROUND(AS$7*10000,0)/12000000,0)/100+0.02,2),0)</f>
        <v>0</v>
      </c>
    </row>
    <row r="44" spans="1:48" x14ac:dyDescent="0.25">
      <c r="A44" s="17" t="str">
        <f>IF(F44&gt;0,34,"")</f>
        <v/>
      </c>
      <c r="B44" s="18" t="str">
        <f>IF(F44&gt;0,EDATE($E$6,34),"")</f>
        <v/>
      </c>
      <c r="C44" s="21">
        <f>IF(H43&gt;0,MIN(IF(K43&gt;0,I$5,99),IF(O43&gt;0,M$5,99),IF(S43&gt;0,Q$5,99),IF(W43&gt;0,U$5,99),IF(AA43&gt;0,Y$5,99),IF(AE43&gt;0,AC$5,99),IF(AI43&gt;0,AG$5,99),IF(AM43&gt;0,AK$5,99),IF(AQ43&gt;0,AO$5,99),IF(AU43&gt;0,AS$5,99)),0)</f>
        <v>0</v>
      </c>
      <c r="D44" t="str">
        <f>IF(C44&gt;0,INDEX($I$4:$AV$4,1,MATCH(C44,$I$5:$AV$5,0)),"")</f>
        <v/>
      </c>
      <c r="E44" s="24">
        <f>ROUND(IF(AND(I$8&gt;0,K43=0),I$6,0)+IF(AND(M$8&gt;0,O43=0),M$6,0)+IF(AND(Q$8&gt;0,S43=0),Q$6,0)+IF(AND(U$8&gt;0,W43=0),U$6,0)+IF(AND(Y$8&gt;0,AA43=0),Y$6,0)+IF(AND(AC$8&gt;0,AE43=0),AC$6,0)+IF(AND(AG$8&gt;0,AI43=0),AG$6,0)+IF(AND(AK$8&gt;0,AM43=0),AK$6,0)+IF(AND(AO$8&gt;0,AQ43=0),AO$6,0)+IF(AND(AS$8&gt;0,AU43=0),AS$6,0),2)</f>
        <v>325</v>
      </c>
      <c r="F44" s="24">
        <f>ROUND(I44+M44+Q44+U44+Y44+AC44+AG44+AK44+AO44+AS44,2)</f>
        <v>0</v>
      </c>
      <c r="G44" s="24">
        <f>ROUND(J44+N44+R44+V44+Z44+AD44+AH44+AL44+AP44+AT44,2)</f>
        <v>0</v>
      </c>
      <c r="H44" s="24">
        <f>ROUND(K44+O44+S44+W44+AA44+AE44+AI44+AM44+AQ44+AU44,2)</f>
        <v>0</v>
      </c>
      <c r="I44" s="24">
        <f>IF(K43&gt;0,IF(AND(ROUND(K43+J44-ROUND(I$6+IF(I$5=$C44,$E$5+$E44,0),2),2)&gt;0,ROUND(K43+J44-ROUND(I$6+IF(I$5=$C44,$E$5+$E44,0),2),2)&lt;=L44,ROUND(K43+J44-ROUND(I$6+IF(I$5=$C44,$E$5+$E44,0),2),2)*10&lt;=ROUND(I$6+IF(I$5=$C44,$E$5+$E44,0),2)),ROUND(K43+J44,2),MIN(ROUND(I$6+IF(I$5=$C44,$E$5+$E44,0),2),ROUND(K43+J44,2))),0)</f>
        <v>0</v>
      </c>
      <c r="J44" s="24">
        <f>IF(K43&gt;0,ROUND(ROUND(K43*100,0)*ROUND(I$7*10000,0)/12000000,0)/100,0)</f>
        <v>0</v>
      </c>
      <c r="K44" s="24">
        <f>IF(K43&gt;0,ROUND(K43+J44-I44,2),0)</f>
        <v>0</v>
      </c>
      <c r="L44" s="24">
        <f>IF(K43&gt;0,ROUND(L43+ROUND(ROUND(L43*100,0)*ROUND(I$7*10000,0)/12000000,0)/100+0.02,2),0)</f>
        <v>0</v>
      </c>
      <c r="M44" s="24">
        <f>IF(O43&gt;0,IF(AND(ROUND(O43+N44-ROUND(M$6+IF(M$5=$C44,$E$5+$E44,0),2),2)&gt;0,ROUND(O43+N44-ROUND(M$6+IF(M$5=$C44,$E$5+$E44,0),2),2)&lt;=P44,ROUND(O43+N44-ROUND(M$6+IF(M$5=$C44,$E$5+$E44,0),2),2)*10&lt;=ROUND(M$6+IF(M$5=$C44,$E$5+$E44,0),2)),ROUND(O43+N44,2),MIN(ROUND(M$6+IF(M$5=$C44,$E$5+$E44,0),2),ROUND(O43+N44,2))),0)</f>
        <v>0</v>
      </c>
      <c r="N44" s="24">
        <f>IF(O43&gt;0,ROUND(ROUND(O43*100,0)*ROUND(M$7*10000,0)/12000000,0)/100,0)</f>
        <v>0</v>
      </c>
      <c r="O44" s="24">
        <f>IF(O43&gt;0,ROUND(O43+N44-M44,2),0)</f>
        <v>0</v>
      </c>
      <c r="P44" s="24">
        <f>IF(O43&gt;0,ROUND(P43+ROUND(ROUND(P43*100,0)*ROUND(M$7*10000,0)/12000000,0)/100+0.02,2),0)</f>
        <v>0</v>
      </c>
      <c r="Q44" s="24">
        <f>IF(S43&gt;0,IF(AND(ROUND(S43+R44-ROUND(Q$6+IF(Q$5=$C44,$E$5+$E44,0),2),2)&gt;0,ROUND(S43+R44-ROUND(Q$6+IF(Q$5=$C44,$E$5+$E44,0),2),2)&lt;=T44,ROUND(S43+R44-ROUND(Q$6+IF(Q$5=$C44,$E$5+$E44,0),2),2)*10&lt;=ROUND(Q$6+IF(Q$5=$C44,$E$5+$E44,0),2)),ROUND(S43+R44,2),MIN(ROUND(Q$6+IF(Q$5=$C44,$E$5+$E44,0),2),ROUND(S43+R44,2))),0)</f>
        <v>0</v>
      </c>
      <c r="R44" s="24">
        <f>IF(S43&gt;0,ROUND(ROUND(S43*100,0)*ROUND(Q$7*10000,0)/12000000,0)/100,0)</f>
        <v>0</v>
      </c>
      <c r="S44" s="24">
        <f>IF(S43&gt;0,ROUND(S43+R44-Q44,2),0)</f>
        <v>0</v>
      </c>
      <c r="T44" s="24">
        <f>IF(S43&gt;0,ROUND(T43+ROUND(ROUND(T43*100,0)*ROUND(Q$7*10000,0)/12000000,0)/100+0.02,2),0)</f>
        <v>0</v>
      </c>
      <c r="U44" s="24">
        <f>IF(W43&gt;0,IF(AND(ROUND(W43+V44-ROUND(U$6+IF(U$5=$C44,$E$5+$E44,0),2),2)&gt;0,ROUND(W43+V44-ROUND(U$6+IF(U$5=$C44,$E$5+$E44,0),2),2)&lt;=X44,ROUND(W43+V44-ROUND(U$6+IF(U$5=$C44,$E$5+$E44,0),2),2)*10&lt;=ROUND(U$6+IF(U$5=$C44,$E$5+$E44,0),2)),ROUND(W43+V44,2),MIN(ROUND(U$6+IF(U$5=$C44,$E$5+$E44,0),2),ROUND(W43+V44,2))),0)</f>
        <v>0</v>
      </c>
      <c r="V44" s="24">
        <f>IF(W43&gt;0,ROUND(ROUND(W43*100,0)*ROUND(U$7*10000,0)/12000000,0)/100,0)</f>
        <v>0</v>
      </c>
      <c r="W44" s="24">
        <f>IF(W43&gt;0,ROUND(W43+V44-U44,2),0)</f>
        <v>0</v>
      </c>
      <c r="X44" s="24">
        <f>IF(W43&gt;0,ROUND(X43+ROUND(ROUND(X43*100,0)*ROUND(U$7*10000,0)/12000000,0)/100+0.02,2),0)</f>
        <v>0</v>
      </c>
      <c r="Y44" s="24">
        <f>IF(AA43&gt;0,IF(AND(ROUND(AA43+Z44-ROUND(Y$6+IF(Y$5=$C44,$E$5+$E44,0),2),2)&gt;0,ROUND(AA43+Z44-ROUND(Y$6+IF(Y$5=$C44,$E$5+$E44,0),2),2)&lt;=AB44,ROUND(AA43+Z44-ROUND(Y$6+IF(Y$5=$C44,$E$5+$E44,0),2),2)*10&lt;=ROUND(Y$6+IF(Y$5=$C44,$E$5+$E44,0),2)),ROUND(AA43+Z44,2),MIN(ROUND(Y$6+IF(Y$5=$C44,$E$5+$E44,0),2),ROUND(AA43+Z44,2))),0)</f>
        <v>0</v>
      </c>
      <c r="Z44" s="24">
        <f>IF(AA43&gt;0,ROUND(ROUND(AA43*100,0)*ROUND(Y$7*10000,0)/12000000,0)/100,0)</f>
        <v>0</v>
      </c>
      <c r="AA44" s="24">
        <f>IF(AA43&gt;0,ROUND(AA43+Z44-Y44,2),0)</f>
        <v>0</v>
      </c>
      <c r="AB44" s="24">
        <f>IF(AA43&gt;0,ROUND(AB43+ROUND(ROUND(AB43*100,0)*ROUND(Y$7*10000,0)/12000000,0)/100+0.02,2),0)</f>
        <v>0</v>
      </c>
      <c r="AC44" s="24">
        <f>IF(AE43&gt;0,IF(AND(ROUND(AE43+AD44-ROUND(AC$6+IF(AC$5=$C44,$E$5+$E44,0),2),2)&gt;0,ROUND(AE43+AD44-ROUND(AC$6+IF(AC$5=$C44,$E$5+$E44,0),2),2)&lt;=AF44,ROUND(AE43+AD44-ROUND(AC$6+IF(AC$5=$C44,$E$5+$E44,0),2),2)*10&lt;=ROUND(AC$6+IF(AC$5=$C44,$E$5+$E44,0),2)),ROUND(AE43+AD44,2),MIN(ROUND(AC$6+IF(AC$5=$C44,$E$5+$E44,0),2),ROUND(AE43+AD44,2))),0)</f>
        <v>0</v>
      </c>
      <c r="AD44" s="24">
        <f>IF(AE43&gt;0,ROUND(ROUND(AE43*100,0)*ROUND(AC$7*10000,0)/12000000,0)/100,0)</f>
        <v>0</v>
      </c>
      <c r="AE44" s="24">
        <f>IF(AE43&gt;0,ROUND(AE43+AD44-AC44,2),0)</f>
        <v>0</v>
      </c>
      <c r="AF44" s="24">
        <f>IF(AE43&gt;0,ROUND(AF43+ROUND(ROUND(AF43*100,0)*ROUND(AC$7*10000,0)/12000000,0)/100+0.02,2),0)</f>
        <v>0</v>
      </c>
      <c r="AG44" s="24">
        <f>IF(AI43&gt;0,IF(AND(ROUND(AI43+AH44-ROUND(AG$6+IF(AG$5=$C44,$E$5+$E44,0),2),2)&gt;0,ROUND(AI43+AH44-ROUND(AG$6+IF(AG$5=$C44,$E$5+$E44,0),2),2)&lt;=AJ44,ROUND(AI43+AH44-ROUND(AG$6+IF(AG$5=$C44,$E$5+$E44,0),2),2)*10&lt;=ROUND(AG$6+IF(AG$5=$C44,$E$5+$E44,0),2)),ROUND(AI43+AH44,2),MIN(ROUND(AG$6+IF(AG$5=$C44,$E$5+$E44,0),2),ROUND(AI43+AH44,2))),0)</f>
        <v>0</v>
      </c>
      <c r="AH44" s="24">
        <f>IF(AI43&gt;0,ROUND(ROUND(AI43*100,0)*ROUND(AG$7*10000,0)/12000000,0)/100,0)</f>
        <v>0</v>
      </c>
      <c r="AI44" s="24">
        <f>IF(AI43&gt;0,ROUND(AI43+AH44-AG44,2),0)</f>
        <v>0</v>
      </c>
      <c r="AJ44" s="24">
        <f>IF(AI43&gt;0,ROUND(AJ43+ROUND(ROUND(AJ43*100,0)*ROUND(AG$7*10000,0)/12000000,0)/100+0.02,2),0)</f>
        <v>0</v>
      </c>
      <c r="AK44" s="24">
        <f>IF(AM43&gt;0,IF(AND(ROUND(AM43+AL44-ROUND(AK$6+IF(AK$5=$C44,$E$5+$E44,0),2),2)&gt;0,ROUND(AM43+AL44-ROUND(AK$6+IF(AK$5=$C44,$E$5+$E44,0),2),2)&lt;=AN44,ROUND(AM43+AL44-ROUND(AK$6+IF(AK$5=$C44,$E$5+$E44,0),2),2)*10&lt;=ROUND(AK$6+IF(AK$5=$C44,$E$5+$E44,0),2)),ROUND(AM43+AL44,2),MIN(ROUND(AK$6+IF(AK$5=$C44,$E$5+$E44,0),2),ROUND(AM43+AL44,2))),0)</f>
        <v>0</v>
      </c>
      <c r="AL44" s="24">
        <f>IF(AM43&gt;0,ROUND(ROUND(AM43*100,0)*ROUND(AK$7*10000,0)/12000000,0)/100,0)</f>
        <v>0</v>
      </c>
      <c r="AM44" s="24">
        <f>IF(AM43&gt;0,ROUND(AM43+AL44-AK44,2),0)</f>
        <v>0</v>
      </c>
      <c r="AN44" s="24">
        <f>IF(AM43&gt;0,ROUND(AN43+ROUND(ROUND(AN43*100,0)*ROUND(AK$7*10000,0)/12000000,0)/100+0.02,2),0)</f>
        <v>0</v>
      </c>
      <c r="AO44" s="24">
        <f>IF(AQ43&gt;0,IF(AND(ROUND(AQ43+AP44-ROUND(AO$6+IF(AO$5=$C44,$E$5+$E44,0),2),2)&gt;0,ROUND(AQ43+AP44-ROUND(AO$6+IF(AO$5=$C44,$E$5+$E44,0),2),2)&lt;=AR44,ROUND(AQ43+AP44-ROUND(AO$6+IF(AO$5=$C44,$E$5+$E44,0),2),2)*10&lt;=ROUND(AO$6+IF(AO$5=$C44,$E$5+$E44,0),2)),ROUND(AQ43+AP44,2),MIN(ROUND(AO$6+IF(AO$5=$C44,$E$5+$E44,0),2),ROUND(AQ43+AP44,2))),0)</f>
        <v>0</v>
      </c>
      <c r="AP44" s="24">
        <f>IF(AQ43&gt;0,ROUND(ROUND(AQ43*100,0)*ROUND(AO$7*10000,0)/12000000,0)/100,0)</f>
        <v>0</v>
      </c>
      <c r="AQ44" s="24">
        <f>IF(AQ43&gt;0,ROUND(AQ43+AP44-AO44,2),0)</f>
        <v>0</v>
      </c>
      <c r="AR44" s="24">
        <f>IF(AQ43&gt;0,ROUND(AR43+ROUND(ROUND(AR43*100,0)*ROUND(AO$7*10000,0)/12000000,0)/100+0.02,2),0)</f>
        <v>0</v>
      </c>
      <c r="AS44" s="24">
        <f>IF(AU43&gt;0,IF(AND(ROUND(AU43+AT44-ROUND(AS$6+IF(AS$5=$C44,$E$5+$E44,0),2),2)&gt;0,ROUND(AU43+AT44-ROUND(AS$6+IF(AS$5=$C44,$E$5+$E44,0),2),2)&lt;=AV44,ROUND(AU43+AT44-ROUND(AS$6+IF(AS$5=$C44,$E$5+$E44,0),2),2)*10&lt;=ROUND(AS$6+IF(AS$5=$C44,$E$5+$E44,0),2)),ROUND(AU43+AT44,2),MIN(ROUND(AS$6+IF(AS$5=$C44,$E$5+$E44,0),2),ROUND(AU43+AT44,2))),0)</f>
        <v>0</v>
      </c>
      <c r="AT44" s="24">
        <f>IF(AU43&gt;0,ROUND(ROUND(AU43*100,0)*ROUND(AS$7*10000,0)/12000000,0)/100,0)</f>
        <v>0</v>
      </c>
      <c r="AU44" s="24">
        <f>IF(AU43&gt;0,ROUND(AU43+AT44-AS44,2),0)</f>
        <v>0</v>
      </c>
      <c r="AV44" s="24">
        <f>IF(AU43&gt;0,ROUND(AV43+ROUND(ROUND(AV43*100,0)*ROUND(AS$7*10000,0)/12000000,0)/100+0.02,2),0)</f>
        <v>0</v>
      </c>
    </row>
    <row r="45" spans="1:48" x14ac:dyDescent="0.25">
      <c r="A45" s="17" t="str">
        <f>IF(F45&gt;0,35,"")</f>
        <v/>
      </c>
      <c r="B45" s="18" t="str">
        <f>IF(F45&gt;0,EDATE($E$6,35),"")</f>
        <v/>
      </c>
      <c r="C45" s="21">
        <f>IF(H44&gt;0,MIN(IF(K44&gt;0,I$5,99),IF(O44&gt;0,M$5,99),IF(S44&gt;0,Q$5,99),IF(W44&gt;0,U$5,99),IF(AA44&gt;0,Y$5,99),IF(AE44&gt;0,AC$5,99),IF(AI44&gt;0,AG$5,99),IF(AM44&gt;0,AK$5,99),IF(AQ44&gt;0,AO$5,99),IF(AU44&gt;0,AS$5,99)),0)</f>
        <v>0</v>
      </c>
      <c r="D45" t="str">
        <f>IF(C45&gt;0,INDEX($I$4:$AV$4,1,MATCH(C45,$I$5:$AV$5,0)),"")</f>
        <v/>
      </c>
      <c r="E45" s="24">
        <f>ROUND(IF(AND(I$8&gt;0,K44=0),I$6,0)+IF(AND(M$8&gt;0,O44=0),M$6,0)+IF(AND(Q$8&gt;0,S44=0),Q$6,0)+IF(AND(U$8&gt;0,W44=0),U$6,0)+IF(AND(Y$8&gt;0,AA44=0),Y$6,0)+IF(AND(AC$8&gt;0,AE44=0),AC$6,0)+IF(AND(AG$8&gt;0,AI44=0),AG$6,0)+IF(AND(AK$8&gt;0,AM44=0),AK$6,0)+IF(AND(AO$8&gt;0,AQ44=0),AO$6,0)+IF(AND(AS$8&gt;0,AU44=0),AS$6,0),2)</f>
        <v>325</v>
      </c>
      <c r="F45" s="24">
        <f>ROUND(I45+M45+Q45+U45+Y45+AC45+AG45+AK45+AO45+AS45,2)</f>
        <v>0</v>
      </c>
      <c r="G45" s="24">
        <f>ROUND(J45+N45+R45+V45+Z45+AD45+AH45+AL45+AP45+AT45,2)</f>
        <v>0</v>
      </c>
      <c r="H45" s="24">
        <f>ROUND(K45+O45+S45+W45+AA45+AE45+AI45+AM45+AQ45+AU45,2)</f>
        <v>0</v>
      </c>
      <c r="I45" s="24">
        <f>IF(K44&gt;0,IF(AND(ROUND(K44+J45-ROUND(I$6+IF(I$5=$C45,$E$5+$E45,0),2),2)&gt;0,ROUND(K44+J45-ROUND(I$6+IF(I$5=$C45,$E$5+$E45,0),2),2)&lt;=L45,ROUND(K44+J45-ROUND(I$6+IF(I$5=$C45,$E$5+$E45,0),2),2)*10&lt;=ROUND(I$6+IF(I$5=$C45,$E$5+$E45,0),2)),ROUND(K44+J45,2),MIN(ROUND(I$6+IF(I$5=$C45,$E$5+$E45,0),2),ROUND(K44+J45,2))),0)</f>
        <v>0</v>
      </c>
      <c r="J45" s="24">
        <f>IF(K44&gt;0,ROUND(ROUND(K44*100,0)*ROUND(I$7*10000,0)/12000000,0)/100,0)</f>
        <v>0</v>
      </c>
      <c r="K45" s="24">
        <f>IF(K44&gt;0,ROUND(K44+J45-I45,2),0)</f>
        <v>0</v>
      </c>
      <c r="L45" s="24">
        <f>IF(K44&gt;0,ROUND(L44+ROUND(ROUND(L44*100,0)*ROUND(I$7*10000,0)/12000000,0)/100+0.02,2),0)</f>
        <v>0</v>
      </c>
      <c r="M45" s="24">
        <f>IF(O44&gt;0,IF(AND(ROUND(O44+N45-ROUND(M$6+IF(M$5=$C45,$E$5+$E45,0),2),2)&gt;0,ROUND(O44+N45-ROUND(M$6+IF(M$5=$C45,$E$5+$E45,0),2),2)&lt;=P45,ROUND(O44+N45-ROUND(M$6+IF(M$5=$C45,$E$5+$E45,0),2),2)*10&lt;=ROUND(M$6+IF(M$5=$C45,$E$5+$E45,0),2)),ROUND(O44+N45,2),MIN(ROUND(M$6+IF(M$5=$C45,$E$5+$E45,0),2),ROUND(O44+N45,2))),0)</f>
        <v>0</v>
      </c>
      <c r="N45" s="24">
        <f>IF(O44&gt;0,ROUND(ROUND(O44*100,0)*ROUND(M$7*10000,0)/12000000,0)/100,0)</f>
        <v>0</v>
      </c>
      <c r="O45" s="24">
        <f>IF(O44&gt;0,ROUND(O44+N45-M45,2),0)</f>
        <v>0</v>
      </c>
      <c r="P45" s="24">
        <f>IF(O44&gt;0,ROUND(P44+ROUND(ROUND(P44*100,0)*ROUND(M$7*10000,0)/12000000,0)/100+0.02,2),0)</f>
        <v>0</v>
      </c>
      <c r="Q45" s="24">
        <f>IF(S44&gt;0,IF(AND(ROUND(S44+R45-ROUND(Q$6+IF(Q$5=$C45,$E$5+$E45,0),2),2)&gt;0,ROUND(S44+R45-ROUND(Q$6+IF(Q$5=$C45,$E$5+$E45,0),2),2)&lt;=T45,ROUND(S44+R45-ROUND(Q$6+IF(Q$5=$C45,$E$5+$E45,0),2),2)*10&lt;=ROUND(Q$6+IF(Q$5=$C45,$E$5+$E45,0),2)),ROUND(S44+R45,2),MIN(ROUND(Q$6+IF(Q$5=$C45,$E$5+$E45,0),2),ROUND(S44+R45,2))),0)</f>
        <v>0</v>
      </c>
      <c r="R45" s="24">
        <f>IF(S44&gt;0,ROUND(ROUND(S44*100,0)*ROUND(Q$7*10000,0)/12000000,0)/100,0)</f>
        <v>0</v>
      </c>
      <c r="S45" s="24">
        <f>IF(S44&gt;0,ROUND(S44+R45-Q45,2),0)</f>
        <v>0</v>
      </c>
      <c r="T45" s="24">
        <f>IF(S44&gt;0,ROUND(T44+ROUND(ROUND(T44*100,0)*ROUND(Q$7*10000,0)/12000000,0)/100+0.02,2),0)</f>
        <v>0</v>
      </c>
      <c r="U45" s="24">
        <f>IF(W44&gt;0,IF(AND(ROUND(W44+V45-ROUND(U$6+IF(U$5=$C45,$E$5+$E45,0),2),2)&gt;0,ROUND(W44+V45-ROUND(U$6+IF(U$5=$C45,$E$5+$E45,0),2),2)&lt;=X45,ROUND(W44+V45-ROUND(U$6+IF(U$5=$C45,$E$5+$E45,0),2),2)*10&lt;=ROUND(U$6+IF(U$5=$C45,$E$5+$E45,0),2)),ROUND(W44+V45,2),MIN(ROUND(U$6+IF(U$5=$C45,$E$5+$E45,0),2),ROUND(W44+V45,2))),0)</f>
        <v>0</v>
      </c>
      <c r="V45" s="24">
        <f>IF(W44&gt;0,ROUND(ROUND(W44*100,0)*ROUND(U$7*10000,0)/12000000,0)/100,0)</f>
        <v>0</v>
      </c>
      <c r="W45" s="24">
        <f>IF(W44&gt;0,ROUND(W44+V45-U45,2),0)</f>
        <v>0</v>
      </c>
      <c r="X45" s="24">
        <f>IF(W44&gt;0,ROUND(X44+ROUND(ROUND(X44*100,0)*ROUND(U$7*10000,0)/12000000,0)/100+0.02,2),0)</f>
        <v>0</v>
      </c>
      <c r="Y45" s="24">
        <f>IF(AA44&gt;0,IF(AND(ROUND(AA44+Z45-ROUND(Y$6+IF(Y$5=$C45,$E$5+$E45,0),2),2)&gt;0,ROUND(AA44+Z45-ROUND(Y$6+IF(Y$5=$C45,$E$5+$E45,0),2),2)&lt;=AB45,ROUND(AA44+Z45-ROUND(Y$6+IF(Y$5=$C45,$E$5+$E45,0),2),2)*10&lt;=ROUND(Y$6+IF(Y$5=$C45,$E$5+$E45,0),2)),ROUND(AA44+Z45,2),MIN(ROUND(Y$6+IF(Y$5=$C45,$E$5+$E45,0),2),ROUND(AA44+Z45,2))),0)</f>
        <v>0</v>
      </c>
      <c r="Z45" s="24">
        <f>IF(AA44&gt;0,ROUND(ROUND(AA44*100,0)*ROUND(Y$7*10000,0)/12000000,0)/100,0)</f>
        <v>0</v>
      </c>
      <c r="AA45" s="24">
        <f>IF(AA44&gt;0,ROUND(AA44+Z45-Y45,2),0)</f>
        <v>0</v>
      </c>
      <c r="AB45" s="24">
        <f>IF(AA44&gt;0,ROUND(AB44+ROUND(ROUND(AB44*100,0)*ROUND(Y$7*10000,0)/12000000,0)/100+0.02,2),0)</f>
        <v>0</v>
      </c>
      <c r="AC45" s="24">
        <f>IF(AE44&gt;0,IF(AND(ROUND(AE44+AD45-ROUND(AC$6+IF(AC$5=$C45,$E$5+$E45,0),2),2)&gt;0,ROUND(AE44+AD45-ROUND(AC$6+IF(AC$5=$C45,$E$5+$E45,0),2),2)&lt;=AF45,ROUND(AE44+AD45-ROUND(AC$6+IF(AC$5=$C45,$E$5+$E45,0),2),2)*10&lt;=ROUND(AC$6+IF(AC$5=$C45,$E$5+$E45,0),2)),ROUND(AE44+AD45,2),MIN(ROUND(AC$6+IF(AC$5=$C45,$E$5+$E45,0),2),ROUND(AE44+AD45,2))),0)</f>
        <v>0</v>
      </c>
      <c r="AD45" s="24">
        <f>IF(AE44&gt;0,ROUND(ROUND(AE44*100,0)*ROUND(AC$7*10000,0)/12000000,0)/100,0)</f>
        <v>0</v>
      </c>
      <c r="AE45" s="24">
        <f>IF(AE44&gt;0,ROUND(AE44+AD45-AC45,2),0)</f>
        <v>0</v>
      </c>
      <c r="AF45" s="24">
        <f>IF(AE44&gt;0,ROUND(AF44+ROUND(ROUND(AF44*100,0)*ROUND(AC$7*10000,0)/12000000,0)/100+0.02,2),0)</f>
        <v>0</v>
      </c>
      <c r="AG45" s="24">
        <f>IF(AI44&gt;0,IF(AND(ROUND(AI44+AH45-ROUND(AG$6+IF(AG$5=$C45,$E$5+$E45,0),2),2)&gt;0,ROUND(AI44+AH45-ROUND(AG$6+IF(AG$5=$C45,$E$5+$E45,0),2),2)&lt;=AJ45,ROUND(AI44+AH45-ROUND(AG$6+IF(AG$5=$C45,$E$5+$E45,0),2),2)*10&lt;=ROUND(AG$6+IF(AG$5=$C45,$E$5+$E45,0),2)),ROUND(AI44+AH45,2),MIN(ROUND(AG$6+IF(AG$5=$C45,$E$5+$E45,0),2),ROUND(AI44+AH45,2))),0)</f>
        <v>0</v>
      </c>
      <c r="AH45" s="24">
        <f>IF(AI44&gt;0,ROUND(ROUND(AI44*100,0)*ROUND(AG$7*10000,0)/12000000,0)/100,0)</f>
        <v>0</v>
      </c>
      <c r="AI45" s="24">
        <f>IF(AI44&gt;0,ROUND(AI44+AH45-AG45,2),0)</f>
        <v>0</v>
      </c>
      <c r="AJ45" s="24">
        <f>IF(AI44&gt;0,ROUND(AJ44+ROUND(ROUND(AJ44*100,0)*ROUND(AG$7*10000,0)/12000000,0)/100+0.02,2),0)</f>
        <v>0</v>
      </c>
      <c r="AK45" s="24">
        <f>IF(AM44&gt;0,IF(AND(ROUND(AM44+AL45-ROUND(AK$6+IF(AK$5=$C45,$E$5+$E45,0),2),2)&gt;0,ROUND(AM44+AL45-ROUND(AK$6+IF(AK$5=$C45,$E$5+$E45,0),2),2)&lt;=AN45,ROUND(AM44+AL45-ROUND(AK$6+IF(AK$5=$C45,$E$5+$E45,0),2),2)*10&lt;=ROUND(AK$6+IF(AK$5=$C45,$E$5+$E45,0),2)),ROUND(AM44+AL45,2),MIN(ROUND(AK$6+IF(AK$5=$C45,$E$5+$E45,0),2),ROUND(AM44+AL45,2))),0)</f>
        <v>0</v>
      </c>
      <c r="AL45" s="24">
        <f>IF(AM44&gt;0,ROUND(ROUND(AM44*100,0)*ROUND(AK$7*10000,0)/12000000,0)/100,0)</f>
        <v>0</v>
      </c>
      <c r="AM45" s="24">
        <f>IF(AM44&gt;0,ROUND(AM44+AL45-AK45,2),0)</f>
        <v>0</v>
      </c>
      <c r="AN45" s="24">
        <f>IF(AM44&gt;0,ROUND(AN44+ROUND(ROUND(AN44*100,0)*ROUND(AK$7*10000,0)/12000000,0)/100+0.02,2),0)</f>
        <v>0</v>
      </c>
      <c r="AO45" s="24">
        <f>IF(AQ44&gt;0,IF(AND(ROUND(AQ44+AP45-ROUND(AO$6+IF(AO$5=$C45,$E$5+$E45,0),2),2)&gt;0,ROUND(AQ44+AP45-ROUND(AO$6+IF(AO$5=$C45,$E$5+$E45,0),2),2)&lt;=AR45,ROUND(AQ44+AP45-ROUND(AO$6+IF(AO$5=$C45,$E$5+$E45,0),2),2)*10&lt;=ROUND(AO$6+IF(AO$5=$C45,$E$5+$E45,0),2)),ROUND(AQ44+AP45,2),MIN(ROUND(AO$6+IF(AO$5=$C45,$E$5+$E45,0),2),ROUND(AQ44+AP45,2))),0)</f>
        <v>0</v>
      </c>
      <c r="AP45" s="24">
        <f>IF(AQ44&gt;0,ROUND(ROUND(AQ44*100,0)*ROUND(AO$7*10000,0)/12000000,0)/100,0)</f>
        <v>0</v>
      </c>
      <c r="AQ45" s="24">
        <f>IF(AQ44&gt;0,ROUND(AQ44+AP45-AO45,2),0)</f>
        <v>0</v>
      </c>
      <c r="AR45" s="24">
        <f>IF(AQ44&gt;0,ROUND(AR44+ROUND(ROUND(AR44*100,0)*ROUND(AO$7*10000,0)/12000000,0)/100+0.02,2),0)</f>
        <v>0</v>
      </c>
      <c r="AS45" s="24">
        <f>IF(AU44&gt;0,IF(AND(ROUND(AU44+AT45-ROUND(AS$6+IF(AS$5=$C45,$E$5+$E45,0),2),2)&gt;0,ROUND(AU44+AT45-ROUND(AS$6+IF(AS$5=$C45,$E$5+$E45,0),2),2)&lt;=AV45,ROUND(AU44+AT45-ROUND(AS$6+IF(AS$5=$C45,$E$5+$E45,0),2),2)*10&lt;=ROUND(AS$6+IF(AS$5=$C45,$E$5+$E45,0),2)),ROUND(AU44+AT45,2),MIN(ROUND(AS$6+IF(AS$5=$C45,$E$5+$E45,0),2),ROUND(AU44+AT45,2))),0)</f>
        <v>0</v>
      </c>
      <c r="AT45" s="24">
        <f>IF(AU44&gt;0,ROUND(ROUND(AU44*100,0)*ROUND(AS$7*10000,0)/12000000,0)/100,0)</f>
        <v>0</v>
      </c>
      <c r="AU45" s="24">
        <f>IF(AU44&gt;0,ROUND(AU44+AT45-AS45,2),0)</f>
        <v>0</v>
      </c>
      <c r="AV45" s="24">
        <f>IF(AU44&gt;0,ROUND(AV44+ROUND(ROUND(AV44*100,0)*ROUND(AS$7*10000,0)/12000000,0)/100+0.02,2),0)</f>
        <v>0</v>
      </c>
    </row>
    <row r="46" spans="1:48" x14ac:dyDescent="0.25">
      <c r="A46" s="17" t="str">
        <f>IF(F46&gt;0,36,"")</f>
        <v/>
      </c>
      <c r="B46" s="18" t="str">
        <f>IF(F46&gt;0,EDATE($E$6,36),"")</f>
        <v/>
      </c>
      <c r="C46" s="21">
        <f>IF(H45&gt;0,MIN(IF(K45&gt;0,I$5,99),IF(O45&gt;0,M$5,99),IF(S45&gt;0,Q$5,99),IF(W45&gt;0,U$5,99),IF(AA45&gt;0,Y$5,99),IF(AE45&gt;0,AC$5,99),IF(AI45&gt;0,AG$5,99),IF(AM45&gt;0,AK$5,99),IF(AQ45&gt;0,AO$5,99),IF(AU45&gt;0,AS$5,99)),0)</f>
        <v>0</v>
      </c>
      <c r="D46" t="str">
        <f>IF(C46&gt;0,INDEX($I$4:$AV$4,1,MATCH(C46,$I$5:$AV$5,0)),"")</f>
        <v/>
      </c>
      <c r="E46" s="24">
        <f>ROUND(IF(AND(I$8&gt;0,K45=0),I$6,0)+IF(AND(M$8&gt;0,O45=0),M$6,0)+IF(AND(Q$8&gt;0,S45=0),Q$6,0)+IF(AND(U$8&gt;0,W45=0),U$6,0)+IF(AND(Y$8&gt;0,AA45=0),Y$6,0)+IF(AND(AC$8&gt;0,AE45=0),AC$6,0)+IF(AND(AG$8&gt;0,AI45=0),AG$6,0)+IF(AND(AK$8&gt;0,AM45=0),AK$6,0)+IF(AND(AO$8&gt;0,AQ45=0),AO$6,0)+IF(AND(AS$8&gt;0,AU45=0),AS$6,0),2)</f>
        <v>325</v>
      </c>
      <c r="F46" s="24">
        <f>ROUND(I46+M46+Q46+U46+Y46+AC46+AG46+AK46+AO46+AS46,2)</f>
        <v>0</v>
      </c>
      <c r="G46" s="24">
        <f>ROUND(J46+N46+R46+V46+Z46+AD46+AH46+AL46+AP46+AT46,2)</f>
        <v>0</v>
      </c>
      <c r="H46" s="24">
        <f>ROUND(K46+O46+S46+W46+AA46+AE46+AI46+AM46+AQ46+AU46,2)</f>
        <v>0</v>
      </c>
      <c r="I46" s="24">
        <f>IF(K45&gt;0,IF(AND(ROUND(K45+J46-ROUND(I$6+IF(I$5=$C46,$E$5+$E46,0),2),2)&gt;0,ROUND(K45+J46-ROUND(I$6+IF(I$5=$C46,$E$5+$E46,0),2),2)&lt;=L46,ROUND(K45+J46-ROUND(I$6+IF(I$5=$C46,$E$5+$E46,0),2),2)*10&lt;=ROUND(I$6+IF(I$5=$C46,$E$5+$E46,0),2)),ROUND(K45+J46,2),MIN(ROUND(I$6+IF(I$5=$C46,$E$5+$E46,0),2),ROUND(K45+J46,2))),0)</f>
        <v>0</v>
      </c>
      <c r="J46" s="24">
        <f>IF(K45&gt;0,ROUND(ROUND(K45*100,0)*ROUND(I$7*10000,0)/12000000,0)/100,0)</f>
        <v>0</v>
      </c>
      <c r="K46" s="24">
        <f>IF(K45&gt;0,ROUND(K45+J46-I46,2),0)</f>
        <v>0</v>
      </c>
      <c r="L46" s="24">
        <f>IF(K45&gt;0,ROUND(L45+ROUND(ROUND(L45*100,0)*ROUND(I$7*10000,0)/12000000,0)/100+0.02,2),0)</f>
        <v>0</v>
      </c>
      <c r="M46" s="24">
        <f>IF(O45&gt;0,IF(AND(ROUND(O45+N46-ROUND(M$6+IF(M$5=$C46,$E$5+$E46,0),2),2)&gt;0,ROUND(O45+N46-ROUND(M$6+IF(M$5=$C46,$E$5+$E46,0),2),2)&lt;=P46,ROUND(O45+N46-ROUND(M$6+IF(M$5=$C46,$E$5+$E46,0),2),2)*10&lt;=ROUND(M$6+IF(M$5=$C46,$E$5+$E46,0),2)),ROUND(O45+N46,2),MIN(ROUND(M$6+IF(M$5=$C46,$E$5+$E46,0),2),ROUND(O45+N46,2))),0)</f>
        <v>0</v>
      </c>
      <c r="N46" s="24">
        <f>IF(O45&gt;0,ROUND(ROUND(O45*100,0)*ROUND(M$7*10000,0)/12000000,0)/100,0)</f>
        <v>0</v>
      </c>
      <c r="O46" s="24">
        <f>IF(O45&gt;0,ROUND(O45+N46-M46,2),0)</f>
        <v>0</v>
      </c>
      <c r="P46" s="24">
        <f>IF(O45&gt;0,ROUND(P45+ROUND(ROUND(P45*100,0)*ROUND(M$7*10000,0)/12000000,0)/100+0.02,2),0)</f>
        <v>0</v>
      </c>
      <c r="Q46" s="24">
        <f>IF(S45&gt;0,IF(AND(ROUND(S45+R46-ROUND(Q$6+IF(Q$5=$C46,$E$5+$E46,0),2),2)&gt;0,ROUND(S45+R46-ROUND(Q$6+IF(Q$5=$C46,$E$5+$E46,0),2),2)&lt;=T46,ROUND(S45+R46-ROUND(Q$6+IF(Q$5=$C46,$E$5+$E46,0),2),2)*10&lt;=ROUND(Q$6+IF(Q$5=$C46,$E$5+$E46,0),2)),ROUND(S45+R46,2),MIN(ROUND(Q$6+IF(Q$5=$C46,$E$5+$E46,0),2),ROUND(S45+R46,2))),0)</f>
        <v>0</v>
      </c>
      <c r="R46" s="24">
        <f>IF(S45&gt;0,ROUND(ROUND(S45*100,0)*ROUND(Q$7*10000,0)/12000000,0)/100,0)</f>
        <v>0</v>
      </c>
      <c r="S46" s="24">
        <f>IF(S45&gt;0,ROUND(S45+R46-Q46,2),0)</f>
        <v>0</v>
      </c>
      <c r="T46" s="24">
        <f>IF(S45&gt;0,ROUND(T45+ROUND(ROUND(T45*100,0)*ROUND(Q$7*10000,0)/12000000,0)/100+0.02,2),0)</f>
        <v>0</v>
      </c>
      <c r="U46" s="24">
        <f>IF(W45&gt;0,IF(AND(ROUND(W45+V46-ROUND(U$6+IF(U$5=$C46,$E$5+$E46,0),2),2)&gt;0,ROUND(W45+V46-ROUND(U$6+IF(U$5=$C46,$E$5+$E46,0),2),2)&lt;=X46,ROUND(W45+V46-ROUND(U$6+IF(U$5=$C46,$E$5+$E46,0),2),2)*10&lt;=ROUND(U$6+IF(U$5=$C46,$E$5+$E46,0),2)),ROUND(W45+V46,2),MIN(ROUND(U$6+IF(U$5=$C46,$E$5+$E46,0),2),ROUND(W45+V46,2))),0)</f>
        <v>0</v>
      </c>
      <c r="V46" s="24">
        <f>IF(W45&gt;0,ROUND(ROUND(W45*100,0)*ROUND(U$7*10000,0)/12000000,0)/100,0)</f>
        <v>0</v>
      </c>
      <c r="W46" s="24">
        <f>IF(W45&gt;0,ROUND(W45+V46-U46,2),0)</f>
        <v>0</v>
      </c>
      <c r="X46" s="24">
        <f>IF(W45&gt;0,ROUND(X45+ROUND(ROUND(X45*100,0)*ROUND(U$7*10000,0)/12000000,0)/100+0.02,2),0)</f>
        <v>0</v>
      </c>
      <c r="Y46" s="24">
        <f>IF(AA45&gt;0,IF(AND(ROUND(AA45+Z46-ROUND(Y$6+IF(Y$5=$C46,$E$5+$E46,0),2),2)&gt;0,ROUND(AA45+Z46-ROUND(Y$6+IF(Y$5=$C46,$E$5+$E46,0),2),2)&lt;=AB46,ROUND(AA45+Z46-ROUND(Y$6+IF(Y$5=$C46,$E$5+$E46,0),2),2)*10&lt;=ROUND(Y$6+IF(Y$5=$C46,$E$5+$E46,0),2)),ROUND(AA45+Z46,2),MIN(ROUND(Y$6+IF(Y$5=$C46,$E$5+$E46,0),2),ROUND(AA45+Z46,2))),0)</f>
        <v>0</v>
      </c>
      <c r="Z46" s="24">
        <f>IF(AA45&gt;0,ROUND(ROUND(AA45*100,0)*ROUND(Y$7*10000,0)/12000000,0)/100,0)</f>
        <v>0</v>
      </c>
      <c r="AA46" s="24">
        <f>IF(AA45&gt;0,ROUND(AA45+Z46-Y46,2),0)</f>
        <v>0</v>
      </c>
      <c r="AB46" s="24">
        <f>IF(AA45&gt;0,ROUND(AB45+ROUND(ROUND(AB45*100,0)*ROUND(Y$7*10000,0)/12000000,0)/100+0.02,2),0)</f>
        <v>0</v>
      </c>
      <c r="AC46" s="24">
        <f>IF(AE45&gt;0,IF(AND(ROUND(AE45+AD46-ROUND(AC$6+IF(AC$5=$C46,$E$5+$E46,0),2),2)&gt;0,ROUND(AE45+AD46-ROUND(AC$6+IF(AC$5=$C46,$E$5+$E46,0),2),2)&lt;=AF46,ROUND(AE45+AD46-ROUND(AC$6+IF(AC$5=$C46,$E$5+$E46,0),2),2)*10&lt;=ROUND(AC$6+IF(AC$5=$C46,$E$5+$E46,0),2)),ROUND(AE45+AD46,2),MIN(ROUND(AC$6+IF(AC$5=$C46,$E$5+$E46,0),2),ROUND(AE45+AD46,2))),0)</f>
        <v>0</v>
      </c>
      <c r="AD46" s="24">
        <f>IF(AE45&gt;0,ROUND(ROUND(AE45*100,0)*ROUND(AC$7*10000,0)/12000000,0)/100,0)</f>
        <v>0</v>
      </c>
      <c r="AE46" s="24">
        <f>IF(AE45&gt;0,ROUND(AE45+AD46-AC46,2),0)</f>
        <v>0</v>
      </c>
      <c r="AF46" s="24">
        <f>IF(AE45&gt;0,ROUND(AF45+ROUND(ROUND(AF45*100,0)*ROUND(AC$7*10000,0)/12000000,0)/100+0.02,2),0)</f>
        <v>0</v>
      </c>
      <c r="AG46" s="24">
        <f>IF(AI45&gt;0,IF(AND(ROUND(AI45+AH46-ROUND(AG$6+IF(AG$5=$C46,$E$5+$E46,0),2),2)&gt;0,ROUND(AI45+AH46-ROUND(AG$6+IF(AG$5=$C46,$E$5+$E46,0),2),2)&lt;=AJ46,ROUND(AI45+AH46-ROUND(AG$6+IF(AG$5=$C46,$E$5+$E46,0),2),2)*10&lt;=ROUND(AG$6+IF(AG$5=$C46,$E$5+$E46,0),2)),ROUND(AI45+AH46,2),MIN(ROUND(AG$6+IF(AG$5=$C46,$E$5+$E46,0),2),ROUND(AI45+AH46,2))),0)</f>
        <v>0</v>
      </c>
      <c r="AH46" s="24">
        <f>IF(AI45&gt;0,ROUND(ROUND(AI45*100,0)*ROUND(AG$7*10000,0)/12000000,0)/100,0)</f>
        <v>0</v>
      </c>
      <c r="AI46" s="24">
        <f>IF(AI45&gt;0,ROUND(AI45+AH46-AG46,2),0)</f>
        <v>0</v>
      </c>
      <c r="AJ46" s="24">
        <f>IF(AI45&gt;0,ROUND(AJ45+ROUND(ROUND(AJ45*100,0)*ROUND(AG$7*10000,0)/12000000,0)/100+0.02,2),0)</f>
        <v>0</v>
      </c>
      <c r="AK46" s="24">
        <f>IF(AM45&gt;0,IF(AND(ROUND(AM45+AL46-ROUND(AK$6+IF(AK$5=$C46,$E$5+$E46,0),2),2)&gt;0,ROUND(AM45+AL46-ROUND(AK$6+IF(AK$5=$C46,$E$5+$E46,0),2),2)&lt;=AN46,ROUND(AM45+AL46-ROUND(AK$6+IF(AK$5=$C46,$E$5+$E46,0),2),2)*10&lt;=ROUND(AK$6+IF(AK$5=$C46,$E$5+$E46,0),2)),ROUND(AM45+AL46,2),MIN(ROUND(AK$6+IF(AK$5=$C46,$E$5+$E46,0),2),ROUND(AM45+AL46,2))),0)</f>
        <v>0</v>
      </c>
      <c r="AL46" s="24">
        <f>IF(AM45&gt;0,ROUND(ROUND(AM45*100,0)*ROUND(AK$7*10000,0)/12000000,0)/100,0)</f>
        <v>0</v>
      </c>
      <c r="AM46" s="24">
        <f>IF(AM45&gt;0,ROUND(AM45+AL46-AK46,2),0)</f>
        <v>0</v>
      </c>
      <c r="AN46" s="24">
        <f>IF(AM45&gt;0,ROUND(AN45+ROUND(ROUND(AN45*100,0)*ROUND(AK$7*10000,0)/12000000,0)/100+0.02,2),0)</f>
        <v>0</v>
      </c>
      <c r="AO46" s="24">
        <f>IF(AQ45&gt;0,IF(AND(ROUND(AQ45+AP46-ROUND(AO$6+IF(AO$5=$C46,$E$5+$E46,0),2),2)&gt;0,ROUND(AQ45+AP46-ROUND(AO$6+IF(AO$5=$C46,$E$5+$E46,0),2),2)&lt;=AR46,ROUND(AQ45+AP46-ROUND(AO$6+IF(AO$5=$C46,$E$5+$E46,0),2),2)*10&lt;=ROUND(AO$6+IF(AO$5=$C46,$E$5+$E46,0),2)),ROUND(AQ45+AP46,2),MIN(ROUND(AO$6+IF(AO$5=$C46,$E$5+$E46,0),2),ROUND(AQ45+AP46,2))),0)</f>
        <v>0</v>
      </c>
      <c r="AP46" s="24">
        <f>IF(AQ45&gt;0,ROUND(ROUND(AQ45*100,0)*ROUND(AO$7*10000,0)/12000000,0)/100,0)</f>
        <v>0</v>
      </c>
      <c r="AQ46" s="24">
        <f>IF(AQ45&gt;0,ROUND(AQ45+AP46-AO46,2),0)</f>
        <v>0</v>
      </c>
      <c r="AR46" s="24">
        <f>IF(AQ45&gt;0,ROUND(AR45+ROUND(ROUND(AR45*100,0)*ROUND(AO$7*10000,0)/12000000,0)/100+0.02,2),0)</f>
        <v>0</v>
      </c>
      <c r="AS46" s="24">
        <f>IF(AU45&gt;0,IF(AND(ROUND(AU45+AT46-ROUND(AS$6+IF(AS$5=$C46,$E$5+$E46,0),2),2)&gt;0,ROUND(AU45+AT46-ROUND(AS$6+IF(AS$5=$C46,$E$5+$E46,0),2),2)&lt;=AV46,ROUND(AU45+AT46-ROUND(AS$6+IF(AS$5=$C46,$E$5+$E46,0),2),2)*10&lt;=ROUND(AS$6+IF(AS$5=$C46,$E$5+$E46,0),2)),ROUND(AU45+AT46,2),MIN(ROUND(AS$6+IF(AS$5=$C46,$E$5+$E46,0),2),ROUND(AU45+AT46,2))),0)</f>
        <v>0</v>
      </c>
      <c r="AT46" s="24">
        <f>IF(AU45&gt;0,ROUND(ROUND(AU45*100,0)*ROUND(AS$7*10000,0)/12000000,0)/100,0)</f>
        <v>0</v>
      </c>
      <c r="AU46" s="24">
        <f>IF(AU45&gt;0,ROUND(AU45+AT46-AS46,2),0)</f>
        <v>0</v>
      </c>
      <c r="AV46" s="24">
        <f>IF(AU45&gt;0,ROUND(AV45+ROUND(ROUND(AV45*100,0)*ROUND(AS$7*10000,0)/12000000,0)/100+0.02,2),0)</f>
        <v>0</v>
      </c>
    </row>
    <row r="47" spans="1:48" x14ac:dyDescent="0.25">
      <c r="A47" s="17" t="str">
        <f>IF(F47&gt;0,37,"")</f>
        <v/>
      </c>
      <c r="B47" s="18" t="str">
        <f>IF(F47&gt;0,EDATE($E$6,37),"")</f>
        <v/>
      </c>
      <c r="C47" s="21">
        <f>IF(H46&gt;0,MIN(IF(K46&gt;0,I$5,99),IF(O46&gt;0,M$5,99),IF(S46&gt;0,Q$5,99),IF(W46&gt;0,U$5,99),IF(AA46&gt;0,Y$5,99),IF(AE46&gt;0,AC$5,99),IF(AI46&gt;0,AG$5,99),IF(AM46&gt;0,AK$5,99),IF(AQ46&gt;0,AO$5,99),IF(AU46&gt;0,AS$5,99)),0)</f>
        <v>0</v>
      </c>
      <c r="D47" t="str">
        <f>IF(C47&gt;0,INDEX($I$4:$AV$4,1,MATCH(C47,$I$5:$AV$5,0)),"")</f>
        <v/>
      </c>
      <c r="E47" s="24">
        <f>ROUND(IF(AND(I$8&gt;0,K46=0),I$6,0)+IF(AND(M$8&gt;0,O46=0),M$6,0)+IF(AND(Q$8&gt;0,S46=0),Q$6,0)+IF(AND(U$8&gt;0,W46=0),U$6,0)+IF(AND(Y$8&gt;0,AA46=0),Y$6,0)+IF(AND(AC$8&gt;0,AE46=0),AC$6,0)+IF(AND(AG$8&gt;0,AI46=0),AG$6,0)+IF(AND(AK$8&gt;0,AM46=0),AK$6,0)+IF(AND(AO$8&gt;0,AQ46=0),AO$6,0)+IF(AND(AS$8&gt;0,AU46=0),AS$6,0),2)</f>
        <v>325</v>
      </c>
      <c r="F47" s="24">
        <f>ROUND(I47+M47+Q47+U47+Y47+AC47+AG47+AK47+AO47+AS47,2)</f>
        <v>0</v>
      </c>
      <c r="G47" s="24">
        <f>ROUND(J47+N47+R47+V47+Z47+AD47+AH47+AL47+AP47+AT47,2)</f>
        <v>0</v>
      </c>
      <c r="H47" s="24">
        <f>ROUND(K47+O47+S47+W47+AA47+AE47+AI47+AM47+AQ47+AU47,2)</f>
        <v>0</v>
      </c>
      <c r="I47" s="24">
        <f>IF(K46&gt;0,IF(AND(ROUND(K46+J47-ROUND(I$6+IF(I$5=$C47,$E$5+$E47,0),2),2)&gt;0,ROUND(K46+J47-ROUND(I$6+IF(I$5=$C47,$E$5+$E47,0),2),2)&lt;=L47,ROUND(K46+J47-ROUND(I$6+IF(I$5=$C47,$E$5+$E47,0),2),2)*10&lt;=ROUND(I$6+IF(I$5=$C47,$E$5+$E47,0),2)),ROUND(K46+J47,2),MIN(ROUND(I$6+IF(I$5=$C47,$E$5+$E47,0),2),ROUND(K46+J47,2))),0)</f>
        <v>0</v>
      </c>
      <c r="J47" s="24">
        <f>IF(K46&gt;0,ROUND(ROUND(K46*100,0)*ROUND(I$7*10000,0)/12000000,0)/100,0)</f>
        <v>0</v>
      </c>
      <c r="K47" s="24">
        <f>IF(K46&gt;0,ROUND(K46+J47-I47,2),0)</f>
        <v>0</v>
      </c>
      <c r="L47" s="24">
        <f>IF(K46&gt;0,ROUND(L46+ROUND(ROUND(L46*100,0)*ROUND(I$7*10000,0)/12000000,0)/100+0.02,2),0)</f>
        <v>0</v>
      </c>
      <c r="M47" s="24">
        <f>IF(O46&gt;0,IF(AND(ROUND(O46+N47-ROUND(M$6+IF(M$5=$C47,$E$5+$E47,0),2),2)&gt;0,ROUND(O46+N47-ROUND(M$6+IF(M$5=$C47,$E$5+$E47,0),2),2)&lt;=P47,ROUND(O46+N47-ROUND(M$6+IF(M$5=$C47,$E$5+$E47,0),2),2)*10&lt;=ROUND(M$6+IF(M$5=$C47,$E$5+$E47,0),2)),ROUND(O46+N47,2),MIN(ROUND(M$6+IF(M$5=$C47,$E$5+$E47,0),2),ROUND(O46+N47,2))),0)</f>
        <v>0</v>
      </c>
      <c r="N47" s="24">
        <f>IF(O46&gt;0,ROUND(ROUND(O46*100,0)*ROUND(M$7*10000,0)/12000000,0)/100,0)</f>
        <v>0</v>
      </c>
      <c r="O47" s="24">
        <f>IF(O46&gt;0,ROUND(O46+N47-M47,2),0)</f>
        <v>0</v>
      </c>
      <c r="P47" s="24">
        <f>IF(O46&gt;0,ROUND(P46+ROUND(ROUND(P46*100,0)*ROUND(M$7*10000,0)/12000000,0)/100+0.02,2),0)</f>
        <v>0</v>
      </c>
      <c r="Q47" s="24">
        <f>IF(S46&gt;0,IF(AND(ROUND(S46+R47-ROUND(Q$6+IF(Q$5=$C47,$E$5+$E47,0),2),2)&gt;0,ROUND(S46+R47-ROUND(Q$6+IF(Q$5=$C47,$E$5+$E47,0),2),2)&lt;=T47,ROUND(S46+R47-ROUND(Q$6+IF(Q$5=$C47,$E$5+$E47,0),2),2)*10&lt;=ROUND(Q$6+IF(Q$5=$C47,$E$5+$E47,0),2)),ROUND(S46+R47,2),MIN(ROUND(Q$6+IF(Q$5=$C47,$E$5+$E47,0),2),ROUND(S46+R47,2))),0)</f>
        <v>0</v>
      </c>
      <c r="R47" s="24">
        <f>IF(S46&gt;0,ROUND(ROUND(S46*100,0)*ROUND(Q$7*10000,0)/12000000,0)/100,0)</f>
        <v>0</v>
      </c>
      <c r="S47" s="24">
        <f>IF(S46&gt;0,ROUND(S46+R47-Q47,2),0)</f>
        <v>0</v>
      </c>
      <c r="T47" s="24">
        <f>IF(S46&gt;0,ROUND(T46+ROUND(ROUND(T46*100,0)*ROUND(Q$7*10000,0)/12000000,0)/100+0.02,2),0)</f>
        <v>0</v>
      </c>
      <c r="U47" s="24">
        <f>IF(W46&gt;0,IF(AND(ROUND(W46+V47-ROUND(U$6+IF(U$5=$C47,$E$5+$E47,0),2),2)&gt;0,ROUND(W46+V47-ROUND(U$6+IF(U$5=$C47,$E$5+$E47,0),2),2)&lt;=X47,ROUND(W46+V47-ROUND(U$6+IF(U$5=$C47,$E$5+$E47,0),2),2)*10&lt;=ROUND(U$6+IF(U$5=$C47,$E$5+$E47,0),2)),ROUND(W46+V47,2),MIN(ROUND(U$6+IF(U$5=$C47,$E$5+$E47,0),2),ROUND(W46+V47,2))),0)</f>
        <v>0</v>
      </c>
      <c r="V47" s="24">
        <f>IF(W46&gt;0,ROUND(ROUND(W46*100,0)*ROUND(U$7*10000,0)/12000000,0)/100,0)</f>
        <v>0</v>
      </c>
      <c r="W47" s="24">
        <f>IF(W46&gt;0,ROUND(W46+V47-U47,2),0)</f>
        <v>0</v>
      </c>
      <c r="X47" s="24">
        <f>IF(W46&gt;0,ROUND(X46+ROUND(ROUND(X46*100,0)*ROUND(U$7*10000,0)/12000000,0)/100+0.02,2),0)</f>
        <v>0</v>
      </c>
      <c r="Y47" s="24">
        <f>IF(AA46&gt;0,IF(AND(ROUND(AA46+Z47-ROUND(Y$6+IF(Y$5=$C47,$E$5+$E47,0),2),2)&gt;0,ROUND(AA46+Z47-ROUND(Y$6+IF(Y$5=$C47,$E$5+$E47,0),2),2)&lt;=AB47,ROUND(AA46+Z47-ROUND(Y$6+IF(Y$5=$C47,$E$5+$E47,0),2),2)*10&lt;=ROUND(Y$6+IF(Y$5=$C47,$E$5+$E47,0),2)),ROUND(AA46+Z47,2),MIN(ROUND(Y$6+IF(Y$5=$C47,$E$5+$E47,0),2),ROUND(AA46+Z47,2))),0)</f>
        <v>0</v>
      </c>
      <c r="Z47" s="24">
        <f>IF(AA46&gt;0,ROUND(ROUND(AA46*100,0)*ROUND(Y$7*10000,0)/12000000,0)/100,0)</f>
        <v>0</v>
      </c>
      <c r="AA47" s="24">
        <f>IF(AA46&gt;0,ROUND(AA46+Z47-Y47,2),0)</f>
        <v>0</v>
      </c>
      <c r="AB47" s="24">
        <f>IF(AA46&gt;0,ROUND(AB46+ROUND(ROUND(AB46*100,0)*ROUND(Y$7*10000,0)/12000000,0)/100+0.02,2),0)</f>
        <v>0</v>
      </c>
      <c r="AC47" s="24">
        <f>IF(AE46&gt;0,IF(AND(ROUND(AE46+AD47-ROUND(AC$6+IF(AC$5=$C47,$E$5+$E47,0),2),2)&gt;0,ROUND(AE46+AD47-ROUND(AC$6+IF(AC$5=$C47,$E$5+$E47,0),2),2)&lt;=AF47,ROUND(AE46+AD47-ROUND(AC$6+IF(AC$5=$C47,$E$5+$E47,0),2),2)*10&lt;=ROUND(AC$6+IF(AC$5=$C47,$E$5+$E47,0),2)),ROUND(AE46+AD47,2),MIN(ROUND(AC$6+IF(AC$5=$C47,$E$5+$E47,0),2),ROUND(AE46+AD47,2))),0)</f>
        <v>0</v>
      </c>
      <c r="AD47" s="24">
        <f>IF(AE46&gt;0,ROUND(ROUND(AE46*100,0)*ROUND(AC$7*10000,0)/12000000,0)/100,0)</f>
        <v>0</v>
      </c>
      <c r="AE47" s="24">
        <f>IF(AE46&gt;0,ROUND(AE46+AD47-AC47,2),0)</f>
        <v>0</v>
      </c>
      <c r="AF47" s="24">
        <f>IF(AE46&gt;0,ROUND(AF46+ROUND(ROUND(AF46*100,0)*ROUND(AC$7*10000,0)/12000000,0)/100+0.02,2),0)</f>
        <v>0</v>
      </c>
      <c r="AG47" s="24">
        <f>IF(AI46&gt;0,IF(AND(ROUND(AI46+AH47-ROUND(AG$6+IF(AG$5=$C47,$E$5+$E47,0),2),2)&gt;0,ROUND(AI46+AH47-ROUND(AG$6+IF(AG$5=$C47,$E$5+$E47,0),2),2)&lt;=AJ47,ROUND(AI46+AH47-ROUND(AG$6+IF(AG$5=$C47,$E$5+$E47,0),2),2)*10&lt;=ROUND(AG$6+IF(AG$5=$C47,$E$5+$E47,0),2)),ROUND(AI46+AH47,2),MIN(ROUND(AG$6+IF(AG$5=$C47,$E$5+$E47,0),2),ROUND(AI46+AH47,2))),0)</f>
        <v>0</v>
      </c>
      <c r="AH47" s="24">
        <f>IF(AI46&gt;0,ROUND(ROUND(AI46*100,0)*ROUND(AG$7*10000,0)/12000000,0)/100,0)</f>
        <v>0</v>
      </c>
      <c r="AI47" s="24">
        <f>IF(AI46&gt;0,ROUND(AI46+AH47-AG47,2),0)</f>
        <v>0</v>
      </c>
      <c r="AJ47" s="24">
        <f>IF(AI46&gt;0,ROUND(AJ46+ROUND(ROUND(AJ46*100,0)*ROUND(AG$7*10000,0)/12000000,0)/100+0.02,2),0)</f>
        <v>0</v>
      </c>
      <c r="AK47" s="24">
        <f>IF(AM46&gt;0,IF(AND(ROUND(AM46+AL47-ROUND(AK$6+IF(AK$5=$C47,$E$5+$E47,0),2),2)&gt;0,ROUND(AM46+AL47-ROUND(AK$6+IF(AK$5=$C47,$E$5+$E47,0),2),2)&lt;=AN47,ROUND(AM46+AL47-ROUND(AK$6+IF(AK$5=$C47,$E$5+$E47,0),2),2)*10&lt;=ROUND(AK$6+IF(AK$5=$C47,$E$5+$E47,0),2)),ROUND(AM46+AL47,2),MIN(ROUND(AK$6+IF(AK$5=$C47,$E$5+$E47,0),2),ROUND(AM46+AL47,2))),0)</f>
        <v>0</v>
      </c>
      <c r="AL47" s="24">
        <f>IF(AM46&gt;0,ROUND(ROUND(AM46*100,0)*ROUND(AK$7*10000,0)/12000000,0)/100,0)</f>
        <v>0</v>
      </c>
      <c r="AM47" s="24">
        <f>IF(AM46&gt;0,ROUND(AM46+AL47-AK47,2),0)</f>
        <v>0</v>
      </c>
      <c r="AN47" s="24">
        <f>IF(AM46&gt;0,ROUND(AN46+ROUND(ROUND(AN46*100,0)*ROUND(AK$7*10000,0)/12000000,0)/100+0.02,2),0)</f>
        <v>0</v>
      </c>
      <c r="AO47" s="24">
        <f>IF(AQ46&gt;0,IF(AND(ROUND(AQ46+AP47-ROUND(AO$6+IF(AO$5=$C47,$E$5+$E47,0),2),2)&gt;0,ROUND(AQ46+AP47-ROUND(AO$6+IF(AO$5=$C47,$E$5+$E47,0),2),2)&lt;=AR47,ROUND(AQ46+AP47-ROUND(AO$6+IF(AO$5=$C47,$E$5+$E47,0),2),2)*10&lt;=ROUND(AO$6+IF(AO$5=$C47,$E$5+$E47,0),2)),ROUND(AQ46+AP47,2),MIN(ROUND(AO$6+IF(AO$5=$C47,$E$5+$E47,0),2),ROUND(AQ46+AP47,2))),0)</f>
        <v>0</v>
      </c>
      <c r="AP47" s="24">
        <f>IF(AQ46&gt;0,ROUND(ROUND(AQ46*100,0)*ROUND(AO$7*10000,0)/12000000,0)/100,0)</f>
        <v>0</v>
      </c>
      <c r="AQ47" s="24">
        <f>IF(AQ46&gt;0,ROUND(AQ46+AP47-AO47,2),0)</f>
        <v>0</v>
      </c>
      <c r="AR47" s="24">
        <f>IF(AQ46&gt;0,ROUND(AR46+ROUND(ROUND(AR46*100,0)*ROUND(AO$7*10000,0)/12000000,0)/100+0.02,2),0)</f>
        <v>0</v>
      </c>
      <c r="AS47" s="24">
        <f>IF(AU46&gt;0,IF(AND(ROUND(AU46+AT47-ROUND(AS$6+IF(AS$5=$C47,$E$5+$E47,0),2),2)&gt;0,ROUND(AU46+AT47-ROUND(AS$6+IF(AS$5=$C47,$E$5+$E47,0),2),2)&lt;=AV47,ROUND(AU46+AT47-ROUND(AS$6+IF(AS$5=$C47,$E$5+$E47,0),2),2)*10&lt;=ROUND(AS$6+IF(AS$5=$C47,$E$5+$E47,0),2)),ROUND(AU46+AT47,2),MIN(ROUND(AS$6+IF(AS$5=$C47,$E$5+$E47,0),2),ROUND(AU46+AT47,2))),0)</f>
        <v>0</v>
      </c>
      <c r="AT47" s="24">
        <f>IF(AU46&gt;0,ROUND(ROUND(AU46*100,0)*ROUND(AS$7*10000,0)/12000000,0)/100,0)</f>
        <v>0</v>
      </c>
      <c r="AU47" s="24">
        <f>IF(AU46&gt;0,ROUND(AU46+AT47-AS47,2),0)</f>
        <v>0</v>
      </c>
      <c r="AV47" s="24">
        <f>IF(AU46&gt;0,ROUND(AV46+ROUND(ROUND(AV46*100,0)*ROUND(AS$7*10000,0)/12000000,0)/100+0.02,2),0)</f>
        <v>0</v>
      </c>
    </row>
    <row r="48" spans="1:48" x14ac:dyDescent="0.25">
      <c r="A48" s="17" t="str">
        <f>IF(F48&gt;0,38,"")</f>
        <v/>
      </c>
      <c r="B48" s="18" t="str">
        <f>IF(F48&gt;0,EDATE($E$6,38),"")</f>
        <v/>
      </c>
      <c r="C48" s="21">
        <f>IF(H47&gt;0,MIN(IF(K47&gt;0,I$5,99),IF(O47&gt;0,M$5,99),IF(S47&gt;0,Q$5,99),IF(W47&gt;0,U$5,99),IF(AA47&gt;0,Y$5,99),IF(AE47&gt;0,AC$5,99),IF(AI47&gt;0,AG$5,99),IF(AM47&gt;0,AK$5,99),IF(AQ47&gt;0,AO$5,99),IF(AU47&gt;0,AS$5,99)),0)</f>
        <v>0</v>
      </c>
      <c r="D48" t="str">
        <f>IF(C48&gt;0,INDEX($I$4:$AV$4,1,MATCH(C48,$I$5:$AV$5,0)),"")</f>
        <v/>
      </c>
      <c r="E48" s="24">
        <f>ROUND(IF(AND(I$8&gt;0,K47=0),I$6,0)+IF(AND(M$8&gt;0,O47=0),M$6,0)+IF(AND(Q$8&gt;0,S47=0),Q$6,0)+IF(AND(U$8&gt;0,W47=0),U$6,0)+IF(AND(Y$8&gt;0,AA47=0),Y$6,0)+IF(AND(AC$8&gt;0,AE47=0),AC$6,0)+IF(AND(AG$8&gt;0,AI47=0),AG$6,0)+IF(AND(AK$8&gt;0,AM47=0),AK$6,0)+IF(AND(AO$8&gt;0,AQ47=0),AO$6,0)+IF(AND(AS$8&gt;0,AU47=0),AS$6,0),2)</f>
        <v>325</v>
      </c>
      <c r="F48" s="24">
        <f>ROUND(I48+M48+Q48+U48+Y48+AC48+AG48+AK48+AO48+AS48,2)</f>
        <v>0</v>
      </c>
      <c r="G48" s="24">
        <f>ROUND(J48+N48+R48+V48+Z48+AD48+AH48+AL48+AP48+AT48,2)</f>
        <v>0</v>
      </c>
      <c r="H48" s="24">
        <f>ROUND(K48+O48+S48+W48+AA48+AE48+AI48+AM48+AQ48+AU48,2)</f>
        <v>0</v>
      </c>
      <c r="I48" s="24">
        <f>IF(K47&gt;0,IF(AND(ROUND(K47+J48-ROUND(I$6+IF(I$5=$C48,$E$5+$E48,0),2),2)&gt;0,ROUND(K47+J48-ROUND(I$6+IF(I$5=$C48,$E$5+$E48,0),2),2)&lt;=L48,ROUND(K47+J48-ROUND(I$6+IF(I$5=$C48,$E$5+$E48,0),2),2)*10&lt;=ROUND(I$6+IF(I$5=$C48,$E$5+$E48,0),2)),ROUND(K47+J48,2),MIN(ROUND(I$6+IF(I$5=$C48,$E$5+$E48,0),2),ROUND(K47+J48,2))),0)</f>
        <v>0</v>
      </c>
      <c r="J48" s="24">
        <f>IF(K47&gt;0,ROUND(ROUND(K47*100,0)*ROUND(I$7*10000,0)/12000000,0)/100,0)</f>
        <v>0</v>
      </c>
      <c r="K48" s="24">
        <f>IF(K47&gt;0,ROUND(K47+J48-I48,2),0)</f>
        <v>0</v>
      </c>
      <c r="L48" s="24">
        <f>IF(K47&gt;0,ROUND(L47+ROUND(ROUND(L47*100,0)*ROUND(I$7*10000,0)/12000000,0)/100+0.02,2),0)</f>
        <v>0</v>
      </c>
      <c r="M48" s="24">
        <f>IF(O47&gt;0,IF(AND(ROUND(O47+N48-ROUND(M$6+IF(M$5=$C48,$E$5+$E48,0),2),2)&gt;0,ROUND(O47+N48-ROUND(M$6+IF(M$5=$C48,$E$5+$E48,0),2),2)&lt;=P48,ROUND(O47+N48-ROUND(M$6+IF(M$5=$C48,$E$5+$E48,0),2),2)*10&lt;=ROUND(M$6+IF(M$5=$C48,$E$5+$E48,0),2)),ROUND(O47+N48,2),MIN(ROUND(M$6+IF(M$5=$C48,$E$5+$E48,0),2),ROUND(O47+N48,2))),0)</f>
        <v>0</v>
      </c>
      <c r="N48" s="24">
        <f>IF(O47&gt;0,ROUND(ROUND(O47*100,0)*ROUND(M$7*10000,0)/12000000,0)/100,0)</f>
        <v>0</v>
      </c>
      <c r="O48" s="24">
        <f>IF(O47&gt;0,ROUND(O47+N48-M48,2),0)</f>
        <v>0</v>
      </c>
      <c r="P48" s="24">
        <f>IF(O47&gt;0,ROUND(P47+ROUND(ROUND(P47*100,0)*ROUND(M$7*10000,0)/12000000,0)/100+0.02,2),0)</f>
        <v>0</v>
      </c>
      <c r="Q48" s="24">
        <f>IF(S47&gt;0,IF(AND(ROUND(S47+R48-ROUND(Q$6+IF(Q$5=$C48,$E$5+$E48,0),2),2)&gt;0,ROUND(S47+R48-ROUND(Q$6+IF(Q$5=$C48,$E$5+$E48,0),2),2)&lt;=T48,ROUND(S47+R48-ROUND(Q$6+IF(Q$5=$C48,$E$5+$E48,0),2),2)*10&lt;=ROUND(Q$6+IF(Q$5=$C48,$E$5+$E48,0),2)),ROUND(S47+R48,2),MIN(ROUND(Q$6+IF(Q$5=$C48,$E$5+$E48,0),2),ROUND(S47+R48,2))),0)</f>
        <v>0</v>
      </c>
      <c r="R48" s="24">
        <f>IF(S47&gt;0,ROUND(ROUND(S47*100,0)*ROUND(Q$7*10000,0)/12000000,0)/100,0)</f>
        <v>0</v>
      </c>
      <c r="S48" s="24">
        <f>IF(S47&gt;0,ROUND(S47+R48-Q48,2),0)</f>
        <v>0</v>
      </c>
      <c r="T48" s="24">
        <f>IF(S47&gt;0,ROUND(T47+ROUND(ROUND(T47*100,0)*ROUND(Q$7*10000,0)/12000000,0)/100+0.02,2),0)</f>
        <v>0</v>
      </c>
      <c r="U48" s="24">
        <f>IF(W47&gt;0,IF(AND(ROUND(W47+V48-ROUND(U$6+IF(U$5=$C48,$E$5+$E48,0),2),2)&gt;0,ROUND(W47+V48-ROUND(U$6+IF(U$5=$C48,$E$5+$E48,0),2),2)&lt;=X48,ROUND(W47+V48-ROUND(U$6+IF(U$5=$C48,$E$5+$E48,0),2),2)*10&lt;=ROUND(U$6+IF(U$5=$C48,$E$5+$E48,0),2)),ROUND(W47+V48,2),MIN(ROUND(U$6+IF(U$5=$C48,$E$5+$E48,0),2),ROUND(W47+V48,2))),0)</f>
        <v>0</v>
      </c>
      <c r="V48" s="24">
        <f>IF(W47&gt;0,ROUND(ROUND(W47*100,0)*ROUND(U$7*10000,0)/12000000,0)/100,0)</f>
        <v>0</v>
      </c>
      <c r="W48" s="24">
        <f>IF(W47&gt;0,ROUND(W47+V48-U48,2),0)</f>
        <v>0</v>
      </c>
      <c r="X48" s="24">
        <f>IF(W47&gt;0,ROUND(X47+ROUND(ROUND(X47*100,0)*ROUND(U$7*10000,0)/12000000,0)/100+0.02,2),0)</f>
        <v>0</v>
      </c>
      <c r="Y48" s="24">
        <f>IF(AA47&gt;0,IF(AND(ROUND(AA47+Z48-ROUND(Y$6+IF(Y$5=$C48,$E$5+$E48,0),2),2)&gt;0,ROUND(AA47+Z48-ROUND(Y$6+IF(Y$5=$C48,$E$5+$E48,0),2),2)&lt;=AB48,ROUND(AA47+Z48-ROUND(Y$6+IF(Y$5=$C48,$E$5+$E48,0),2),2)*10&lt;=ROUND(Y$6+IF(Y$5=$C48,$E$5+$E48,0),2)),ROUND(AA47+Z48,2),MIN(ROUND(Y$6+IF(Y$5=$C48,$E$5+$E48,0),2),ROUND(AA47+Z48,2))),0)</f>
        <v>0</v>
      </c>
      <c r="Z48" s="24">
        <f>IF(AA47&gt;0,ROUND(ROUND(AA47*100,0)*ROUND(Y$7*10000,0)/12000000,0)/100,0)</f>
        <v>0</v>
      </c>
      <c r="AA48" s="24">
        <f>IF(AA47&gt;0,ROUND(AA47+Z48-Y48,2),0)</f>
        <v>0</v>
      </c>
      <c r="AB48" s="24">
        <f>IF(AA47&gt;0,ROUND(AB47+ROUND(ROUND(AB47*100,0)*ROUND(Y$7*10000,0)/12000000,0)/100+0.02,2),0)</f>
        <v>0</v>
      </c>
      <c r="AC48" s="24">
        <f>IF(AE47&gt;0,IF(AND(ROUND(AE47+AD48-ROUND(AC$6+IF(AC$5=$C48,$E$5+$E48,0),2),2)&gt;0,ROUND(AE47+AD48-ROUND(AC$6+IF(AC$5=$C48,$E$5+$E48,0),2),2)&lt;=AF48,ROUND(AE47+AD48-ROUND(AC$6+IF(AC$5=$C48,$E$5+$E48,0),2),2)*10&lt;=ROUND(AC$6+IF(AC$5=$C48,$E$5+$E48,0),2)),ROUND(AE47+AD48,2),MIN(ROUND(AC$6+IF(AC$5=$C48,$E$5+$E48,0),2),ROUND(AE47+AD48,2))),0)</f>
        <v>0</v>
      </c>
      <c r="AD48" s="24">
        <f>IF(AE47&gt;0,ROUND(ROUND(AE47*100,0)*ROUND(AC$7*10000,0)/12000000,0)/100,0)</f>
        <v>0</v>
      </c>
      <c r="AE48" s="24">
        <f>IF(AE47&gt;0,ROUND(AE47+AD48-AC48,2),0)</f>
        <v>0</v>
      </c>
      <c r="AF48" s="24">
        <f>IF(AE47&gt;0,ROUND(AF47+ROUND(ROUND(AF47*100,0)*ROUND(AC$7*10000,0)/12000000,0)/100+0.02,2),0)</f>
        <v>0</v>
      </c>
      <c r="AG48" s="24">
        <f>IF(AI47&gt;0,IF(AND(ROUND(AI47+AH48-ROUND(AG$6+IF(AG$5=$C48,$E$5+$E48,0),2),2)&gt;0,ROUND(AI47+AH48-ROUND(AG$6+IF(AG$5=$C48,$E$5+$E48,0),2),2)&lt;=AJ48,ROUND(AI47+AH48-ROUND(AG$6+IF(AG$5=$C48,$E$5+$E48,0),2),2)*10&lt;=ROUND(AG$6+IF(AG$5=$C48,$E$5+$E48,0),2)),ROUND(AI47+AH48,2),MIN(ROUND(AG$6+IF(AG$5=$C48,$E$5+$E48,0),2),ROUND(AI47+AH48,2))),0)</f>
        <v>0</v>
      </c>
      <c r="AH48" s="24">
        <f>IF(AI47&gt;0,ROUND(ROUND(AI47*100,0)*ROUND(AG$7*10000,0)/12000000,0)/100,0)</f>
        <v>0</v>
      </c>
      <c r="AI48" s="24">
        <f>IF(AI47&gt;0,ROUND(AI47+AH48-AG48,2),0)</f>
        <v>0</v>
      </c>
      <c r="AJ48" s="24">
        <f>IF(AI47&gt;0,ROUND(AJ47+ROUND(ROUND(AJ47*100,0)*ROUND(AG$7*10000,0)/12000000,0)/100+0.02,2),0)</f>
        <v>0</v>
      </c>
      <c r="AK48" s="24">
        <f>IF(AM47&gt;0,IF(AND(ROUND(AM47+AL48-ROUND(AK$6+IF(AK$5=$C48,$E$5+$E48,0),2),2)&gt;0,ROUND(AM47+AL48-ROUND(AK$6+IF(AK$5=$C48,$E$5+$E48,0),2),2)&lt;=AN48,ROUND(AM47+AL48-ROUND(AK$6+IF(AK$5=$C48,$E$5+$E48,0),2),2)*10&lt;=ROUND(AK$6+IF(AK$5=$C48,$E$5+$E48,0),2)),ROUND(AM47+AL48,2),MIN(ROUND(AK$6+IF(AK$5=$C48,$E$5+$E48,0),2),ROUND(AM47+AL48,2))),0)</f>
        <v>0</v>
      </c>
      <c r="AL48" s="24">
        <f>IF(AM47&gt;0,ROUND(ROUND(AM47*100,0)*ROUND(AK$7*10000,0)/12000000,0)/100,0)</f>
        <v>0</v>
      </c>
      <c r="AM48" s="24">
        <f>IF(AM47&gt;0,ROUND(AM47+AL48-AK48,2),0)</f>
        <v>0</v>
      </c>
      <c r="AN48" s="24">
        <f>IF(AM47&gt;0,ROUND(AN47+ROUND(ROUND(AN47*100,0)*ROUND(AK$7*10000,0)/12000000,0)/100+0.02,2),0)</f>
        <v>0</v>
      </c>
      <c r="AO48" s="24">
        <f>IF(AQ47&gt;0,IF(AND(ROUND(AQ47+AP48-ROUND(AO$6+IF(AO$5=$C48,$E$5+$E48,0),2),2)&gt;0,ROUND(AQ47+AP48-ROUND(AO$6+IF(AO$5=$C48,$E$5+$E48,0),2),2)&lt;=AR48,ROUND(AQ47+AP48-ROUND(AO$6+IF(AO$5=$C48,$E$5+$E48,0),2),2)*10&lt;=ROUND(AO$6+IF(AO$5=$C48,$E$5+$E48,0),2)),ROUND(AQ47+AP48,2),MIN(ROUND(AO$6+IF(AO$5=$C48,$E$5+$E48,0),2),ROUND(AQ47+AP48,2))),0)</f>
        <v>0</v>
      </c>
      <c r="AP48" s="24">
        <f>IF(AQ47&gt;0,ROUND(ROUND(AQ47*100,0)*ROUND(AO$7*10000,0)/12000000,0)/100,0)</f>
        <v>0</v>
      </c>
      <c r="AQ48" s="24">
        <f>IF(AQ47&gt;0,ROUND(AQ47+AP48-AO48,2),0)</f>
        <v>0</v>
      </c>
      <c r="AR48" s="24">
        <f>IF(AQ47&gt;0,ROUND(AR47+ROUND(ROUND(AR47*100,0)*ROUND(AO$7*10000,0)/12000000,0)/100+0.02,2),0)</f>
        <v>0</v>
      </c>
      <c r="AS48" s="24">
        <f>IF(AU47&gt;0,IF(AND(ROUND(AU47+AT48-ROUND(AS$6+IF(AS$5=$C48,$E$5+$E48,0),2),2)&gt;0,ROUND(AU47+AT48-ROUND(AS$6+IF(AS$5=$C48,$E$5+$E48,0),2),2)&lt;=AV48,ROUND(AU47+AT48-ROUND(AS$6+IF(AS$5=$C48,$E$5+$E48,0),2),2)*10&lt;=ROUND(AS$6+IF(AS$5=$C48,$E$5+$E48,0),2)),ROUND(AU47+AT48,2),MIN(ROUND(AS$6+IF(AS$5=$C48,$E$5+$E48,0),2),ROUND(AU47+AT48,2))),0)</f>
        <v>0</v>
      </c>
      <c r="AT48" s="24">
        <f>IF(AU47&gt;0,ROUND(ROUND(AU47*100,0)*ROUND(AS$7*10000,0)/12000000,0)/100,0)</f>
        <v>0</v>
      </c>
      <c r="AU48" s="24">
        <f>IF(AU47&gt;0,ROUND(AU47+AT48-AS48,2),0)</f>
        <v>0</v>
      </c>
      <c r="AV48" s="24">
        <f>IF(AU47&gt;0,ROUND(AV47+ROUND(ROUND(AV47*100,0)*ROUND(AS$7*10000,0)/12000000,0)/100+0.02,2),0)</f>
        <v>0</v>
      </c>
    </row>
    <row r="49" spans="1:48" x14ac:dyDescent="0.25">
      <c r="A49" s="17" t="str">
        <f>IF(F49&gt;0,39,"")</f>
        <v/>
      </c>
      <c r="B49" s="18" t="str">
        <f>IF(F49&gt;0,EDATE($E$6,39),"")</f>
        <v/>
      </c>
      <c r="C49" s="21">
        <f>IF(H48&gt;0,MIN(IF(K48&gt;0,I$5,99),IF(O48&gt;0,M$5,99),IF(S48&gt;0,Q$5,99),IF(W48&gt;0,U$5,99),IF(AA48&gt;0,Y$5,99),IF(AE48&gt;0,AC$5,99),IF(AI48&gt;0,AG$5,99),IF(AM48&gt;0,AK$5,99),IF(AQ48&gt;0,AO$5,99),IF(AU48&gt;0,AS$5,99)),0)</f>
        <v>0</v>
      </c>
      <c r="D49" t="str">
        <f>IF(C49&gt;0,INDEX($I$4:$AV$4,1,MATCH(C49,$I$5:$AV$5,0)),"")</f>
        <v/>
      </c>
      <c r="E49" s="24">
        <f>ROUND(IF(AND(I$8&gt;0,K48=0),I$6,0)+IF(AND(M$8&gt;0,O48=0),M$6,0)+IF(AND(Q$8&gt;0,S48=0),Q$6,0)+IF(AND(U$8&gt;0,W48=0),U$6,0)+IF(AND(Y$8&gt;0,AA48=0),Y$6,0)+IF(AND(AC$8&gt;0,AE48=0),AC$6,0)+IF(AND(AG$8&gt;0,AI48=0),AG$6,0)+IF(AND(AK$8&gt;0,AM48=0),AK$6,0)+IF(AND(AO$8&gt;0,AQ48=0),AO$6,0)+IF(AND(AS$8&gt;0,AU48=0),AS$6,0),2)</f>
        <v>325</v>
      </c>
      <c r="F49" s="24">
        <f>ROUND(I49+M49+Q49+U49+Y49+AC49+AG49+AK49+AO49+AS49,2)</f>
        <v>0</v>
      </c>
      <c r="G49" s="24">
        <f>ROUND(J49+N49+R49+V49+Z49+AD49+AH49+AL49+AP49+AT49,2)</f>
        <v>0</v>
      </c>
      <c r="H49" s="24">
        <f>ROUND(K49+O49+S49+W49+AA49+AE49+AI49+AM49+AQ49+AU49,2)</f>
        <v>0</v>
      </c>
      <c r="I49" s="24">
        <f>IF(K48&gt;0,IF(AND(ROUND(K48+J49-ROUND(I$6+IF(I$5=$C49,$E$5+$E49,0),2),2)&gt;0,ROUND(K48+J49-ROUND(I$6+IF(I$5=$C49,$E$5+$E49,0),2),2)&lt;=L49,ROUND(K48+J49-ROUND(I$6+IF(I$5=$C49,$E$5+$E49,0),2),2)*10&lt;=ROUND(I$6+IF(I$5=$C49,$E$5+$E49,0),2)),ROUND(K48+J49,2),MIN(ROUND(I$6+IF(I$5=$C49,$E$5+$E49,0),2),ROUND(K48+J49,2))),0)</f>
        <v>0</v>
      </c>
      <c r="J49" s="24">
        <f>IF(K48&gt;0,ROUND(ROUND(K48*100,0)*ROUND(I$7*10000,0)/12000000,0)/100,0)</f>
        <v>0</v>
      </c>
      <c r="K49" s="24">
        <f>IF(K48&gt;0,ROUND(K48+J49-I49,2),0)</f>
        <v>0</v>
      </c>
      <c r="L49" s="24">
        <f>IF(K48&gt;0,ROUND(L48+ROUND(ROUND(L48*100,0)*ROUND(I$7*10000,0)/12000000,0)/100+0.02,2),0)</f>
        <v>0</v>
      </c>
      <c r="M49" s="24">
        <f>IF(O48&gt;0,IF(AND(ROUND(O48+N49-ROUND(M$6+IF(M$5=$C49,$E$5+$E49,0),2),2)&gt;0,ROUND(O48+N49-ROUND(M$6+IF(M$5=$C49,$E$5+$E49,0),2),2)&lt;=P49,ROUND(O48+N49-ROUND(M$6+IF(M$5=$C49,$E$5+$E49,0),2),2)*10&lt;=ROUND(M$6+IF(M$5=$C49,$E$5+$E49,0),2)),ROUND(O48+N49,2),MIN(ROUND(M$6+IF(M$5=$C49,$E$5+$E49,0),2),ROUND(O48+N49,2))),0)</f>
        <v>0</v>
      </c>
      <c r="N49" s="24">
        <f>IF(O48&gt;0,ROUND(ROUND(O48*100,0)*ROUND(M$7*10000,0)/12000000,0)/100,0)</f>
        <v>0</v>
      </c>
      <c r="O49" s="24">
        <f>IF(O48&gt;0,ROUND(O48+N49-M49,2),0)</f>
        <v>0</v>
      </c>
      <c r="P49" s="24">
        <f>IF(O48&gt;0,ROUND(P48+ROUND(ROUND(P48*100,0)*ROUND(M$7*10000,0)/12000000,0)/100+0.02,2),0)</f>
        <v>0</v>
      </c>
      <c r="Q49" s="24">
        <f>IF(S48&gt;0,IF(AND(ROUND(S48+R49-ROUND(Q$6+IF(Q$5=$C49,$E$5+$E49,0),2),2)&gt;0,ROUND(S48+R49-ROUND(Q$6+IF(Q$5=$C49,$E$5+$E49,0),2),2)&lt;=T49,ROUND(S48+R49-ROUND(Q$6+IF(Q$5=$C49,$E$5+$E49,0),2),2)*10&lt;=ROUND(Q$6+IF(Q$5=$C49,$E$5+$E49,0),2)),ROUND(S48+R49,2),MIN(ROUND(Q$6+IF(Q$5=$C49,$E$5+$E49,0),2),ROUND(S48+R49,2))),0)</f>
        <v>0</v>
      </c>
      <c r="R49" s="24">
        <f>IF(S48&gt;0,ROUND(ROUND(S48*100,0)*ROUND(Q$7*10000,0)/12000000,0)/100,0)</f>
        <v>0</v>
      </c>
      <c r="S49" s="24">
        <f>IF(S48&gt;0,ROUND(S48+R49-Q49,2),0)</f>
        <v>0</v>
      </c>
      <c r="T49" s="24">
        <f>IF(S48&gt;0,ROUND(T48+ROUND(ROUND(T48*100,0)*ROUND(Q$7*10000,0)/12000000,0)/100+0.02,2),0)</f>
        <v>0</v>
      </c>
      <c r="U49" s="24">
        <f>IF(W48&gt;0,IF(AND(ROUND(W48+V49-ROUND(U$6+IF(U$5=$C49,$E$5+$E49,0),2),2)&gt;0,ROUND(W48+V49-ROUND(U$6+IF(U$5=$C49,$E$5+$E49,0),2),2)&lt;=X49,ROUND(W48+V49-ROUND(U$6+IF(U$5=$C49,$E$5+$E49,0),2),2)*10&lt;=ROUND(U$6+IF(U$5=$C49,$E$5+$E49,0),2)),ROUND(W48+V49,2),MIN(ROUND(U$6+IF(U$5=$C49,$E$5+$E49,0),2),ROUND(W48+V49,2))),0)</f>
        <v>0</v>
      </c>
      <c r="V49" s="24">
        <f>IF(W48&gt;0,ROUND(ROUND(W48*100,0)*ROUND(U$7*10000,0)/12000000,0)/100,0)</f>
        <v>0</v>
      </c>
      <c r="W49" s="24">
        <f>IF(W48&gt;0,ROUND(W48+V49-U49,2),0)</f>
        <v>0</v>
      </c>
      <c r="X49" s="24">
        <f>IF(W48&gt;0,ROUND(X48+ROUND(ROUND(X48*100,0)*ROUND(U$7*10000,0)/12000000,0)/100+0.02,2),0)</f>
        <v>0</v>
      </c>
      <c r="Y49" s="24">
        <f>IF(AA48&gt;0,IF(AND(ROUND(AA48+Z49-ROUND(Y$6+IF(Y$5=$C49,$E$5+$E49,0),2),2)&gt;0,ROUND(AA48+Z49-ROUND(Y$6+IF(Y$5=$C49,$E$5+$E49,0),2),2)&lt;=AB49,ROUND(AA48+Z49-ROUND(Y$6+IF(Y$5=$C49,$E$5+$E49,0),2),2)*10&lt;=ROUND(Y$6+IF(Y$5=$C49,$E$5+$E49,0),2)),ROUND(AA48+Z49,2),MIN(ROUND(Y$6+IF(Y$5=$C49,$E$5+$E49,0),2),ROUND(AA48+Z49,2))),0)</f>
        <v>0</v>
      </c>
      <c r="Z49" s="24">
        <f>IF(AA48&gt;0,ROUND(ROUND(AA48*100,0)*ROUND(Y$7*10000,0)/12000000,0)/100,0)</f>
        <v>0</v>
      </c>
      <c r="AA49" s="24">
        <f>IF(AA48&gt;0,ROUND(AA48+Z49-Y49,2),0)</f>
        <v>0</v>
      </c>
      <c r="AB49" s="24">
        <f>IF(AA48&gt;0,ROUND(AB48+ROUND(ROUND(AB48*100,0)*ROUND(Y$7*10000,0)/12000000,0)/100+0.02,2),0)</f>
        <v>0</v>
      </c>
      <c r="AC49" s="24">
        <f>IF(AE48&gt;0,IF(AND(ROUND(AE48+AD49-ROUND(AC$6+IF(AC$5=$C49,$E$5+$E49,0),2),2)&gt;0,ROUND(AE48+AD49-ROUND(AC$6+IF(AC$5=$C49,$E$5+$E49,0),2),2)&lt;=AF49,ROUND(AE48+AD49-ROUND(AC$6+IF(AC$5=$C49,$E$5+$E49,0),2),2)*10&lt;=ROUND(AC$6+IF(AC$5=$C49,$E$5+$E49,0),2)),ROUND(AE48+AD49,2),MIN(ROUND(AC$6+IF(AC$5=$C49,$E$5+$E49,0),2),ROUND(AE48+AD49,2))),0)</f>
        <v>0</v>
      </c>
      <c r="AD49" s="24">
        <f>IF(AE48&gt;0,ROUND(ROUND(AE48*100,0)*ROUND(AC$7*10000,0)/12000000,0)/100,0)</f>
        <v>0</v>
      </c>
      <c r="AE49" s="24">
        <f>IF(AE48&gt;0,ROUND(AE48+AD49-AC49,2),0)</f>
        <v>0</v>
      </c>
      <c r="AF49" s="24">
        <f>IF(AE48&gt;0,ROUND(AF48+ROUND(ROUND(AF48*100,0)*ROUND(AC$7*10000,0)/12000000,0)/100+0.02,2),0)</f>
        <v>0</v>
      </c>
      <c r="AG49" s="24">
        <f>IF(AI48&gt;0,IF(AND(ROUND(AI48+AH49-ROUND(AG$6+IF(AG$5=$C49,$E$5+$E49,0),2),2)&gt;0,ROUND(AI48+AH49-ROUND(AG$6+IF(AG$5=$C49,$E$5+$E49,0),2),2)&lt;=AJ49,ROUND(AI48+AH49-ROUND(AG$6+IF(AG$5=$C49,$E$5+$E49,0),2),2)*10&lt;=ROUND(AG$6+IF(AG$5=$C49,$E$5+$E49,0),2)),ROUND(AI48+AH49,2),MIN(ROUND(AG$6+IF(AG$5=$C49,$E$5+$E49,0),2),ROUND(AI48+AH49,2))),0)</f>
        <v>0</v>
      </c>
      <c r="AH49" s="24">
        <f>IF(AI48&gt;0,ROUND(ROUND(AI48*100,0)*ROUND(AG$7*10000,0)/12000000,0)/100,0)</f>
        <v>0</v>
      </c>
      <c r="AI49" s="24">
        <f>IF(AI48&gt;0,ROUND(AI48+AH49-AG49,2),0)</f>
        <v>0</v>
      </c>
      <c r="AJ49" s="24">
        <f>IF(AI48&gt;0,ROUND(AJ48+ROUND(ROUND(AJ48*100,0)*ROUND(AG$7*10000,0)/12000000,0)/100+0.02,2),0)</f>
        <v>0</v>
      </c>
      <c r="AK49" s="24">
        <f>IF(AM48&gt;0,IF(AND(ROUND(AM48+AL49-ROUND(AK$6+IF(AK$5=$C49,$E$5+$E49,0),2),2)&gt;0,ROUND(AM48+AL49-ROUND(AK$6+IF(AK$5=$C49,$E$5+$E49,0),2),2)&lt;=AN49,ROUND(AM48+AL49-ROUND(AK$6+IF(AK$5=$C49,$E$5+$E49,0),2),2)*10&lt;=ROUND(AK$6+IF(AK$5=$C49,$E$5+$E49,0),2)),ROUND(AM48+AL49,2),MIN(ROUND(AK$6+IF(AK$5=$C49,$E$5+$E49,0),2),ROUND(AM48+AL49,2))),0)</f>
        <v>0</v>
      </c>
      <c r="AL49" s="24">
        <f>IF(AM48&gt;0,ROUND(ROUND(AM48*100,0)*ROUND(AK$7*10000,0)/12000000,0)/100,0)</f>
        <v>0</v>
      </c>
      <c r="AM49" s="24">
        <f>IF(AM48&gt;0,ROUND(AM48+AL49-AK49,2),0)</f>
        <v>0</v>
      </c>
      <c r="AN49" s="24">
        <f>IF(AM48&gt;0,ROUND(AN48+ROUND(ROUND(AN48*100,0)*ROUND(AK$7*10000,0)/12000000,0)/100+0.02,2),0)</f>
        <v>0</v>
      </c>
      <c r="AO49" s="24">
        <f>IF(AQ48&gt;0,IF(AND(ROUND(AQ48+AP49-ROUND(AO$6+IF(AO$5=$C49,$E$5+$E49,0),2),2)&gt;0,ROUND(AQ48+AP49-ROUND(AO$6+IF(AO$5=$C49,$E$5+$E49,0),2),2)&lt;=AR49,ROUND(AQ48+AP49-ROUND(AO$6+IF(AO$5=$C49,$E$5+$E49,0),2),2)*10&lt;=ROUND(AO$6+IF(AO$5=$C49,$E$5+$E49,0),2)),ROUND(AQ48+AP49,2),MIN(ROUND(AO$6+IF(AO$5=$C49,$E$5+$E49,0),2),ROUND(AQ48+AP49,2))),0)</f>
        <v>0</v>
      </c>
      <c r="AP49" s="24">
        <f>IF(AQ48&gt;0,ROUND(ROUND(AQ48*100,0)*ROUND(AO$7*10000,0)/12000000,0)/100,0)</f>
        <v>0</v>
      </c>
      <c r="AQ49" s="24">
        <f>IF(AQ48&gt;0,ROUND(AQ48+AP49-AO49,2),0)</f>
        <v>0</v>
      </c>
      <c r="AR49" s="24">
        <f>IF(AQ48&gt;0,ROUND(AR48+ROUND(ROUND(AR48*100,0)*ROUND(AO$7*10000,0)/12000000,0)/100+0.02,2),0)</f>
        <v>0</v>
      </c>
      <c r="AS49" s="24">
        <f>IF(AU48&gt;0,IF(AND(ROUND(AU48+AT49-ROUND(AS$6+IF(AS$5=$C49,$E$5+$E49,0),2),2)&gt;0,ROUND(AU48+AT49-ROUND(AS$6+IF(AS$5=$C49,$E$5+$E49,0),2),2)&lt;=AV49,ROUND(AU48+AT49-ROUND(AS$6+IF(AS$5=$C49,$E$5+$E49,0),2),2)*10&lt;=ROUND(AS$6+IF(AS$5=$C49,$E$5+$E49,0),2)),ROUND(AU48+AT49,2),MIN(ROUND(AS$6+IF(AS$5=$C49,$E$5+$E49,0),2),ROUND(AU48+AT49,2))),0)</f>
        <v>0</v>
      </c>
      <c r="AT49" s="24">
        <f>IF(AU48&gt;0,ROUND(ROUND(AU48*100,0)*ROUND(AS$7*10000,0)/12000000,0)/100,0)</f>
        <v>0</v>
      </c>
      <c r="AU49" s="24">
        <f>IF(AU48&gt;0,ROUND(AU48+AT49-AS49,2),0)</f>
        <v>0</v>
      </c>
      <c r="AV49" s="24">
        <f>IF(AU48&gt;0,ROUND(AV48+ROUND(ROUND(AV48*100,0)*ROUND(AS$7*10000,0)/12000000,0)/100+0.02,2),0)</f>
        <v>0</v>
      </c>
    </row>
    <row r="50" spans="1:48" x14ac:dyDescent="0.25">
      <c r="A50" s="17" t="str">
        <f>IF(F50&gt;0,40,"")</f>
        <v/>
      </c>
      <c r="B50" s="18" t="str">
        <f>IF(F50&gt;0,EDATE($E$6,40),"")</f>
        <v/>
      </c>
      <c r="C50" s="21">
        <f>IF(H49&gt;0,MIN(IF(K49&gt;0,I$5,99),IF(O49&gt;0,M$5,99),IF(S49&gt;0,Q$5,99),IF(W49&gt;0,U$5,99),IF(AA49&gt;0,Y$5,99),IF(AE49&gt;0,AC$5,99),IF(AI49&gt;0,AG$5,99),IF(AM49&gt;0,AK$5,99),IF(AQ49&gt;0,AO$5,99),IF(AU49&gt;0,AS$5,99)),0)</f>
        <v>0</v>
      </c>
      <c r="D50" t="str">
        <f>IF(C50&gt;0,INDEX($I$4:$AV$4,1,MATCH(C50,$I$5:$AV$5,0)),"")</f>
        <v/>
      </c>
      <c r="E50" s="24">
        <f>ROUND(IF(AND(I$8&gt;0,K49=0),I$6,0)+IF(AND(M$8&gt;0,O49=0),M$6,0)+IF(AND(Q$8&gt;0,S49=0),Q$6,0)+IF(AND(U$8&gt;0,W49=0),U$6,0)+IF(AND(Y$8&gt;0,AA49=0),Y$6,0)+IF(AND(AC$8&gt;0,AE49=0),AC$6,0)+IF(AND(AG$8&gt;0,AI49=0),AG$6,0)+IF(AND(AK$8&gt;0,AM49=0),AK$6,0)+IF(AND(AO$8&gt;0,AQ49=0),AO$6,0)+IF(AND(AS$8&gt;0,AU49=0),AS$6,0),2)</f>
        <v>325</v>
      </c>
      <c r="F50" s="24">
        <f>ROUND(I50+M50+Q50+U50+Y50+AC50+AG50+AK50+AO50+AS50,2)</f>
        <v>0</v>
      </c>
      <c r="G50" s="24">
        <f>ROUND(J50+N50+R50+V50+Z50+AD50+AH50+AL50+AP50+AT50,2)</f>
        <v>0</v>
      </c>
      <c r="H50" s="24">
        <f>ROUND(K50+O50+S50+W50+AA50+AE50+AI50+AM50+AQ50+AU50,2)</f>
        <v>0</v>
      </c>
      <c r="I50" s="24">
        <f>IF(K49&gt;0,IF(AND(ROUND(K49+J50-ROUND(I$6+IF(I$5=$C50,$E$5+$E50,0),2),2)&gt;0,ROUND(K49+J50-ROUND(I$6+IF(I$5=$C50,$E$5+$E50,0),2),2)&lt;=L50,ROUND(K49+J50-ROUND(I$6+IF(I$5=$C50,$E$5+$E50,0),2),2)*10&lt;=ROUND(I$6+IF(I$5=$C50,$E$5+$E50,0),2)),ROUND(K49+J50,2),MIN(ROUND(I$6+IF(I$5=$C50,$E$5+$E50,0),2),ROUND(K49+J50,2))),0)</f>
        <v>0</v>
      </c>
      <c r="J50" s="24">
        <f>IF(K49&gt;0,ROUND(ROUND(K49*100,0)*ROUND(I$7*10000,0)/12000000,0)/100,0)</f>
        <v>0</v>
      </c>
      <c r="K50" s="24">
        <f>IF(K49&gt;0,ROUND(K49+J50-I50,2),0)</f>
        <v>0</v>
      </c>
      <c r="L50" s="24">
        <f>IF(K49&gt;0,ROUND(L49+ROUND(ROUND(L49*100,0)*ROUND(I$7*10000,0)/12000000,0)/100+0.02,2),0)</f>
        <v>0</v>
      </c>
      <c r="M50" s="24">
        <f>IF(O49&gt;0,IF(AND(ROUND(O49+N50-ROUND(M$6+IF(M$5=$C50,$E$5+$E50,0),2),2)&gt;0,ROUND(O49+N50-ROUND(M$6+IF(M$5=$C50,$E$5+$E50,0),2),2)&lt;=P50,ROUND(O49+N50-ROUND(M$6+IF(M$5=$C50,$E$5+$E50,0),2),2)*10&lt;=ROUND(M$6+IF(M$5=$C50,$E$5+$E50,0),2)),ROUND(O49+N50,2),MIN(ROUND(M$6+IF(M$5=$C50,$E$5+$E50,0),2),ROUND(O49+N50,2))),0)</f>
        <v>0</v>
      </c>
      <c r="N50" s="24">
        <f>IF(O49&gt;0,ROUND(ROUND(O49*100,0)*ROUND(M$7*10000,0)/12000000,0)/100,0)</f>
        <v>0</v>
      </c>
      <c r="O50" s="24">
        <f>IF(O49&gt;0,ROUND(O49+N50-M50,2),0)</f>
        <v>0</v>
      </c>
      <c r="P50" s="24">
        <f>IF(O49&gt;0,ROUND(P49+ROUND(ROUND(P49*100,0)*ROUND(M$7*10000,0)/12000000,0)/100+0.02,2),0)</f>
        <v>0</v>
      </c>
      <c r="Q50" s="24">
        <f>IF(S49&gt;0,IF(AND(ROUND(S49+R50-ROUND(Q$6+IF(Q$5=$C50,$E$5+$E50,0),2),2)&gt;0,ROUND(S49+R50-ROUND(Q$6+IF(Q$5=$C50,$E$5+$E50,0),2),2)&lt;=T50,ROUND(S49+R50-ROUND(Q$6+IF(Q$5=$C50,$E$5+$E50,0),2),2)*10&lt;=ROUND(Q$6+IF(Q$5=$C50,$E$5+$E50,0),2)),ROUND(S49+R50,2),MIN(ROUND(Q$6+IF(Q$5=$C50,$E$5+$E50,0),2),ROUND(S49+R50,2))),0)</f>
        <v>0</v>
      </c>
      <c r="R50" s="24">
        <f>IF(S49&gt;0,ROUND(ROUND(S49*100,0)*ROUND(Q$7*10000,0)/12000000,0)/100,0)</f>
        <v>0</v>
      </c>
      <c r="S50" s="24">
        <f>IF(S49&gt;0,ROUND(S49+R50-Q50,2),0)</f>
        <v>0</v>
      </c>
      <c r="T50" s="24">
        <f>IF(S49&gt;0,ROUND(T49+ROUND(ROUND(T49*100,0)*ROUND(Q$7*10000,0)/12000000,0)/100+0.02,2),0)</f>
        <v>0</v>
      </c>
      <c r="U50" s="24">
        <f>IF(W49&gt;0,IF(AND(ROUND(W49+V50-ROUND(U$6+IF(U$5=$C50,$E$5+$E50,0),2),2)&gt;0,ROUND(W49+V50-ROUND(U$6+IF(U$5=$C50,$E$5+$E50,0),2),2)&lt;=X50,ROUND(W49+V50-ROUND(U$6+IF(U$5=$C50,$E$5+$E50,0),2),2)*10&lt;=ROUND(U$6+IF(U$5=$C50,$E$5+$E50,0),2)),ROUND(W49+V50,2),MIN(ROUND(U$6+IF(U$5=$C50,$E$5+$E50,0),2),ROUND(W49+V50,2))),0)</f>
        <v>0</v>
      </c>
      <c r="V50" s="24">
        <f>IF(W49&gt;0,ROUND(ROUND(W49*100,0)*ROUND(U$7*10000,0)/12000000,0)/100,0)</f>
        <v>0</v>
      </c>
      <c r="W50" s="24">
        <f>IF(W49&gt;0,ROUND(W49+V50-U50,2),0)</f>
        <v>0</v>
      </c>
      <c r="X50" s="24">
        <f>IF(W49&gt;0,ROUND(X49+ROUND(ROUND(X49*100,0)*ROUND(U$7*10000,0)/12000000,0)/100+0.02,2),0)</f>
        <v>0</v>
      </c>
      <c r="Y50" s="24">
        <f>IF(AA49&gt;0,IF(AND(ROUND(AA49+Z50-ROUND(Y$6+IF(Y$5=$C50,$E$5+$E50,0),2),2)&gt;0,ROUND(AA49+Z50-ROUND(Y$6+IF(Y$5=$C50,$E$5+$E50,0),2),2)&lt;=AB50,ROUND(AA49+Z50-ROUND(Y$6+IF(Y$5=$C50,$E$5+$E50,0),2),2)*10&lt;=ROUND(Y$6+IF(Y$5=$C50,$E$5+$E50,0),2)),ROUND(AA49+Z50,2),MIN(ROUND(Y$6+IF(Y$5=$C50,$E$5+$E50,0),2),ROUND(AA49+Z50,2))),0)</f>
        <v>0</v>
      </c>
      <c r="Z50" s="24">
        <f>IF(AA49&gt;0,ROUND(ROUND(AA49*100,0)*ROUND(Y$7*10000,0)/12000000,0)/100,0)</f>
        <v>0</v>
      </c>
      <c r="AA50" s="24">
        <f>IF(AA49&gt;0,ROUND(AA49+Z50-Y50,2),0)</f>
        <v>0</v>
      </c>
      <c r="AB50" s="24">
        <f>IF(AA49&gt;0,ROUND(AB49+ROUND(ROUND(AB49*100,0)*ROUND(Y$7*10000,0)/12000000,0)/100+0.02,2),0)</f>
        <v>0</v>
      </c>
      <c r="AC50" s="24">
        <f>IF(AE49&gt;0,IF(AND(ROUND(AE49+AD50-ROUND(AC$6+IF(AC$5=$C50,$E$5+$E50,0),2),2)&gt;0,ROUND(AE49+AD50-ROUND(AC$6+IF(AC$5=$C50,$E$5+$E50,0),2),2)&lt;=AF50,ROUND(AE49+AD50-ROUND(AC$6+IF(AC$5=$C50,$E$5+$E50,0),2),2)*10&lt;=ROUND(AC$6+IF(AC$5=$C50,$E$5+$E50,0),2)),ROUND(AE49+AD50,2),MIN(ROUND(AC$6+IF(AC$5=$C50,$E$5+$E50,0),2),ROUND(AE49+AD50,2))),0)</f>
        <v>0</v>
      </c>
      <c r="AD50" s="24">
        <f>IF(AE49&gt;0,ROUND(ROUND(AE49*100,0)*ROUND(AC$7*10000,0)/12000000,0)/100,0)</f>
        <v>0</v>
      </c>
      <c r="AE50" s="24">
        <f>IF(AE49&gt;0,ROUND(AE49+AD50-AC50,2),0)</f>
        <v>0</v>
      </c>
      <c r="AF50" s="24">
        <f>IF(AE49&gt;0,ROUND(AF49+ROUND(ROUND(AF49*100,0)*ROUND(AC$7*10000,0)/12000000,0)/100+0.02,2),0)</f>
        <v>0</v>
      </c>
      <c r="AG50" s="24">
        <f>IF(AI49&gt;0,IF(AND(ROUND(AI49+AH50-ROUND(AG$6+IF(AG$5=$C50,$E$5+$E50,0),2),2)&gt;0,ROUND(AI49+AH50-ROUND(AG$6+IF(AG$5=$C50,$E$5+$E50,0),2),2)&lt;=AJ50,ROUND(AI49+AH50-ROUND(AG$6+IF(AG$5=$C50,$E$5+$E50,0),2),2)*10&lt;=ROUND(AG$6+IF(AG$5=$C50,$E$5+$E50,0),2)),ROUND(AI49+AH50,2),MIN(ROUND(AG$6+IF(AG$5=$C50,$E$5+$E50,0),2),ROUND(AI49+AH50,2))),0)</f>
        <v>0</v>
      </c>
      <c r="AH50" s="24">
        <f>IF(AI49&gt;0,ROUND(ROUND(AI49*100,0)*ROUND(AG$7*10000,0)/12000000,0)/100,0)</f>
        <v>0</v>
      </c>
      <c r="AI50" s="24">
        <f>IF(AI49&gt;0,ROUND(AI49+AH50-AG50,2),0)</f>
        <v>0</v>
      </c>
      <c r="AJ50" s="24">
        <f>IF(AI49&gt;0,ROUND(AJ49+ROUND(ROUND(AJ49*100,0)*ROUND(AG$7*10000,0)/12000000,0)/100+0.02,2),0)</f>
        <v>0</v>
      </c>
      <c r="AK50" s="24">
        <f>IF(AM49&gt;0,IF(AND(ROUND(AM49+AL50-ROUND(AK$6+IF(AK$5=$C50,$E$5+$E50,0),2),2)&gt;0,ROUND(AM49+AL50-ROUND(AK$6+IF(AK$5=$C50,$E$5+$E50,0),2),2)&lt;=AN50,ROUND(AM49+AL50-ROUND(AK$6+IF(AK$5=$C50,$E$5+$E50,0),2),2)*10&lt;=ROUND(AK$6+IF(AK$5=$C50,$E$5+$E50,0),2)),ROUND(AM49+AL50,2),MIN(ROUND(AK$6+IF(AK$5=$C50,$E$5+$E50,0),2),ROUND(AM49+AL50,2))),0)</f>
        <v>0</v>
      </c>
      <c r="AL50" s="24">
        <f>IF(AM49&gt;0,ROUND(ROUND(AM49*100,0)*ROUND(AK$7*10000,0)/12000000,0)/100,0)</f>
        <v>0</v>
      </c>
      <c r="AM50" s="24">
        <f>IF(AM49&gt;0,ROUND(AM49+AL50-AK50,2),0)</f>
        <v>0</v>
      </c>
      <c r="AN50" s="24">
        <f>IF(AM49&gt;0,ROUND(AN49+ROUND(ROUND(AN49*100,0)*ROUND(AK$7*10000,0)/12000000,0)/100+0.02,2),0)</f>
        <v>0</v>
      </c>
      <c r="AO50" s="24">
        <f>IF(AQ49&gt;0,IF(AND(ROUND(AQ49+AP50-ROUND(AO$6+IF(AO$5=$C50,$E$5+$E50,0),2),2)&gt;0,ROUND(AQ49+AP50-ROUND(AO$6+IF(AO$5=$C50,$E$5+$E50,0),2),2)&lt;=AR50,ROUND(AQ49+AP50-ROUND(AO$6+IF(AO$5=$C50,$E$5+$E50,0),2),2)*10&lt;=ROUND(AO$6+IF(AO$5=$C50,$E$5+$E50,0),2)),ROUND(AQ49+AP50,2),MIN(ROUND(AO$6+IF(AO$5=$C50,$E$5+$E50,0),2),ROUND(AQ49+AP50,2))),0)</f>
        <v>0</v>
      </c>
      <c r="AP50" s="24">
        <f>IF(AQ49&gt;0,ROUND(ROUND(AQ49*100,0)*ROUND(AO$7*10000,0)/12000000,0)/100,0)</f>
        <v>0</v>
      </c>
      <c r="AQ50" s="24">
        <f>IF(AQ49&gt;0,ROUND(AQ49+AP50-AO50,2),0)</f>
        <v>0</v>
      </c>
      <c r="AR50" s="24">
        <f>IF(AQ49&gt;0,ROUND(AR49+ROUND(ROUND(AR49*100,0)*ROUND(AO$7*10000,0)/12000000,0)/100+0.02,2),0)</f>
        <v>0</v>
      </c>
      <c r="AS50" s="24">
        <f>IF(AU49&gt;0,IF(AND(ROUND(AU49+AT50-ROUND(AS$6+IF(AS$5=$C50,$E$5+$E50,0),2),2)&gt;0,ROUND(AU49+AT50-ROUND(AS$6+IF(AS$5=$C50,$E$5+$E50,0),2),2)&lt;=AV50,ROUND(AU49+AT50-ROUND(AS$6+IF(AS$5=$C50,$E$5+$E50,0),2),2)*10&lt;=ROUND(AS$6+IF(AS$5=$C50,$E$5+$E50,0),2)),ROUND(AU49+AT50,2),MIN(ROUND(AS$6+IF(AS$5=$C50,$E$5+$E50,0),2),ROUND(AU49+AT50,2))),0)</f>
        <v>0</v>
      </c>
      <c r="AT50" s="24">
        <f>IF(AU49&gt;0,ROUND(ROUND(AU49*100,0)*ROUND(AS$7*10000,0)/12000000,0)/100,0)</f>
        <v>0</v>
      </c>
      <c r="AU50" s="24">
        <f>IF(AU49&gt;0,ROUND(AU49+AT50-AS50,2),0)</f>
        <v>0</v>
      </c>
      <c r="AV50" s="24">
        <f>IF(AU49&gt;0,ROUND(AV49+ROUND(ROUND(AV49*100,0)*ROUND(AS$7*10000,0)/12000000,0)/100+0.02,2),0)</f>
        <v>0</v>
      </c>
    </row>
    <row r="51" spans="1:48" x14ac:dyDescent="0.25">
      <c r="A51" s="17" t="str">
        <f>IF(F51&gt;0,41,"")</f>
        <v/>
      </c>
      <c r="B51" s="18" t="str">
        <f>IF(F51&gt;0,EDATE($E$6,41),"")</f>
        <v/>
      </c>
      <c r="C51" s="21">
        <f>IF(H50&gt;0,MIN(IF(K50&gt;0,I$5,99),IF(O50&gt;0,M$5,99),IF(S50&gt;0,Q$5,99),IF(W50&gt;0,U$5,99),IF(AA50&gt;0,Y$5,99),IF(AE50&gt;0,AC$5,99),IF(AI50&gt;0,AG$5,99),IF(AM50&gt;0,AK$5,99),IF(AQ50&gt;0,AO$5,99),IF(AU50&gt;0,AS$5,99)),0)</f>
        <v>0</v>
      </c>
      <c r="D51" t="str">
        <f>IF(C51&gt;0,INDEX($I$4:$AV$4,1,MATCH(C51,$I$5:$AV$5,0)),"")</f>
        <v/>
      </c>
      <c r="E51" s="24">
        <f>ROUND(IF(AND(I$8&gt;0,K50=0),I$6,0)+IF(AND(M$8&gt;0,O50=0),M$6,0)+IF(AND(Q$8&gt;0,S50=0),Q$6,0)+IF(AND(U$8&gt;0,W50=0),U$6,0)+IF(AND(Y$8&gt;0,AA50=0),Y$6,0)+IF(AND(AC$8&gt;0,AE50=0),AC$6,0)+IF(AND(AG$8&gt;0,AI50=0),AG$6,0)+IF(AND(AK$8&gt;0,AM50=0),AK$6,0)+IF(AND(AO$8&gt;0,AQ50=0),AO$6,0)+IF(AND(AS$8&gt;0,AU50=0),AS$6,0),2)</f>
        <v>325</v>
      </c>
      <c r="F51" s="24">
        <f>ROUND(I51+M51+Q51+U51+Y51+AC51+AG51+AK51+AO51+AS51,2)</f>
        <v>0</v>
      </c>
      <c r="G51" s="24">
        <f>ROUND(J51+N51+R51+V51+Z51+AD51+AH51+AL51+AP51+AT51,2)</f>
        <v>0</v>
      </c>
      <c r="H51" s="24">
        <f>ROUND(K51+O51+S51+W51+AA51+AE51+AI51+AM51+AQ51+AU51,2)</f>
        <v>0</v>
      </c>
      <c r="I51" s="24">
        <f>IF(K50&gt;0,IF(AND(ROUND(K50+J51-ROUND(I$6+IF(I$5=$C51,$E$5+$E51,0),2),2)&gt;0,ROUND(K50+J51-ROUND(I$6+IF(I$5=$C51,$E$5+$E51,0),2),2)&lt;=L51,ROUND(K50+J51-ROUND(I$6+IF(I$5=$C51,$E$5+$E51,0),2),2)*10&lt;=ROUND(I$6+IF(I$5=$C51,$E$5+$E51,0),2)),ROUND(K50+J51,2),MIN(ROUND(I$6+IF(I$5=$C51,$E$5+$E51,0),2),ROUND(K50+J51,2))),0)</f>
        <v>0</v>
      </c>
      <c r="J51" s="24">
        <f>IF(K50&gt;0,ROUND(ROUND(K50*100,0)*ROUND(I$7*10000,0)/12000000,0)/100,0)</f>
        <v>0</v>
      </c>
      <c r="K51" s="24">
        <f>IF(K50&gt;0,ROUND(K50+J51-I51,2),0)</f>
        <v>0</v>
      </c>
      <c r="L51" s="24">
        <f>IF(K50&gt;0,ROUND(L50+ROUND(ROUND(L50*100,0)*ROUND(I$7*10000,0)/12000000,0)/100+0.02,2),0)</f>
        <v>0</v>
      </c>
      <c r="M51" s="24">
        <f>IF(O50&gt;0,IF(AND(ROUND(O50+N51-ROUND(M$6+IF(M$5=$C51,$E$5+$E51,0),2),2)&gt;0,ROUND(O50+N51-ROUND(M$6+IF(M$5=$C51,$E$5+$E51,0),2),2)&lt;=P51,ROUND(O50+N51-ROUND(M$6+IF(M$5=$C51,$E$5+$E51,0),2),2)*10&lt;=ROUND(M$6+IF(M$5=$C51,$E$5+$E51,0),2)),ROUND(O50+N51,2),MIN(ROUND(M$6+IF(M$5=$C51,$E$5+$E51,0),2),ROUND(O50+N51,2))),0)</f>
        <v>0</v>
      </c>
      <c r="N51" s="24">
        <f>IF(O50&gt;0,ROUND(ROUND(O50*100,0)*ROUND(M$7*10000,0)/12000000,0)/100,0)</f>
        <v>0</v>
      </c>
      <c r="O51" s="24">
        <f>IF(O50&gt;0,ROUND(O50+N51-M51,2),0)</f>
        <v>0</v>
      </c>
      <c r="P51" s="24">
        <f>IF(O50&gt;0,ROUND(P50+ROUND(ROUND(P50*100,0)*ROUND(M$7*10000,0)/12000000,0)/100+0.02,2),0)</f>
        <v>0</v>
      </c>
      <c r="Q51" s="24">
        <f>IF(S50&gt;0,IF(AND(ROUND(S50+R51-ROUND(Q$6+IF(Q$5=$C51,$E$5+$E51,0),2),2)&gt;0,ROUND(S50+R51-ROUND(Q$6+IF(Q$5=$C51,$E$5+$E51,0),2),2)&lt;=T51,ROUND(S50+R51-ROUND(Q$6+IF(Q$5=$C51,$E$5+$E51,0),2),2)*10&lt;=ROUND(Q$6+IF(Q$5=$C51,$E$5+$E51,0),2)),ROUND(S50+R51,2),MIN(ROUND(Q$6+IF(Q$5=$C51,$E$5+$E51,0),2),ROUND(S50+R51,2))),0)</f>
        <v>0</v>
      </c>
      <c r="R51" s="24">
        <f>IF(S50&gt;0,ROUND(ROUND(S50*100,0)*ROUND(Q$7*10000,0)/12000000,0)/100,0)</f>
        <v>0</v>
      </c>
      <c r="S51" s="24">
        <f>IF(S50&gt;0,ROUND(S50+R51-Q51,2),0)</f>
        <v>0</v>
      </c>
      <c r="T51" s="24">
        <f>IF(S50&gt;0,ROUND(T50+ROUND(ROUND(T50*100,0)*ROUND(Q$7*10000,0)/12000000,0)/100+0.02,2),0)</f>
        <v>0</v>
      </c>
      <c r="U51" s="24">
        <f>IF(W50&gt;0,IF(AND(ROUND(W50+V51-ROUND(U$6+IF(U$5=$C51,$E$5+$E51,0),2),2)&gt;0,ROUND(W50+V51-ROUND(U$6+IF(U$5=$C51,$E$5+$E51,0),2),2)&lt;=X51,ROUND(W50+V51-ROUND(U$6+IF(U$5=$C51,$E$5+$E51,0),2),2)*10&lt;=ROUND(U$6+IF(U$5=$C51,$E$5+$E51,0),2)),ROUND(W50+V51,2),MIN(ROUND(U$6+IF(U$5=$C51,$E$5+$E51,0),2),ROUND(W50+V51,2))),0)</f>
        <v>0</v>
      </c>
      <c r="V51" s="24">
        <f>IF(W50&gt;0,ROUND(ROUND(W50*100,0)*ROUND(U$7*10000,0)/12000000,0)/100,0)</f>
        <v>0</v>
      </c>
      <c r="W51" s="24">
        <f>IF(W50&gt;0,ROUND(W50+V51-U51,2),0)</f>
        <v>0</v>
      </c>
      <c r="X51" s="24">
        <f>IF(W50&gt;0,ROUND(X50+ROUND(ROUND(X50*100,0)*ROUND(U$7*10000,0)/12000000,0)/100+0.02,2),0)</f>
        <v>0</v>
      </c>
      <c r="Y51" s="24">
        <f>IF(AA50&gt;0,IF(AND(ROUND(AA50+Z51-ROUND(Y$6+IF(Y$5=$C51,$E$5+$E51,0),2),2)&gt;0,ROUND(AA50+Z51-ROUND(Y$6+IF(Y$5=$C51,$E$5+$E51,0),2),2)&lt;=AB51,ROUND(AA50+Z51-ROUND(Y$6+IF(Y$5=$C51,$E$5+$E51,0),2),2)*10&lt;=ROUND(Y$6+IF(Y$5=$C51,$E$5+$E51,0),2)),ROUND(AA50+Z51,2),MIN(ROUND(Y$6+IF(Y$5=$C51,$E$5+$E51,0),2),ROUND(AA50+Z51,2))),0)</f>
        <v>0</v>
      </c>
      <c r="Z51" s="24">
        <f>IF(AA50&gt;0,ROUND(ROUND(AA50*100,0)*ROUND(Y$7*10000,0)/12000000,0)/100,0)</f>
        <v>0</v>
      </c>
      <c r="AA51" s="24">
        <f>IF(AA50&gt;0,ROUND(AA50+Z51-Y51,2),0)</f>
        <v>0</v>
      </c>
      <c r="AB51" s="24">
        <f>IF(AA50&gt;0,ROUND(AB50+ROUND(ROUND(AB50*100,0)*ROUND(Y$7*10000,0)/12000000,0)/100+0.02,2),0)</f>
        <v>0</v>
      </c>
      <c r="AC51" s="24">
        <f>IF(AE50&gt;0,IF(AND(ROUND(AE50+AD51-ROUND(AC$6+IF(AC$5=$C51,$E$5+$E51,0),2),2)&gt;0,ROUND(AE50+AD51-ROUND(AC$6+IF(AC$5=$C51,$E$5+$E51,0),2),2)&lt;=AF51,ROUND(AE50+AD51-ROUND(AC$6+IF(AC$5=$C51,$E$5+$E51,0),2),2)*10&lt;=ROUND(AC$6+IF(AC$5=$C51,$E$5+$E51,0),2)),ROUND(AE50+AD51,2),MIN(ROUND(AC$6+IF(AC$5=$C51,$E$5+$E51,0),2),ROUND(AE50+AD51,2))),0)</f>
        <v>0</v>
      </c>
      <c r="AD51" s="24">
        <f>IF(AE50&gt;0,ROUND(ROUND(AE50*100,0)*ROUND(AC$7*10000,0)/12000000,0)/100,0)</f>
        <v>0</v>
      </c>
      <c r="AE51" s="24">
        <f>IF(AE50&gt;0,ROUND(AE50+AD51-AC51,2),0)</f>
        <v>0</v>
      </c>
      <c r="AF51" s="24">
        <f>IF(AE50&gt;0,ROUND(AF50+ROUND(ROUND(AF50*100,0)*ROUND(AC$7*10000,0)/12000000,0)/100+0.02,2),0)</f>
        <v>0</v>
      </c>
      <c r="AG51" s="24">
        <f>IF(AI50&gt;0,IF(AND(ROUND(AI50+AH51-ROUND(AG$6+IF(AG$5=$C51,$E$5+$E51,0),2),2)&gt;0,ROUND(AI50+AH51-ROUND(AG$6+IF(AG$5=$C51,$E$5+$E51,0),2),2)&lt;=AJ51,ROUND(AI50+AH51-ROUND(AG$6+IF(AG$5=$C51,$E$5+$E51,0),2),2)*10&lt;=ROUND(AG$6+IF(AG$5=$C51,$E$5+$E51,0),2)),ROUND(AI50+AH51,2),MIN(ROUND(AG$6+IF(AG$5=$C51,$E$5+$E51,0),2),ROUND(AI50+AH51,2))),0)</f>
        <v>0</v>
      </c>
      <c r="AH51" s="24">
        <f>IF(AI50&gt;0,ROUND(ROUND(AI50*100,0)*ROUND(AG$7*10000,0)/12000000,0)/100,0)</f>
        <v>0</v>
      </c>
      <c r="AI51" s="24">
        <f>IF(AI50&gt;0,ROUND(AI50+AH51-AG51,2),0)</f>
        <v>0</v>
      </c>
      <c r="AJ51" s="24">
        <f>IF(AI50&gt;0,ROUND(AJ50+ROUND(ROUND(AJ50*100,0)*ROUND(AG$7*10000,0)/12000000,0)/100+0.02,2),0)</f>
        <v>0</v>
      </c>
      <c r="AK51" s="24">
        <f>IF(AM50&gt;0,IF(AND(ROUND(AM50+AL51-ROUND(AK$6+IF(AK$5=$C51,$E$5+$E51,0),2),2)&gt;0,ROUND(AM50+AL51-ROUND(AK$6+IF(AK$5=$C51,$E$5+$E51,0),2),2)&lt;=AN51,ROUND(AM50+AL51-ROUND(AK$6+IF(AK$5=$C51,$E$5+$E51,0),2),2)*10&lt;=ROUND(AK$6+IF(AK$5=$C51,$E$5+$E51,0),2)),ROUND(AM50+AL51,2),MIN(ROUND(AK$6+IF(AK$5=$C51,$E$5+$E51,0),2),ROUND(AM50+AL51,2))),0)</f>
        <v>0</v>
      </c>
      <c r="AL51" s="24">
        <f>IF(AM50&gt;0,ROUND(ROUND(AM50*100,0)*ROUND(AK$7*10000,0)/12000000,0)/100,0)</f>
        <v>0</v>
      </c>
      <c r="AM51" s="24">
        <f>IF(AM50&gt;0,ROUND(AM50+AL51-AK51,2),0)</f>
        <v>0</v>
      </c>
      <c r="AN51" s="24">
        <f>IF(AM50&gt;0,ROUND(AN50+ROUND(ROUND(AN50*100,0)*ROUND(AK$7*10000,0)/12000000,0)/100+0.02,2),0)</f>
        <v>0</v>
      </c>
      <c r="AO51" s="24">
        <f>IF(AQ50&gt;0,IF(AND(ROUND(AQ50+AP51-ROUND(AO$6+IF(AO$5=$C51,$E$5+$E51,0),2),2)&gt;0,ROUND(AQ50+AP51-ROUND(AO$6+IF(AO$5=$C51,$E$5+$E51,0),2),2)&lt;=AR51,ROUND(AQ50+AP51-ROUND(AO$6+IF(AO$5=$C51,$E$5+$E51,0),2),2)*10&lt;=ROUND(AO$6+IF(AO$5=$C51,$E$5+$E51,0),2)),ROUND(AQ50+AP51,2),MIN(ROUND(AO$6+IF(AO$5=$C51,$E$5+$E51,0),2),ROUND(AQ50+AP51,2))),0)</f>
        <v>0</v>
      </c>
      <c r="AP51" s="24">
        <f>IF(AQ50&gt;0,ROUND(ROUND(AQ50*100,0)*ROUND(AO$7*10000,0)/12000000,0)/100,0)</f>
        <v>0</v>
      </c>
      <c r="AQ51" s="24">
        <f>IF(AQ50&gt;0,ROUND(AQ50+AP51-AO51,2),0)</f>
        <v>0</v>
      </c>
      <c r="AR51" s="24">
        <f>IF(AQ50&gt;0,ROUND(AR50+ROUND(ROUND(AR50*100,0)*ROUND(AO$7*10000,0)/12000000,0)/100+0.02,2),0)</f>
        <v>0</v>
      </c>
      <c r="AS51" s="24">
        <f>IF(AU50&gt;0,IF(AND(ROUND(AU50+AT51-ROUND(AS$6+IF(AS$5=$C51,$E$5+$E51,0),2),2)&gt;0,ROUND(AU50+AT51-ROUND(AS$6+IF(AS$5=$C51,$E$5+$E51,0),2),2)&lt;=AV51,ROUND(AU50+AT51-ROUND(AS$6+IF(AS$5=$C51,$E$5+$E51,0),2),2)*10&lt;=ROUND(AS$6+IF(AS$5=$C51,$E$5+$E51,0),2)),ROUND(AU50+AT51,2),MIN(ROUND(AS$6+IF(AS$5=$C51,$E$5+$E51,0),2),ROUND(AU50+AT51,2))),0)</f>
        <v>0</v>
      </c>
      <c r="AT51" s="24">
        <f>IF(AU50&gt;0,ROUND(ROUND(AU50*100,0)*ROUND(AS$7*10000,0)/12000000,0)/100,0)</f>
        <v>0</v>
      </c>
      <c r="AU51" s="24">
        <f>IF(AU50&gt;0,ROUND(AU50+AT51-AS51,2),0)</f>
        <v>0</v>
      </c>
      <c r="AV51" s="24">
        <f>IF(AU50&gt;0,ROUND(AV50+ROUND(ROUND(AV50*100,0)*ROUND(AS$7*10000,0)/12000000,0)/100+0.02,2),0)</f>
        <v>0</v>
      </c>
    </row>
    <row r="52" spans="1:48" x14ac:dyDescent="0.25">
      <c r="A52" s="17" t="str">
        <f>IF(F52&gt;0,42,"")</f>
        <v/>
      </c>
      <c r="B52" s="18" t="str">
        <f>IF(F52&gt;0,EDATE($E$6,42),"")</f>
        <v/>
      </c>
      <c r="C52" s="21">
        <f>IF(H51&gt;0,MIN(IF(K51&gt;0,I$5,99),IF(O51&gt;0,M$5,99),IF(S51&gt;0,Q$5,99),IF(W51&gt;0,U$5,99),IF(AA51&gt;0,Y$5,99),IF(AE51&gt;0,AC$5,99),IF(AI51&gt;0,AG$5,99),IF(AM51&gt;0,AK$5,99),IF(AQ51&gt;0,AO$5,99),IF(AU51&gt;0,AS$5,99)),0)</f>
        <v>0</v>
      </c>
      <c r="D52" t="str">
        <f>IF(C52&gt;0,INDEX($I$4:$AV$4,1,MATCH(C52,$I$5:$AV$5,0)),"")</f>
        <v/>
      </c>
      <c r="E52" s="24">
        <f>ROUND(IF(AND(I$8&gt;0,K51=0),I$6,0)+IF(AND(M$8&gt;0,O51=0),M$6,0)+IF(AND(Q$8&gt;0,S51=0),Q$6,0)+IF(AND(U$8&gt;0,W51=0),U$6,0)+IF(AND(Y$8&gt;0,AA51=0),Y$6,0)+IF(AND(AC$8&gt;0,AE51=0),AC$6,0)+IF(AND(AG$8&gt;0,AI51=0),AG$6,0)+IF(AND(AK$8&gt;0,AM51=0),AK$6,0)+IF(AND(AO$8&gt;0,AQ51=0),AO$6,0)+IF(AND(AS$8&gt;0,AU51=0),AS$6,0),2)</f>
        <v>325</v>
      </c>
      <c r="F52" s="24">
        <f>ROUND(I52+M52+Q52+U52+Y52+AC52+AG52+AK52+AO52+AS52,2)</f>
        <v>0</v>
      </c>
      <c r="G52" s="24">
        <f>ROUND(J52+N52+R52+V52+Z52+AD52+AH52+AL52+AP52+AT52,2)</f>
        <v>0</v>
      </c>
      <c r="H52" s="24">
        <f>ROUND(K52+O52+S52+W52+AA52+AE52+AI52+AM52+AQ52+AU52,2)</f>
        <v>0</v>
      </c>
      <c r="I52" s="24">
        <f>IF(K51&gt;0,IF(AND(ROUND(K51+J52-ROUND(I$6+IF(I$5=$C52,$E$5+$E52,0),2),2)&gt;0,ROUND(K51+J52-ROUND(I$6+IF(I$5=$C52,$E$5+$E52,0),2),2)&lt;=L52,ROUND(K51+J52-ROUND(I$6+IF(I$5=$C52,$E$5+$E52,0),2),2)*10&lt;=ROUND(I$6+IF(I$5=$C52,$E$5+$E52,0),2)),ROUND(K51+J52,2),MIN(ROUND(I$6+IF(I$5=$C52,$E$5+$E52,0),2),ROUND(K51+J52,2))),0)</f>
        <v>0</v>
      </c>
      <c r="J52" s="24">
        <f>IF(K51&gt;0,ROUND(ROUND(K51*100,0)*ROUND(I$7*10000,0)/12000000,0)/100,0)</f>
        <v>0</v>
      </c>
      <c r="K52" s="24">
        <f>IF(K51&gt;0,ROUND(K51+J52-I52,2),0)</f>
        <v>0</v>
      </c>
      <c r="L52" s="24">
        <f>IF(K51&gt;0,ROUND(L51+ROUND(ROUND(L51*100,0)*ROUND(I$7*10000,0)/12000000,0)/100+0.02,2),0)</f>
        <v>0</v>
      </c>
      <c r="M52" s="24">
        <f>IF(O51&gt;0,IF(AND(ROUND(O51+N52-ROUND(M$6+IF(M$5=$C52,$E$5+$E52,0),2),2)&gt;0,ROUND(O51+N52-ROUND(M$6+IF(M$5=$C52,$E$5+$E52,0),2),2)&lt;=P52,ROUND(O51+N52-ROUND(M$6+IF(M$5=$C52,$E$5+$E52,0),2),2)*10&lt;=ROUND(M$6+IF(M$5=$C52,$E$5+$E52,0),2)),ROUND(O51+N52,2),MIN(ROUND(M$6+IF(M$5=$C52,$E$5+$E52,0),2),ROUND(O51+N52,2))),0)</f>
        <v>0</v>
      </c>
      <c r="N52" s="24">
        <f>IF(O51&gt;0,ROUND(ROUND(O51*100,0)*ROUND(M$7*10000,0)/12000000,0)/100,0)</f>
        <v>0</v>
      </c>
      <c r="O52" s="24">
        <f>IF(O51&gt;0,ROUND(O51+N52-M52,2),0)</f>
        <v>0</v>
      </c>
      <c r="P52" s="24">
        <f>IF(O51&gt;0,ROUND(P51+ROUND(ROUND(P51*100,0)*ROUND(M$7*10000,0)/12000000,0)/100+0.02,2),0)</f>
        <v>0</v>
      </c>
      <c r="Q52" s="24">
        <f>IF(S51&gt;0,IF(AND(ROUND(S51+R52-ROUND(Q$6+IF(Q$5=$C52,$E$5+$E52,0),2),2)&gt;0,ROUND(S51+R52-ROUND(Q$6+IF(Q$5=$C52,$E$5+$E52,0),2),2)&lt;=T52,ROUND(S51+R52-ROUND(Q$6+IF(Q$5=$C52,$E$5+$E52,0),2),2)*10&lt;=ROUND(Q$6+IF(Q$5=$C52,$E$5+$E52,0),2)),ROUND(S51+R52,2),MIN(ROUND(Q$6+IF(Q$5=$C52,$E$5+$E52,0),2),ROUND(S51+R52,2))),0)</f>
        <v>0</v>
      </c>
      <c r="R52" s="24">
        <f>IF(S51&gt;0,ROUND(ROUND(S51*100,0)*ROUND(Q$7*10000,0)/12000000,0)/100,0)</f>
        <v>0</v>
      </c>
      <c r="S52" s="24">
        <f>IF(S51&gt;0,ROUND(S51+R52-Q52,2),0)</f>
        <v>0</v>
      </c>
      <c r="T52" s="24">
        <f>IF(S51&gt;0,ROUND(T51+ROUND(ROUND(T51*100,0)*ROUND(Q$7*10000,0)/12000000,0)/100+0.02,2),0)</f>
        <v>0</v>
      </c>
      <c r="U52" s="24">
        <f>IF(W51&gt;0,IF(AND(ROUND(W51+V52-ROUND(U$6+IF(U$5=$C52,$E$5+$E52,0),2),2)&gt;0,ROUND(W51+V52-ROUND(U$6+IF(U$5=$C52,$E$5+$E52,0),2),2)&lt;=X52,ROUND(W51+V52-ROUND(U$6+IF(U$5=$C52,$E$5+$E52,0),2),2)*10&lt;=ROUND(U$6+IF(U$5=$C52,$E$5+$E52,0),2)),ROUND(W51+V52,2),MIN(ROUND(U$6+IF(U$5=$C52,$E$5+$E52,0),2),ROUND(W51+V52,2))),0)</f>
        <v>0</v>
      </c>
      <c r="V52" s="24">
        <f>IF(W51&gt;0,ROUND(ROUND(W51*100,0)*ROUND(U$7*10000,0)/12000000,0)/100,0)</f>
        <v>0</v>
      </c>
      <c r="W52" s="24">
        <f>IF(W51&gt;0,ROUND(W51+V52-U52,2),0)</f>
        <v>0</v>
      </c>
      <c r="X52" s="24">
        <f>IF(W51&gt;0,ROUND(X51+ROUND(ROUND(X51*100,0)*ROUND(U$7*10000,0)/12000000,0)/100+0.02,2),0)</f>
        <v>0</v>
      </c>
      <c r="Y52" s="24">
        <f>IF(AA51&gt;0,IF(AND(ROUND(AA51+Z52-ROUND(Y$6+IF(Y$5=$C52,$E$5+$E52,0),2),2)&gt;0,ROUND(AA51+Z52-ROUND(Y$6+IF(Y$5=$C52,$E$5+$E52,0),2),2)&lt;=AB52,ROUND(AA51+Z52-ROUND(Y$6+IF(Y$5=$C52,$E$5+$E52,0),2),2)*10&lt;=ROUND(Y$6+IF(Y$5=$C52,$E$5+$E52,0),2)),ROUND(AA51+Z52,2),MIN(ROUND(Y$6+IF(Y$5=$C52,$E$5+$E52,0),2),ROUND(AA51+Z52,2))),0)</f>
        <v>0</v>
      </c>
      <c r="Z52" s="24">
        <f>IF(AA51&gt;0,ROUND(ROUND(AA51*100,0)*ROUND(Y$7*10000,0)/12000000,0)/100,0)</f>
        <v>0</v>
      </c>
      <c r="AA52" s="24">
        <f>IF(AA51&gt;0,ROUND(AA51+Z52-Y52,2),0)</f>
        <v>0</v>
      </c>
      <c r="AB52" s="24">
        <f>IF(AA51&gt;0,ROUND(AB51+ROUND(ROUND(AB51*100,0)*ROUND(Y$7*10000,0)/12000000,0)/100+0.02,2),0)</f>
        <v>0</v>
      </c>
      <c r="AC52" s="24">
        <f>IF(AE51&gt;0,IF(AND(ROUND(AE51+AD52-ROUND(AC$6+IF(AC$5=$C52,$E$5+$E52,0),2),2)&gt;0,ROUND(AE51+AD52-ROUND(AC$6+IF(AC$5=$C52,$E$5+$E52,0),2),2)&lt;=AF52,ROUND(AE51+AD52-ROUND(AC$6+IF(AC$5=$C52,$E$5+$E52,0),2),2)*10&lt;=ROUND(AC$6+IF(AC$5=$C52,$E$5+$E52,0),2)),ROUND(AE51+AD52,2),MIN(ROUND(AC$6+IF(AC$5=$C52,$E$5+$E52,0),2),ROUND(AE51+AD52,2))),0)</f>
        <v>0</v>
      </c>
      <c r="AD52" s="24">
        <f>IF(AE51&gt;0,ROUND(ROUND(AE51*100,0)*ROUND(AC$7*10000,0)/12000000,0)/100,0)</f>
        <v>0</v>
      </c>
      <c r="AE52" s="24">
        <f>IF(AE51&gt;0,ROUND(AE51+AD52-AC52,2),0)</f>
        <v>0</v>
      </c>
      <c r="AF52" s="24">
        <f>IF(AE51&gt;0,ROUND(AF51+ROUND(ROUND(AF51*100,0)*ROUND(AC$7*10000,0)/12000000,0)/100+0.02,2),0)</f>
        <v>0</v>
      </c>
      <c r="AG52" s="24">
        <f>IF(AI51&gt;0,IF(AND(ROUND(AI51+AH52-ROUND(AG$6+IF(AG$5=$C52,$E$5+$E52,0),2),2)&gt;0,ROUND(AI51+AH52-ROUND(AG$6+IF(AG$5=$C52,$E$5+$E52,0),2),2)&lt;=AJ52,ROUND(AI51+AH52-ROUND(AG$6+IF(AG$5=$C52,$E$5+$E52,0),2),2)*10&lt;=ROUND(AG$6+IF(AG$5=$C52,$E$5+$E52,0),2)),ROUND(AI51+AH52,2),MIN(ROUND(AG$6+IF(AG$5=$C52,$E$5+$E52,0),2),ROUND(AI51+AH52,2))),0)</f>
        <v>0</v>
      </c>
      <c r="AH52" s="24">
        <f>IF(AI51&gt;0,ROUND(ROUND(AI51*100,0)*ROUND(AG$7*10000,0)/12000000,0)/100,0)</f>
        <v>0</v>
      </c>
      <c r="AI52" s="24">
        <f>IF(AI51&gt;0,ROUND(AI51+AH52-AG52,2),0)</f>
        <v>0</v>
      </c>
      <c r="AJ52" s="24">
        <f>IF(AI51&gt;0,ROUND(AJ51+ROUND(ROUND(AJ51*100,0)*ROUND(AG$7*10000,0)/12000000,0)/100+0.02,2),0)</f>
        <v>0</v>
      </c>
      <c r="AK52" s="24">
        <f>IF(AM51&gt;0,IF(AND(ROUND(AM51+AL52-ROUND(AK$6+IF(AK$5=$C52,$E$5+$E52,0),2),2)&gt;0,ROUND(AM51+AL52-ROUND(AK$6+IF(AK$5=$C52,$E$5+$E52,0),2),2)&lt;=AN52,ROUND(AM51+AL52-ROUND(AK$6+IF(AK$5=$C52,$E$5+$E52,0),2),2)*10&lt;=ROUND(AK$6+IF(AK$5=$C52,$E$5+$E52,0),2)),ROUND(AM51+AL52,2),MIN(ROUND(AK$6+IF(AK$5=$C52,$E$5+$E52,0),2),ROUND(AM51+AL52,2))),0)</f>
        <v>0</v>
      </c>
      <c r="AL52" s="24">
        <f>IF(AM51&gt;0,ROUND(ROUND(AM51*100,0)*ROUND(AK$7*10000,0)/12000000,0)/100,0)</f>
        <v>0</v>
      </c>
      <c r="AM52" s="24">
        <f>IF(AM51&gt;0,ROUND(AM51+AL52-AK52,2),0)</f>
        <v>0</v>
      </c>
      <c r="AN52" s="24">
        <f>IF(AM51&gt;0,ROUND(AN51+ROUND(ROUND(AN51*100,0)*ROUND(AK$7*10000,0)/12000000,0)/100+0.02,2),0)</f>
        <v>0</v>
      </c>
      <c r="AO52" s="24">
        <f>IF(AQ51&gt;0,IF(AND(ROUND(AQ51+AP52-ROUND(AO$6+IF(AO$5=$C52,$E$5+$E52,0),2),2)&gt;0,ROUND(AQ51+AP52-ROUND(AO$6+IF(AO$5=$C52,$E$5+$E52,0),2),2)&lt;=AR52,ROUND(AQ51+AP52-ROUND(AO$6+IF(AO$5=$C52,$E$5+$E52,0),2),2)*10&lt;=ROUND(AO$6+IF(AO$5=$C52,$E$5+$E52,0),2)),ROUND(AQ51+AP52,2),MIN(ROUND(AO$6+IF(AO$5=$C52,$E$5+$E52,0),2),ROUND(AQ51+AP52,2))),0)</f>
        <v>0</v>
      </c>
      <c r="AP52" s="24">
        <f>IF(AQ51&gt;0,ROUND(ROUND(AQ51*100,0)*ROUND(AO$7*10000,0)/12000000,0)/100,0)</f>
        <v>0</v>
      </c>
      <c r="AQ52" s="24">
        <f>IF(AQ51&gt;0,ROUND(AQ51+AP52-AO52,2),0)</f>
        <v>0</v>
      </c>
      <c r="AR52" s="24">
        <f>IF(AQ51&gt;0,ROUND(AR51+ROUND(ROUND(AR51*100,0)*ROUND(AO$7*10000,0)/12000000,0)/100+0.02,2),0)</f>
        <v>0</v>
      </c>
      <c r="AS52" s="24">
        <f>IF(AU51&gt;0,IF(AND(ROUND(AU51+AT52-ROUND(AS$6+IF(AS$5=$C52,$E$5+$E52,0),2),2)&gt;0,ROUND(AU51+AT52-ROUND(AS$6+IF(AS$5=$C52,$E$5+$E52,0),2),2)&lt;=AV52,ROUND(AU51+AT52-ROUND(AS$6+IF(AS$5=$C52,$E$5+$E52,0),2),2)*10&lt;=ROUND(AS$6+IF(AS$5=$C52,$E$5+$E52,0),2)),ROUND(AU51+AT52,2),MIN(ROUND(AS$6+IF(AS$5=$C52,$E$5+$E52,0),2),ROUND(AU51+AT52,2))),0)</f>
        <v>0</v>
      </c>
      <c r="AT52" s="24">
        <f>IF(AU51&gt;0,ROUND(ROUND(AU51*100,0)*ROUND(AS$7*10000,0)/12000000,0)/100,0)</f>
        <v>0</v>
      </c>
      <c r="AU52" s="24">
        <f>IF(AU51&gt;0,ROUND(AU51+AT52-AS52,2),0)</f>
        <v>0</v>
      </c>
      <c r="AV52" s="24">
        <f>IF(AU51&gt;0,ROUND(AV51+ROUND(ROUND(AV51*100,0)*ROUND(AS$7*10000,0)/12000000,0)/100+0.02,2),0)</f>
        <v>0</v>
      </c>
    </row>
    <row r="53" spans="1:48" x14ac:dyDescent="0.25">
      <c r="A53" s="17" t="str">
        <f>IF(F53&gt;0,43,"")</f>
        <v/>
      </c>
      <c r="B53" s="18" t="str">
        <f>IF(F53&gt;0,EDATE($E$6,43),"")</f>
        <v/>
      </c>
      <c r="C53" s="21">
        <f>IF(H52&gt;0,MIN(IF(K52&gt;0,I$5,99),IF(O52&gt;0,M$5,99),IF(S52&gt;0,Q$5,99),IF(W52&gt;0,U$5,99),IF(AA52&gt;0,Y$5,99),IF(AE52&gt;0,AC$5,99),IF(AI52&gt;0,AG$5,99),IF(AM52&gt;0,AK$5,99),IF(AQ52&gt;0,AO$5,99),IF(AU52&gt;0,AS$5,99)),0)</f>
        <v>0</v>
      </c>
      <c r="D53" t="str">
        <f>IF(C53&gt;0,INDEX($I$4:$AV$4,1,MATCH(C53,$I$5:$AV$5,0)),"")</f>
        <v/>
      </c>
      <c r="E53" s="24">
        <f>ROUND(IF(AND(I$8&gt;0,K52=0),I$6,0)+IF(AND(M$8&gt;0,O52=0),M$6,0)+IF(AND(Q$8&gt;0,S52=0),Q$6,0)+IF(AND(U$8&gt;0,W52=0),U$6,0)+IF(AND(Y$8&gt;0,AA52=0),Y$6,0)+IF(AND(AC$8&gt;0,AE52=0),AC$6,0)+IF(AND(AG$8&gt;0,AI52=0),AG$6,0)+IF(AND(AK$8&gt;0,AM52=0),AK$6,0)+IF(AND(AO$8&gt;0,AQ52=0),AO$6,0)+IF(AND(AS$8&gt;0,AU52=0),AS$6,0),2)</f>
        <v>325</v>
      </c>
      <c r="F53" s="24">
        <f>ROUND(I53+M53+Q53+U53+Y53+AC53+AG53+AK53+AO53+AS53,2)</f>
        <v>0</v>
      </c>
      <c r="G53" s="24">
        <f>ROUND(J53+N53+R53+V53+Z53+AD53+AH53+AL53+AP53+AT53,2)</f>
        <v>0</v>
      </c>
      <c r="H53" s="24">
        <f>ROUND(K53+O53+S53+W53+AA53+AE53+AI53+AM53+AQ53+AU53,2)</f>
        <v>0</v>
      </c>
      <c r="I53" s="24">
        <f>IF(K52&gt;0,IF(AND(ROUND(K52+J53-ROUND(I$6+IF(I$5=$C53,$E$5+$E53,0),2),2)&gt;0,ROUND(K52+J53-ROUND(I$6+IF(I$5=$C53,$E$5+$E53,0),2),2)&lt;=L53,ROUND(K52+J53-ROUND(I$6+IF(I$5=$C53,$E$5+$E53,0),2),2)*10&lt;=ROUND(I$6+IF(I$5=$C53,$E$5+$E53,0),2)),ROUND(K52+J53,2),MIN(ROUND(I$6+IF(I$5=$C53,$E$5+$E53,0),2),ROUND(K52+J53,2))),0)</f>
        <v>0</v>
      </c>
      <c r="J53" s="24">
        <f>IF(K52&gt;0,ROUND(ROUND(K52*100,0)*ROUND(I$7*10000,0)/12000000,0)/100,0)</f>
        <v>0</v>
      </c>
      <c r="K53" s="24">
        <f>IF(K52&gt;0,ROUND(K52+J53-I53,2),0)</f>
        <v>0</v>
      </c>
      <c r="L53" s="24">
        <f>IF(K52&gt;0,ROUND(L52+ROUND(ROUND(L52*100,0)*ROUND(I$7*10000,0)/12000000,0)/100+0.02,2),0)</f>
        <v>0</v>
      </c>
      <c r="M53" s="24">
        <f>IF(O52&gt;0,IF(AND(ROUND(O52+N53-ROUND(M$6+IF(M$5=$C53,$E$5+$E53,0),2),2)&gt;0,ROUND(O52+N53-ROUND(M$6+IF(M$5=$C53,$E$5+$E53,0),2),2)&lt;=P53,ROUND(O52+N53-ROUND(M$6+IF(M$5=$C53,$E$5+$E53,0),2),2)*10&lt;=ROUND(M$6+IF(M$5=$C53,$E$5+$E53,0),2)),ROUND(O52+N53,2),MIN(ROUND(M$6+IF(M$5=$C53,$E$5+$E53,0),2),ROUND(O52+N53,2))),0)</f>
        <v>0</v>
      </c>
      <c r="N53" s="24">
        <f>IF(O52&gt;0,ROUND(ROUND(O52*100,0)*ROUND(M$7*10000,0)/12000000,0)/100,0)</f>
        <v>0</v>
      </c>
      <c r="O53" s="24">
        <f>IF(O52&gt;0,ROUND(O52+N53-M53,2),0)</f>
        <v>0</v>
      </c>
      <c r="P53" s="24">
        <f>IF(O52&gt;0,ROUND(P52+ROUND(ROUND(P52*100,0)*ROUND(M$7*10000,0)/12000000,0)/100+0.02,2),0)</f>
        <v>0</v>
      </c>
      <c r="Q53" s="24">
        <f>IF(S52&gt;0,IF(AND(ROUND(S52+R53-ROUND(Q$6+IF(Q$5=$C53,$E$5+$E53,0),2),2)&gt;0,ROUND(S52+R53-ROUND(Q$6+IF(Q$5=$C53,$E$5+$E53,0),2),2)&lt;=T53,ROUND(S52+R53-ROUND(Q$6+IF(Q$5=$C53,$E$5+$E53,0),2),2)*10&lt;=ROUND(Q$6+IF(Q$5=$C53,$E$5+$E53,0),2)),ROUND(S52+R53,2),MIN(ROUND(Q$6+IF(Q$5=$C53,$E$5+$E53,0),2),ROUND(S52+R53,2))),0)</f>
        <v>0</v>
      </c>
      <c r="R53" s="24">
        <f>IF(S52&gt;0,ROUND(ROUND(S52*100,0)*ROUND(Q$7*10000,0)/12000000,0)/100,0)</f>
        <v>0</v>
      </c>
      <c r="S53" s="24">
        <f>IF(S52&gt;0,ROUND(S52+R53-Q53,2),0)</f>
        <v>0</v>
      </c>
      <c r="T53" s="24">
        <f>IF(S52&gt;0,ROUND(T52+ROUND(ROUND(T52*100,0)*ROUND(Q$7*10000,0)/12000000,0)/100+0.02,2),0)</f>
        <v>0</v>
      </c>
      <c r="U53" s="24">
        <f>IF(W52&gt;0,IF(AND(ROUND(W52+V53-ROUND(U$6+IF(U$5=$C53,$E$5+$E53,0),2),2)&gt;0,ROUND(W52+V53-ROUND(U$6+IF(U$5=$C53,$E$5+$E53,0),2),2)&lt;=X53,ROUND(W52+V53-ROUND(U$6+IF(U$5=$C53,$E$5+$E53,0),2),2)*10&lt;=ROUND(U$6+IF(U$5=$C53,$E$5+$E53,0),2)),ROUND(W52+V53,2),MIN(ROUND(U$6+IF(U$5=$C53,$E$5+$E53,0),2),ROUND(W52+V53,2))),0)</f>
        <v>0</v>
      </c>
      <c r="V53" s="24">
        <f>IF(W52&gt;0,ROUND(ROUND(W52*100,0)*ROUND(U$7*10000,0)/12000000,0)/100,0)</f>
        <v>0</v>
      </c>
      <c r="W53" s="24">
        <f>IF(W52&gt;0,ROUND(W52+V53-U53,2),0)</f>
        <v>0</v>
      </c>
      <c r="X53" s="24">
        <f>IF(W52&gt;0,ROUND(X52+ROUND(ROUND(X52*100,0)*ROUND(U$7*10000,0)/12000000,0)/100+0.02,2),0)</f>
        <v>0</v>
      </c>
      <c r="Y53" s="24">
        <f>IF(AA52&gt;0,IF(AND(ROUND(AA52+Z53-ROUND(Y$6+IF(Y$5=$C53,$E$5+$E53,0),2),2)&gt;0,ROUND(AA52+Z53-ROUND(Y$6+IF(Y$5=$C53,$E$5+$E53,0),2),2)&lt;=AB53,ROUND(AA52+Z53-ROUND(Y$6+IF(Y$5=$C53,$E$5+$E53,0),2),2)*10&lt;=ROUND(Y$6+IF(Y$5=$C53,$E$5+$E53,0),2)),ROUND(AA52+Z53,2),MIN(ROUND(Y$6+IF(Y$5=$C53,$E$5+$E53,0),2),ROUND(AA52+Z53,2))),0)</f>
        <v>0</v>
      </c>
      <c r="Z53" s="24">
        <f>IF(AA52&gt;0,ROUND(ROUND(AA52*100,0)*ROUND(Y$7*10000,0)/12000000,0)/100,0)</f>
        <v>0</v>
      </c>
      <c r="AA53" s="24">
        <f>IF(AA52&gt;0,ROUND(AA52+Z53-Y53,2),0)</f>
        <v>0</v>
      </c>
      <c r="AB53" s="24">
        <f>IF(AA52&gt;0,ROUND(AB52+ROUND(ROUND(AB52*100,0)*ROUND(Y$7*10000,0)/12000000,0)/100+0.02,2),0)</f>
        <v>0</v>
      </c>
      <c r="AC53" s="24">
        <f>IF(AE52&gt;0,IF(AND(ROUND(AE52+AD53-ROUND(AC$6+IF(AC$5=$C53,$E$5+$E53,0),2),2)&gt;0,ROUND(AE52+AD53-ROUND(AC$6+IF(AC$5=$C53,$E$5+$E53,0),2),2)&lt;=AF53,ROUND(AE52+AD53-ROUND(AC$6+IF(AC$5=$C53,$E$5+$E53,0),2),2)*10&lt;=ROUND(AC$6+IF(AC$5=$C53,$E$5+$E53,0),2)),ROUND(AE52+AD53,2),MIN(ROUND(AC$6+IF(AC$5=$C53,$E$5+$E53,0),2),ROUND(AE52+AD53,2))),0)</f>
        <v>0</v>
      </c>
      <c r="AD53" s="24">
        <f>IF(AE52&gt;0,ROUND(ROUND(AE52*100,0)*ROUND(AC$7*10000,0)/12000000,0)/100,0)</f>
        <v>0</v>
      </c>
      <c r="AE53" s="24">
        <f>IF(AE52&gt;0,ROUND(AE52+AD53-AC53,2),0)</f>
        <v>0</v>
      </c>
      <c r="AF53" s="24">
        <f>IF(AE52&gt;0,ROUND(AF52+ROUND(ROUND(AF52*100,0)*ROUND(AC$7*10000,0)/12000000,0)/100+0.02,2),0)</f>
        <v>0</v>
      </c>
      <c r="AG53" s="24">
        <f>IF(AI52&gt;0,IF(AND(ROUND(AI52+AH53-ROUND(AG$6+IF(AG$5=$C53,$E$5+$E53,0),2),2)&gt;0,ROUND(AI52+AH53-ROUND(AG$6+IF(AG$5=$C53,$E$5+$E53,0),2),2)&lt;=AJ53,ROUND(AI52+AH53-ROUND(AG$6+IF(AG$5=$C53,$E$5+$E53,0),2),2)*10&lt;=ROUND(AG$6+IF(AG$5=$C53,$E$5+$E53,0),2)),ROUND(AI52+AH53,2),MIN(ROUND(AG$6+IF(AG$5=$C53,$E$5+$E53,0),2),ROUND(AI52+AH53,2))),0)</f>
        <v>0</v>
      </c>
      <c r="AH53" s="24">
        <f>IF(AI52&gt;0,ROUND(ROUND(AI52*100,0)*ROUND(AG$7*10000,0)/12000000,0)/100,0)</f>
        <v>0</v>
      </c>
      <c r="AI53" s="24">
        <f>IF(AI52&gt;0,ROUND(AI52+AH53-AG53,2),0)</f>
        <v>0</v>
      </c>
      <c r="AJ53" s="24">
        <f>IF(AI52&gt;0,ROUND(AJ52+ROUND(ROUND(AJ52*100,0)*ROUND(AG$7*10000,0)/12000000,0)/100+0.02,2),0)</f>
        <v>0</v>
      </c>
      <c r="AK53" s="24">
        <f>IF(AM52&gt;0,IF(AND(ROUND(AM52+AL53-ROUND(AK$6+IF(AK$5=$C53,$E$5+$E53,0),2),2)&gt;0,ROUND(AM52+AL53-ROUND(AK$6+IF(AK$5=$C53,$E$5+$E53,0),2),2)&lt;=AN53,ROUND(AM52+AL53-ROUND(AK$6+IF(AK$5=$C53,$E$5+$E53,0),2),2)*10&lt;=ROUND(AK$6+IF(AK$5=$C53,$E$5+$E53,0),2)),ROUND(AM52+AL53,2),MIN(ROUND(AK$6+IF(AK$5=$C53,$E$5+$E53,0),2),ROUND(AM52+AL53,2))),0)</f>
        <v>0</v>
      </c>
      <c r="AL53" s="24">
        <f>IF(AM52&gt;0,ROUND(ROUND(AM52*100,0)*ROUND(AK$7*10000,0)/12000000,0)/100,0)</f>
        <v>0</v>
      </c>
      <c r="AM53" s="24">
        <f>IF(AM52&gt;0,ROUND(AM52+AL53-AK53,2),0)</f>
        <v>0</v>
      </c>
      <c r="AN53" s="24">
        <f>IF(AM52&gt;0,ROUND(AN52+ROUND(ROUND(AN52*100,0)*ROUND(AK$7*10000,0)/12000000,0)/100+0.02,2),0)</f>
        <v>0</v>
      </c>
      <c r="AO53" s="24">
        <f>IF(AQ52&gt;0,IF(AND(ROUND(AQ52+AP53-ROUND(AO$6+IF(AO$5=$C53,$E$5+$E53,0),2),2)&gt;0,ROUND(AQ52+AP53-ROUND(AO$6+IF(AO$5=$C53,$E$5+$E53,0),2),2)&lt;=AR53,ROUND(AQ52+AP53-ROUND(AO$6+IF(AO$5=$C53,$E$5+$E53,0),2),2)*10&lt;=ROUND(AO$6+IF(AO$5=$C53,$E$5+$E53,0),2)),ROUND(AQ52+AP53,2),MIN(ROUND(AO$6+IF(AO$5=$C53,$E$5+$E53,0),2),ROUND(AQ52+AP53,2))),0)</f>
        <v>0</v>
      </c>
      <c r="AP53" s="24">
        <f>IF(AQ52&gt;0,ROUND(ROUND(AQ52*100,0)*ROUND(AO$7*10000,0)/12000000,0)/100,0)</f>
        <v>0</v>
      </c>
      <c r="AQ53" s="24">
        <f>IF(AQ52&gt;0,ROUND(AQ52+AP53-AO53,2),0)</f>
        <v>0</v>
      </c>
      <c r="AR53" s="24">
        <f>IF(AQ52&gt;0,ROUND(AR52+ROUND(ROUND(AR52*100,0)*ROUND(AO$7*10000,0)/12000000,0)/100+0.02,2),0)</f>
        <v>0</v>
      </c>
      <c r="AS53" s="24">
        <f>IF(AU52&gt;0,IF(AND(ROUND(AU52+AT53-ROUND(AS$6+IF(AS$5=$C53,$E$5+$E53,0),2),2)&gt;0,ROUND(AU52+AT53-ROUND(AS$6+IF(AS$5=$C53,$E$5+$E53,0),2),2)&lt;=AV53,ROUND(AU52+AT53-ROUND(AS$6+IF(AS$5=$C53,$E$5+$E53,0),2),2)*10&lt;=ROUND(AS$6+IF(AS$5=$C53,$E$5+$E53,0),2)),ROUND(AU52+AT53,2),MIN(ROUND(AS$6+IF(AS$5=$C53,$E$5+$E53,0),2),ROUND(AU52+AT53,2))),0)</f>
        <v>0</v>
      </c>
      <c r="AT53" s="24">
        <f>IF(AU52&gt;0,ROUND(ROUND(AU52*100,0)*ROUND(AS$7*10000,0)/12000000,0)/100,0)</f>
        <v>0</v>
      </c>
      <c r="AU53" s="24">
        <f>IF(AU52&gt;0,ROUND(AU52+AT53-AS53,2),0)</f>
        <v>0</v>
      </c>
      <c r="AV53" s="24">
        <f>IF(AU52&gt;0,ROUND(AV52+ROUND(ROUND(AV52*100,0)*ROUND(AS$7*10000,0)/12000000,0)/100+0.02,2),0)</f>
        <v>0</v>
      </c>
    </row>
    <row r="54" spans="1:48" x14ac:dyDescent="0.25">
      <c r="A54" s="17" t="str">
        <f>IF(F54&gt;0,44,"")</f>
        <v/>
      </c>
      <c r="B54" s="18" t="str">
        <f>IF(F54&gt;0,EDATE($E$6,44),"")</f>
        <v/>
      </c>
      <c r="C54" s="21">
        <f>IF(H53&gt;0,MIN(IF(K53&gt;0,I$5,99),IF(O53&gt;0,M$5,99),IF(S53&gt;0,Q$5,99),IF(W53&gt;0,U$5,99),IF(AA53&gt;0,Y$5,99),IF(AE53&gt;0,AC$5,99),IF(AI53&gt;0,AG$5,99),IF(AM53&gt;0,AK$5,99),IF(AQ53&gt;0,AO$5,99),IF(AU53&gt;0,AS$5,99)),0)</f>
        <v>0</v>
      </c>
      <c r="D54" t="str">
        <f>IF(C54&gt;0,INDEX($I$4:$AV$4,1,MATCH(C54,$I$5:$AV$5,0)),"")</f>
        <v/>
      </c>
      <c r="E54" s="24">
        <f>ROUND(IF(AND(I$8&gt;0,K53=0),I$6,0)+IF(AND(M$8&gt;0,O53=0),M$6,0)+IF(AND(Q$8&gt;0,S53=0),Q$6,0)+IF(AND(U$8&gt;0,W53=0),U$6,0)+IF(AND(Y$8&gt;0,AA53=0),Y$6,0)+IF(AND(AC$8&gt;0,AE53=0),AC$6,0)+IF(AND(AG$8&gt;0,AI53=0),AG$6,0)+IF(AND(AK$8&gt;0,AM53=0),AK$6,0)+IF(AND(AO$8&gt;0,AQ53=0),AO$6,0)+IF(AND(AS$8&gt;0,AU53=0),AS$6,0),2)</f>
        <v>325</v>
      </c>
      <c r="F54" s="24">
        <f>ROUND(I54+M54+Q54+U54+Y54+AC54+AG54+AK54+AO54+AS54,2)</f>
        <v>0</v>
      </c>
      <c r="G54" s="24">
        <f>ROUND(J54+N54+R54+V54+Z54+AD54+AH54+AL54+AP54+AT54,2)</f>
        <v>0</v>
      </c>
      <c r="H54" s="24">
        <f>ROUND(K54+O54+S54+W54+AA54+AE54+AI54+AM54+AQ54+AU54,2)</f>
        <v>0</v>
      </c>
      <c r="I54" s="24">
        <f>IF(K53&gt;0,IF(AND(ROUND(K53+J54-ROUND(I$6+IF(I$5=$C54,$E$5+$E54,0),2),2)&gt;0,ROUND(K53+J54-ROUND(I$6+IF(I$5=$C54,$E$5+$E54,0),2),2)&lt;=L54,ROUND(K53+J54-ROUND(I$6+IF(I$5=$C54,$E$5+$E54,0),2),2)*10&lt;=ROUND(I$6+IF(I$5=$C54,$E$5+$E54,0),2)),ROUND(K53+J54,2),MIN(ROUND(I$6+IF(I$5=$C54,$E$5+$E54,0),2),ROUND(K53+J54,2))),0)</f>
        <v>0</v>
      </c>
      <c r="J54" s="24">
        <f>IF(K53&gt;0,ROUND(ROUND(K53*100,0)*ROUND(I$7*10000,0)/12000000,0)/100,0)</f>
        <v>0</v>
      </c>
      <c r="K54" s="24">
        <f>IF(K53&gt;0,ROUND(K53+J54-I54,2),0)</f>
        <v>0</v>
      </c>
      <c r="L54" s="24">
        <f>IF(K53&gt;0,ROUND(L53+ROUND(ROUND(L53*100,0)*ROUND(I$7*10000,0)/12000000,0)/100+0.02,2),0)</f>
        <v>0</v>
      </c>
      <c r="M54" s="24">
        <f>IF(O53&gt;0,IF(AND(ROUND(O53+N54-ROUND(M$6+IF(M$5=$C54,$E$5+$E54,0),2),2)&gt;0,ROUND(O53+N54-ROUND(M$6+IF(M$5=$C54,$E$5+$E54,0),2),2)&lt;=P54,ROUND(O53+N54-ROUND(M$6+IF(M$5=$C54,$E$5+$E54,0),2),2)*10&lt;=ROUND(M$6+IF(M$5=$C54,$E$5+$E54,0),2)),ROUND(O53+N54,2),MIN(ROUND(M$6+IF(M$5=$C54,$E$5+$E54,0),2),ROUND(O53+N54,2))),0)</f>
        <v>0</v>
      </c>
      <c r="N54" s="24">
        <f>IF(O53&gt;0,ROUND(ROUND(O53*100,0)*ROUND(M$7*10000,0)/12000000,0)/100,0)</f>
        <v>0</v>
      </c>
      <c r="O54" s="24">
        <f>IF(O53&gt;0,ROUND(O53+N54-M54,2),0)</f>
        <v>0</v>
      </c>
      <c r="P54" s="24">
        <f>IF(O53&gt;0,ROUND(P53+ROUND(ROUND(P53*100,0)*ROUND(M$7*10000,0)/12000000,0)/100+0.02,2),0)</f>
        <v>0</v>
      </c>
      <c r="Q54" s="24">
        <f>IF(S53&gt;0,IF(AND(ROUND(S53+R54-ROUND(Q$6+IF(Q$5=$C54,$E$5+$E54,0),2),2)&gt;0,ROUND(S53+R54-ROUND(Q$6+IF(Q$5=$C54,$E$5+$E54,0),2),2)&lt;=T54,ROUND(S53+R54-ROUND(Q$6+IF(Q$5=$C54,$E$5+$E54,0),2),2)*10&lt;=ROUND(Q$6+IF(Q$5=$C54,$E$5+$E54,0),2)),ROUND(S53+R54,2),MIN(ROUND(Q$6+IF(Q$5=$C54,$E$5+$E54,0),2),ROUND(S53+R54,2))),0)</f>
        <v>0</v>
      </c>
      <c r="R54" s="24">
        <f>IF(S53&gt;0,ROUND(ROUND(S53*100,0)*ROUND(Q$7*10000,0)/12000000,0)/100,0)</f>
        <v>0</v>
      </c>
      <c r="S54" s="24">
        <f>IF(S53&gt;0,ROUND(S53+R54-Q54,2),0)</f>
        <v>0</v>
      </c>
      <c r="T54" s="24">
        <f>IF(S53&gt;0,ROUND(T53+ROUND(ROUND(T53*100,0)*ROUND(Q$7*10000,0)/12000000,0)/100+0.02,2),0)</f>
        <v>0</v>
      </c>
      <c r="U54" s="24">
        <f>IF(W53&gt;0,IF(AND(ROUND(W53+V54-ROUND(U$6+IF(U$5=$C54,$E$5+$E54,0),2),2)&gt;0,ROUND(W53+V54-ROUND(U$6+IF(U$5=$C54,$E$5+$E54,0),2),2)&lt;=X54,ROUND(W53+V54-ROUND(U$6+IF(U$5=$C54,$E$5+$E54,0),2),2)*10&lt;=ROUND(U$6+IF(U$5=$C54,$E$5+$E54,0),2)),ROUND(W53+V54,2),MIN(ROUND(U$6+IF(U$5=$C54,$E$5+$E54,0),2),ROUND(W53+V54,2))),0)</f>
        <v>0</v>
      </c>
      <c r="V54" s="24">
        <f>IF(W53&gt;0,ROUND(ROUND(W53*100,0)*ROUND(U$7*10000,0)/12000000,0)/100,0)</f>
        <v>0</v>
      </c>
      <c r="W54" s="24">
        <f>IF(W53&gt;0,ROUND(W53+V54-U54,2),0)</f>
        <v>0</v>
      </c>
      <c r="X54" s="24">
        <f>IF(W53&gt;0,ROUND(X53+ROUND(ROUND(X53*100,0)*ROUND(U$7*10000,0)/12000000,0)/100+0.02,2),0)</f>
        <v>0</v>
      </c>
      <c r="Y54" s="24">
        <f>IF(AA53&gt;0,IF(AND(ROUND(AA53+Z54-ROUND(Y$6+IF(Y$5=$C54,$E$5+$E54,0),2),2)&gt;0,ROUND(AA53+Z54-ROUND(Y$6+IF(Y$5=$C54,$E$5+$E54,0),2),2)&lt;=AB54,ROUND(AA53+Z54-ROUND(Y$6+IF(Y$5=$C54,$E$5+$E54,0),2),2)*10&lt;=ROUND(Y$6+IF(Y$5=$C54,$E$5+$E54,0),2)),ROUND(AA53+Z54,2),MIN(ROUND(Y$6+IF(Y$5=$C54,$E$5+$E54,0),2),ROUND(AA53+Z54,2))),0)</f>
        <v>0</v>
      </c>
      <c r="Z54" s="24">
        <f>IF(AA53&gt;0,ROUND(ROUND(AA53*100,0)*ROUND(Y$7*10000,0)/12000000,0)/100,0)</f>
        <v>0</v>
      </c>
      <c r="AA54" s="24">
        <f>IF(AA53&gt;0,ROUND(AA53+Z54-Y54,2),0)</f>
        <v>0</v>
      </c>
      <c r="AB54" s="24">
        <f>IF(AA53&gt;0,ROUND(AB53+ROUND(ROUND(AB53*100,0)*ROUND(Y$7*10000,0)/12000000,0)/100+0.02,2),0)</f>
        <v>0</v>
      </c>
      <c r="AC54" s="24">
        <f>IF(AE53&gt;0,IF(AND(ROUND(AE53+AD54-ROUND(AC$6+IF(AC$5=$C54,$E$5+$E54,0),2),2)&gt;0,ROUND(AE53+AD54-ROUND(AC$6+IF(AC$5=$C54,$E$5+$E54,0),2),2)&lt;=AF54,ROUND(AE53+AD54-ROUND(AC$6+IF(AC$5=$C54,$E$5+$E54,0),2),2)*10&lt;=ROUND(AC$6+IF(AC$5=$C54,$E$5+$E54,0),2)),ROUND(AE53+AD54,2),MIN(ROUND(AC$6+IF(AC$5=$C54,$E$5+$E54,0),2),ROUND(AE53+AD54,2))),0)</f>
        <v>0</v>
      </c>
      <c r="AD54" s="24">
        <f>IF(AE53&gt;0,ROUND(ROUND(AE53*100,0)*ROUND(AC$7*10000,0)/12000000,0)/100,0)</f>
        <v>0</v>
      </c>
      <c r="AE54" s="24">
        <f>IF(AE53&gt;0,ROUND(AE53+AD54-AC54,2),0)</f>
        <v>0</v>
      </c>
      <c r="AF54" s="24">
        <f>IF(AE53&gt;0,ROUND(AF53+ROUND(ROUND(AF53*100,0)*ROUND(AC$7*10000,0)/12000000,0)/100+0.02,2),0)</f>
        <v>0</v>
      </c>
      <c r="AG54" s="24">
        <f>IF(AI53&gt;0,IF(AND(ROUND(AI53+AH54-ROUND(AG$6+IF(AG$5=$C54,$E$5+$E54,0),2),2)&gt;0,ROUND(AI53+AH54-ROUND(AG$6+IF(AG$5=$C54,$E$5+$E54,0),2),2)&lt;=AJ54,ROUND(AI53+AH54-ROUND(AG$6+IF(AG$5=$C54,$E$5+$E54,0),2),2)*10&lt;=ROUND(AG$6+IF(AG$5=$C54,$E$5+$E54,0),2)),ROUND(AI53+AH54,2),MIN(ROUND(AG$6+IF(AG$5=$C54,$E$5+$E54,0),2),ROUND(AI53+AH54,2))),0)</f>
        <v>0</v>
      </c>
      <c r="AH54" s="24">
        <f>IF(AI53&gt;0,ROUND(ROUND(AI53*100,0)*ROUND(AG$7*10000,0)/12000000,0)/100,0)</f>
        <v>0</v>
      </c>
      <c r="AI54" s="24">
        <f>IF(AI53&gt;0,ROUND(AI53+AH54-AG54,2),0)</f>
        <v>0</v>
      </c>
      <c r="AJ54" s="24">
        <f>IF(AI53&gt;0,ROUND(AJ53+ROUND(ROUND(AJ53*100,0)*ROUND(AG$7*10000,0)/12000000,0)/100+0.02,2),0)</f>
        <v>0</v>
      </c>
      <c r="AK54" s="24">
        <f>IF(AM53&gt;0,IF(AND(ROUND(AM53+AL54-ROUND(AK$6+IF(AK$5=$C54,$E$5+$E54,0),2),2)&gt;0,ROUND(AM53+AL54-ROUND(AK$6+IF(AK$5=$C54,$E$5+$E54,0),2),2)&lt;=AN54,ROUND(AM53+AL54-ROUND(AK$6+IF(AK$5=$C54,$E$5+$E54,0),2),2)*10&lt;=ROUND(AK$6+IF(AK$5=$C54,$E$5+$E54,0),2)),ROUND(AM53+AL54,2),MIN(ROUND(AK$6+IF(AK$5=$C54,$E$5+$E54,0),2),ROUND(AM53+AL54,2))),0)</f>
        <v>0</v>
      </c>
      <c r="AL54" s="24">
        <f>IF(AM53&gt;0,ROUND(ROUND(AM53*100,0)*ROUND(AK$7*10000,0)/12000000,0)/100,0)</f>
        <v>0</v>
      </c>
      <c r="AM54" s="24">
        <f>IF(AM53&gt;0,ROUND(AM53+AL54-AK54,2),0)</f>
        <v>0</v>
      </c>
      <c r="AN54" s="24">
        <f>IF(AM53&gt;0,ROUND(AN53+ROUND(ROUND(AN53*100,0)*ROUND(AK$7*10000,0)/12000000,0)/100+0.02,2),0)</f>
        <v>0</v>
      </c>
      <c r="AO54" s="24">
        <f>IF(AQ53&gt;0,IF(AND(ROUND(AQ53+AP54-ROUND(AO$6+IF(AO$5=$C54,$E$5+$E54,0),2),2)&gt;0,ROUND(AQ53+AP54-ROUND(AO$6+IF(AO$5=$C54,$E$5+$E54,0),2),2)&lt;=AR54,ROUND(AQ53+AP54-ROUND(AO$6+IF(AO$5=$C54,$E$5+$E54,0),2),2)*10&lt;=ROUND(AO$6+IF(AO$5=$C54,$E$5+$E54,0),2)),ROUND(AQ53+AP54,2),MIN(ROUND(AO$6+IF(AO$5=$C54,$E$5+$E54,0),2),ROUND(AQ53+AP54,2))),0)</f>
        <v>0</v>
      </c>
      <c r="AP54" s="24">
        <f>IF(AQ53&gt;0,ROUND(ROUND(AQ53*100,0)*ROUND(AO$7*10000,0)/12000000,0)/100,0)</f>
        <v>0</v>
      </c>
      <c r="AQ54" s="24">
        <f>IF(AQ53&gt;0,ROUND(AQ53+AP54-AO54,2),0)</f>
        <v>0</v>
      </c>
      <c r="AR54" s="24">
        <f>IF(AQ53&gt;0,ROUND(AR53+ROUND(ROUND(AR53*100,0)*ROUND(AO$7*10000,0)/12000000,0)/100+0.02,2),0)</f>
        <v>0</v>
      </c>
      <c r="AS54" s="24">
        <f>IF(AU53&gt;0,IF(AND(ROUND(AU53+AT54-ROUND(AS$6+IF(AS$5=$C54,$E$5+$E54,0),2),2)&gt;0,ROUND(AU53+AT54-ROUND(AS$6+IF(AS$5=$C54,$E$5+$E54,0),2),2)&lt;=AV54,ROUND(AU53+AT54-ROUND(AS$6+IF(AS$5=$C54,$E$5+$E54,0),2),2)*10&lt;=ROUND(AS$6+IF(AS$5=$C54,$E$5+$E54,0),2)),ROUND(AU53+AT54,2),MIN(ROUND(AS$6+IF(AS$5=$C54,$E$5+$E54,0),2),ROUND(AU53+AT54,2))),0)</f>
        <v>0</v>
      </c>
      <c r="AT54" s="24">
        <f>IF(AU53&gt;0,ROUND(ROUND(AU53*100,0)*ROUND(AS$7*10000,0)/12000000,0)/100,0)</f>
        <v>0</v>
      </c>
      <c r="AU54" s="24">
        <f>IF(AU53&gt;0,ROUND(AU53+AT54-AS54,2),0)</f>
        <v>0</v>
      </c>
      <c r="AV54" s="24">
        <f>IF(AU53&gt;0,ROUND(AV53+ROUND(ROUND(AV53*100,0)*ROUND(AS$7*10000,0)/12000000,0)/100+0.02,2),0)</f>
        <v>0</v>
      </c>
    </row>
    <row r="55" spans="1:48" x14ac:dyDescent="0.25">
      <c r="A55" s="17" t="str">
        <f>IF(F55&gt;0,45,"")</f>
        <v/>
      </c>
      <c r="B55" s="18" t="str">
        <f>IF(F55&gt;0,EDATE($E$6,45),"")</f>
        <v/>
      </c>
      <c r="C55" s="21">
        <f>IF(H54&gt;0,MIN(IF(K54&gt;0,I$5,99),IF(O54&gt;0,M$5,99),IF(S54&gt;0,Q$5,99),IF(W54&gt;0,U$5,99),IF(AA54&gt;0,Y$5,99),IF(AE54&gt;0,AC$5,99),IF(AI54&gt;0,AG$5,99),IF(AM54&gt;0,AK$5,99),IF(AQ54&gt;0,AO$5,99),IF(AU54&gt;0,AS$5,99)),0)</f>
        <v>0</v>
      </c>
      <c r="D55" t="str">
        <f>IF(C55&gt;0,INDEX($I$4:$AV$4,1,MATCH(C55,$I$5:$AV$5,0)),"")</f>
        <v/>
      </c>
      <c r="E55" s="24">
        <f>ROUND(IF(AND(I$8&gt;0,K54=0),I$6,0)+IF(AND(M$8&gt;0,O54=0),M$6,0)+IF(AND(Q$8&gt;0,S54=0),Q$6,0)+IF(AND(U$8&gt;0,W54=0),U$6,0)+IF(AND(Y$8&gt;0,AA54=0),Y$6,0)+IF(AND(AC$8&gt;0,AE54=0),AC$6,0)+IF(AND(AG$8&gt;0,AI54=0),AG$6,0)+IF(AND(AK$8&gt;0,AM54=0),AK$6,0)+IF(AND(AO$8&gt;0,AQ54=0),AO$6,0)+IF(AND(AS$8&gt;0,AU54=0),AS$6,0),2)</f>
        <v>325</v>
      </c>
      <c r="F55" s="24">
        <f>ROUND(I55+M55+Q55+U55+Y55+AC55+AG55+AK55+AO55+AS55,2)</f>
        <v>0</v>
      </c>
      <c r="G55" s="24">
        <f>ROUND(J55+N55+R55+V55+Z55+AD55+AH55+AL55+AP55+AT55,2)</f>
        <v>0</v>
      </c>
      <c r="H55" s="24">
        <f>ROUND(K55+O55+S55+W55+AA55+AE55+AI55+AM55+AQ55+AU55,2)</f>
        <v>0</v>
      </c>
      <c r="I55" s="24">
        <f>IF(K54&gt;0,IF(AND(ROUND(K54+J55-ROUND(I$6+IF(I$5=$C55,$E$5+$E55,0),2),2)&gt;0,ROUND(K54+J55-ROUND(I$6+IF(I$5=$C55,$E$5+$E55,0),2),2)&lt;=L55,ROUND(K54+J55-ROUND(I$6+IF(I$5=$C55,$E$5+$E55,0),2),2)*10&lt;=ROUND(I$6+IF(I$5=$C55,$E$5+$E55,0),2)),ROUND(K54+J55,2),MIN(ROUND(I$6+IF(I$5=$C55,$E$5+$E55,0),2),ROUND(K54+J55,2))),0)</f>
        <v>0</v>
      </c>
      <c r="J55" s="24">
        <f>IF(K54&gt;0,ROUND(ROUND(K54*100,0)*ROUND(I$7*10000,0)/12000000,0)/100,0)</f>
        <v>0</v>
      </c>
      <c r="K55" s="24">
        <f>IF(K54&gt;0,ROUND(K54+J55-I55,2),0)</f>
        <v>0</v>
      </c>
      <c r="L55" s="24">
        <f>IF(K54&gt;0,ROUND(L54+ROUND(ROUND(L54*100,0)*ROUND(I$7*10000,0)/12000000,0)/100+0.02,2),0)</f>
        <v>0</v>
      </c>
      <c r="M55" s="24">
        <f>IF(O54&gt;0,IF(AND(ROUND(O54+N55-ROUND(M$6+IF(M$5=$C55,$E$5+$E55,0),2),2)&gt;0,ROUND(O54+N55-ROUND(M$6+IF(M$5=$C55,$E$5+$E55,0),2),2)&lt;=P55,ROUND(O54+N55-ROUND(M$6+IF(M$5=$C55,$E$5+$E55,0),2),2)*10&lt;=ROUND(M$6+IF(M$5=$C55,$E$5+$E55,0),2)),ROUND(O54+N55,2),MIN(ROUND(M$6+IF(M$5=$C55,$E$5+$E55,0),2),ROUND(O54+N55,2))),0)</f>
        <v>0</v>
      </c>
      <c r="N55" s="24">
        <f>IF(O54&gt;0,ROUND(ROUND(O54*100,0)*ROUND(M$7*10000,0)/12000000,0)/100,0)</f>
        <v>0</v>
      </c>
      <c r="O55" s="24">
        <f>IF(O54&gt;0,ROUND(O54+N55-M55,2),0)</f>
        <v>0</v>
      </c>
      <c r="P55" s="24">
        <f>IF(O54&gt;0,ROUND(P54+ROUND(ROUND(P54*100,0)*ROUND(M$7*10000,0)/12000000,0)/100+0.02,2),0)</f>
        <v>0</v>
      </c>
      <c r="Q55" s="24">
        <f>IF(S54&gt;0,IF(AND(ROUND(S54+R55-ROUND(Q$6+IF(Q$5=$C55,$E$5+$E55,0),2),2)&gt;0,ROUND(S54+R55-ROUND(Q$6+IF(Q$5=$C55,$E$5+$E55,0),2),2)&lt;=T55,ROUND(S54+R55-ROUND(Q$6+IF(Q$5=$C55,$E$5+$E55,0),2),2)*10&lt;=ROUND(Q$6+IF(Q$5=$C55,$E$5+$E55,0),2)),ROUND(S54+R55,2),MIN(ROUND(Q$6+IF(Q$5=$C55,$E$5+$E55,0),2),ROUND(S54+R55,2))),0)</f>
        <v>0</v>
      </c>
      <c r="R55" s="24">
        <f>IF(S54&gt;0,ROUND(ROUND(S54*100,0)*ROUND(Q$7*10000,0)/12000000,0)/100,0)</f>
        <v>0</v>
      </c>
      <c r="S55" s="24">
        <f>IF(S54&gt;0,ROUND(S54+R55-Q55,2),0)</f>
        <v>0</v>
      </c>
      <c r="T55" s="24">
        <f>IF(S54&gt;0,ROUND(T54+ROUND(ROUND(T54*100,0)*ROUND(Q$7*10000,0)/12000000,0)/100+0.02,2),0)</f>
        <v>0</v>
      </c>
      <c r="U55" s="24">
        <f>IF(W54&gt;0,IF(AND(ROUND(W54+V55-ROUND(U$6+IF(U$5=$C55,$E$5+$E55,0),2),2)&gt;0,ROUND(W54+V55-ROUND(U$6+IF(U$5=$C55,$E$5+$E55,0),2),2)&lt;=X55,ROUND(W54+V55-ROUND(U$6+IF(U$5=$C55,$E$5+$E55,0),2),2)*10&lt;=ROUND(U$6+IF(U$5=$C55,$E$5+$E55,0),2)),ROUND(W54+V55,2),MIN(ROUND(U$6+IF(U$5=$C55,$E$5+$E55,0),2),ROUND(W54+V55,2))),0)</f>
        <v>0</v>
      </c>
      <c r="V55" s="24">
        <f>IF(W54&gt;0,ROUND(ROUND(W54*100,0)*ROUND(U$7*10000,0)/12000000,0)/100,0)</f>
        <v>0</v>
      </c>
      <c r="W55" s="24">
        <f>IF(W54&gt;0,ROUND(W54+V55-U55,2),0)</f>
        <v>0</v>
      </c>
      <c r="X55" s="24">
        <f>IF(W54&gt;0,ROUND(X54+ROUND(ROUND(X54*100,0)*ROUND(U$7*10000,0)/12000000,0)/100+0.02,2),0)</f>
        <v>0</v>
      </c>
      <c r="Y55" s="24">
        <f>IF(AA54&gt;0,IF(AND(ROUND(AA54+Z55-ROUND(Y$6+IF(Y$5=$C55,$E$5+$E55,0),2),2)&gt;0,ROUND(AA54+Z55-ROUND(Y$6+IF(Y$5=$C55,$E$5+$E55,0),2),2)&lt;=AB55,ROUND(AA54+Z55-ROUND(Y$6+IF(Y$5=$C55,$E$5+$E55,0),2),2)*10&lt;=ROUND(Y$6+IF(Y$5=$C55,$E$5+$E55,0),2)),ROUND(AA54+Z55,2),MIN(ROUND(Y$6+IF(Y$5=$C55,$E$5+$E55,0),2),ROUND(AA54+Z55,2))),0)</f>
        <v>0</v>
      </c>
      <c r="Z55" s="24">
        <f>IF(AA54&gt;0,ROUND(ROUND(AA54*100,0)*ROUND(Y$7*10000,0)/12000000,0)/100,0)</f>
        <v>0</v>
      </c>
      <c r="AA55" s="24">
        <f>IF(AA54&gt;0,ROUND(AA54+Z55-Y55,2),0)</f>
        <v>0</v>
      </c>
      <c r="AB55" s="24">
        <f>IF(AA54&gt;0,ROUND(AB54+ROUND(ROUND(AB54*100,0)*ROUND(Y$7*10000,0)/12000000,0)/100+0.02,2),0)</f>
        <v>0</v>
      </c>
      <c r="AC55" s="24">
        <f>IF(AE54&gt;0,IF(AND(ROUND(AE54+AD55-ROUND(AC$6+IF(AC$5=$C55,$E$5+$E55,0),2),2)&gt;0,ROUND(AE54+AD55-ROUND(AC$6+IF(AC$5=$C55,$E$5+$E55,0),2),2)&lt;=AF55,ROUND(AE54+AD55-ROUND(AC$6+IF(AC$5=$C55,$E$5+$E55,0),2),2)*10&lt;=ROUND(AC$6+IF(AC$5=$C55,$E$5+$E55,0),2)),ROUND(AE54+AD55,2),MIN(ROUND(AC$6+IF(AC$5=$C55,$E$5+$E55,0),2),ROUND(AE54+AD55,2))),0)</f>
        <v>0</v>
      </c>
      <c r="AD55" s="24">
        <f>IF(AE54&gt;0,ROUND(ROUND(AE54*100,0)*ROUND(AC$7*10000,0)/12000000,0)/100,0)</f>
        <v>0</v>
      </c>
      <c r="AE55" s="24">
        <f>IF(AE54&gt;0,ROUND(AE54+AD55-AC55,2),0)</f>
        <v>0</v>
      </c>
      <c r="AF55" s="24">
        <f>IF(AE54&gt;0,ROUND(AF54+ROUND(ROUND(AF54*100,0)*ROUND(AC$7*10000,0)/12000000,0)/100+0.02,2),0)</f>
        <v>0</v>
      </c>
      <c r="AG55" s="24">
        <f>IF(AI54&gt;0,IF(AND(ROUND(AI54+AH55-ROUND(AG$6+IF(AG$5=$C55,$E$5+$E55,0),2),2)&gt;0,ROUND(AI54+AH55-ROUND(AG$6+IF(AG$5=$C55,$E$5+$E55,0),2),2)&lt;=AJ55,ROUND(AI54+AH55-ROUND(AG$6+IF(AG$5=$C55,$E$5+$E55,0),2),2)*10&lt;=ROUND(AG$6+IF(AG$5=$C55,$E$5+$E55,0),2)),ROUND(AI54+AH55,2),MIN(ROUND(AG$6+IF(AG$5=$C55,$E$5+$E55,0),2),ROUND(AI54+AH55,2))),0)</f>
        <v>0</v>
      </c>
      <c r="AH55" s="24">
        <f>IF(AI54&gt;0,ROUND(ROUND(AI54*100,0)*ROUND(AG$7*10000,0)/12000000,0)/100,0)</f>
        <v>0</v>
      </c>
      <c r="AI55" s="24">
        <f>IF(AI54&gt;0,ROUND(AI54+AH55-AG55,2),0)</f>
        <v>0</v>
      </c>
      <c r="AJ55" s="24">
        <f>IF(AI54&gt;0,ROUND(AJ54+ROUND(ROUND(AJ54*100,0)*ROUND(AG$7*10000,0)/12000000,0)/100+0.02,2),0)</f>
        <v>0</v>
      </c>
      <c r="AK55" s="24">
        <f>IF(AM54&gt;0,IF(AND(ROUND(AM54+AL55-ROUND(AK$6+IF(AK$5=$C55,$E$5+$E55,0),2),2)&gt;0,ROUND(AM54+AL55-ROUND(AK$6+IF(AK$5=$C55,$E$5+$E55,0),2),2)&lt;=AN55,ROUND(AM54+AL55-ROUND(AK$6+IF(AK$5=$C55,$E$5+$E55,0),2),2)*10&lt;=ROUND(AK$6+IF(AK$5=$C55,$E$5+$E55,0),2)),ROUND(AM54+AL55,2),MIN(ROUND(AK$6+IF(AK$5=$C55,$E$5+$E55,0),2),ROUND(AM54+AL55,2))),0)</f>
        <v>0</v>
      </c>
      <c r="AL55" s="24">
        <f>IF(AM54&gt;0,ROUND(ROUND(AM54*100,0)*ROUND(AK$7*10000,0)/12000000,0)/100,0)</f>
        <v>0</v>
      </c>
      <c r="AM55" s="24">
        <f>IF(AM54&gt;0,ROUND(AM54+AL55-AK55,2),0)</f>
        <v>0</v>
      </c>
      <c r="AN55" s="24">
        <f>IF(AM54&gt;0,ROUND(AN54+ROUND(ROUND(AN54*100,0)*ROUND(AK$7*10000,0)/12000000,0)/100+0.02,2),0)</f>
        <v>0</v>
      </c>
      <c r="AO55" s="24">
        <f>IF(AQ54&gt;0,IF(AND(ROUND(AQ54+AP55-ROUND(AO$6+IF(AO$5=$C55,$E$5+$E55,0),2),2)&gt;0,ROUND(AQ54+AP55-ROUND(AO$6+IF(AO$5=$C55,$E$5+$E55,0),2),2)&lt;=AR55,ROUND(AQ54+AP55-ROUND(AO$6+IF(AO$5=$C55,$E$5+$E55,0),2),2)*10&lt;=ROUND(AO$6+IF(AO$5=$C55,$E$5+$E55,0),2)),ROUND(AQ54+AP55,2),MIN(ROUND(AO$6+IF(AO$5=$C55,$E$5+$E55,0),2),ROUND(AQ54+AP55,2))),0)</f>
        <v>0</v>
      </c>
      <c r="AP55" s="24">
        <f>IF(AQ54&gt;0,ROUND(ROUND(AQ54*100,0)*ROUND(AO$7*10000,0)/12000000,0)/100,0)</f>
        <v>0</v>
      </c>
      <c r="AQ55" s="24">
        <f>IF(AQ54&gt;0,ROUND(AQ54+AP55-AO55,2),0)</f>
        <v>0</v>
      </c>
      <c r="AR55" s="24">
        <f>IF(AQ54&gt;0,ROUND(AR54+ROUND(ROUND(AR54*100,0)*ROUND(AO$7*10000,0)/12000000,0)/100+0.02,2),0)</f>
        <v>0</v>
      </c>
      <c r="AS55" s="24">
        <f>IF(AU54&gt;0,IF(AND(ROUND(AU54+AT55-ROUND(AS$6+IF(AS$5=$C55,$E$5+$E55,0),2),2)&gt;0,ROUND(AU54+AT55-ROUND(AS$6+IF(AS$5=$C55,$E$5+$E55,0),2),2)&lt;=AV55,ROUND(AU54+AT55-ROUND(AS$6+IF(AS$5=$C55,$E$5+$E55,0),2),2)*10&lt;=ROUND(AS$6+IF(AS$5=$C55,$E$5+$E55,0),2)),ROUND(AU54+AT55,2),MIN(ROUND(AS$6+IF(AS$5=$C55,$E$5+$E55,0),2),ROUND(AU54+AT55,2))),0)</f>
        <v>0</v>
      </c>
      <c r="AT55" s="24">
        <f>IF(AU54&gt;0,ROUND(ROUND(AU54*100,0)*ROUND(AS$7*10000,0)/12000000,0)/100,0)</f>
        <v>0</v>
      </c>
      <c r="AU55" s="24">
        <f>IF(AU54&gt;0,ROUND(AU54+AT55-AS55,2),0)</f>
        <v>0</v>
      </c>
      <c r="AV55" s="24">
        <f>IF(AU54&gt;0,ROUND(AV54+ROUND(ROUND(AV54*100,0)*ROUND(AS$7*10000,0)/12000000,0)/100+0.02,2),0)</f>
        <v>0</v>
      </c>
    </row>
    <row r="56" spans="1:48" x14ac:dyDescent="0.25">
      <c r="A56" s="17" t="str">
        <f>IF(F56&gt;0,46,"")</f>
        <v/>
      </c>
      <c r="B56" s="18" t="str">
        <f>IF(F56&gt;0,EDATE($E$6,46),"")</f>
        <v/>
      </c>
      <c r="C56" s="21">
        <f>IF(H55&gt;0,MIN(IF(K55&gt;0,I$5,99),IF(O55&gt;0,M$5,99),IF(S55&gt;0,Q$5,99),IF(W55&gt;0,U$5,99),IF(AA55&gt;0,Y$5,99),IF(AE55&gt;0,AC$5,99),IF(AI55&gt;0,AG$5,99),IF(AM55&gt;0,AK$5,99),IF(AQ55&gt;0,AO$5,99),IF(AU55&gt;0,AS$5,99)),0)</f>
        <v>0</v>
      </c>
      <c r="D56" t="str">
        <f>IF(C56&gt;0,INDEX($I$4:$AV$4,1,MATCH(C56,$I$5:$AV$5,0)),"")</f>
        <v/>
      </c>
      <c r="E56" s="24">
        <f>ROUND(IF(AND(I$8&gt;0,K55=0),I$6,0)+IF(AND(M$8&gt;0,O55=0),M$6,0)+IF(AND(Q$8&gt;0,S55=0),Q$6,0)+IF(AND(U$8&gt;0,W55=0),U$6,0)+IF(AND(Y$8&gt;0,AA55=0),Y$6,0)+IF(AND(AC$8&gt;0,AE55=0),AC$6,0)+IF(AND(AG$8&gt;0,AI55=0),AG$6,0)+IF(AND(AK$8&gt;0,AM55=0),AK$6,0)+IF(AND(AO$8&gt;0,AQ55=0),AO$6,0)+IF(AND(AS$8&gt;0,AU55=0),AS$6,0),2)</f>
        <v>325</v>
      </c>
      <c r="F56" s="24">
        <f>ROUND(I56+M56+Q56+U56+Y56+AC56+AG56+AK56+AO56+AS56,2)</f>
        <v>0</v>
      </c>
      <c r="G56" s="24">
        <f>ROUND(J56+N56+R56+V56+Z56+AD56+AH56+AL56+AP56+AT56,2)</f>
        <v>0</v>
      </c>
      <c r="H56" s="24">
        <f>ROUND(K56+O56+S56+W56+AA56+AE56+AI56+AM56+AQ56+AU56,2)</f>
        <v>0</v>
      </c>
      <c r="I56" s="24">
        <f>IF(K55&gt;0,IF(AND(ROUND(K55+J56-ROUND(I$6+IF(I$5=$C56,$E$5+$E56,0),2),2)&gt;0,ROUND(K55+J56-ROUND(I$6+IF(I$5=$C56,$E$5+$E56,0),2),2)&lt;=L56,ROUND(K55+J56-ROUND(I$6+IF(I$5=$C56,$E$5+$E56,0),2),2)*10&lt;=ROUND(I$6+IF(I$5=$C56,$E$5+$E56,0),2)),ROUND(K55+J56,2),MIN(ROUND(I$6+IF(I$5=$C56,$E$5+$E56,0),2),ROUND(K55+J56,2))),0)</f>
        <v>0</v>
      </c>
      <c r="J56" s="24">
        <f>IF(K55&gt;0,ROUND(ROUND(K55*100,0)*ROUND(I$7*10000,0)/12000000,0)/100,0)</f>
        <v>0</v>
      </c>
      <c r="K56" s="24">
        <f>IF(K55&gt;0,ROUND(K55+J56-I56,2),0)</f>
        <v>0</v>
      </c>
      <c r="L56" s="24">
        <f>IF(K55&gt;0,ROUND(L55+ROUND(ROUND(L55*100,0)*ROUND(I$7*10000,0)/12000000,0)/100+0.02,2),0)</f>
        <v>0</v>
      </c>
      <c r="M56" s="24">
        <f>IF(O55&gt;0,IF(AND(ROUND(O55+N56-ROUND(M$6+IF(M$5=$C56,$E$5+$E56,0),2),2)&gt;0,ROUND(O55+N56-ROUND(M$6+IF(M$5=$C56,$E$5+$E56,0),2),2)&lt;=P56,ROUND(O55+N56-ROUND(M$6+IF(M$5=$C56,$E$5+$E56,0),2),2)*10&lt;=ROUND(M$6+IF(M$5=$C56,$E$5+$E56,0),2)),ROUND(O55+N56,2),MIN(ROUND(M$6+IF(M$5=$C56,$E$5+$E56,0),2),ROUND(O55+N56,2))),0)</f>
        <v>0</v>
      </c>
      <c r="N56" s="24">
        <f>IF(O55&gt;0,ROUND(ROUND(O55*100,0)*ROUND(M$7*10000,0)/12000000,0)/100,0)</f>
        <v>0</v>
      </c>
      <c r="O56" s="24">
        <f>IF(O55&gt;0,ROUND(O55+N56-M56,2),0)</f>
        <v>0</v>
      </c>
      <c r="P56" s="24">
        <f>IF(O55&gt;0,ROUND(P55+ROUND(ROUND(P55*100,0)*ROUND(M$7*10000,0)/12000000,0)/100+0.02,2),0)</f>
        <v>0</v>
      </c>
      <c r="Q56" s="24">
        <f>IF(S55&gt;0,IF(AND(ROUND(S55+R56-ROUND(Q$6+IF(Q$5=$C56,$E$5+$E56,0),2),2)&gt;0,ROUND(S55+R56-ROUND(Q$6+IF(Q$5=$C56,$E$5+$E56,0),2),2)&lt;=T56,ROUND(S55+R56-ROUND(Q$6+IF(Q$5=$C56,$E$5+$E56,0),2),2)*10&lt;=ROUND(Q$6+IF(Q$5=$C56,$E$5+$E56,0),2)),ROUND(S55+R56,2),MIN(ROUND(Q$6+IF(Q$5=$C56,$E$5+$E56,0),2),ROUND(S55+R56,2))),0)</f>
        <v>0</v>
      </c>
      <c r="R56" s="24">
        <f>IF(S55&gt;0,ROUND(ROUND(S55*100,0)*ROUND(Q$7*10000,0)/12000000,0)/100,0)</f>
        <v>0</v>
      </c>
      <c r="S56" s="24">
        <f>IF(S55&gt;0,ROUND(S55+R56-Q56,2),0)</f>
        <v>0</v>
      </c>
      <c r="T56" s="24">
        <f>IF(S55&gt;0,ROUND(T55+ROUND(ROUND(T55*100,0)*ROUND(Q$7*10000,0)/12000000,0)/100+0.02,2),0)</f>
        <v>0</v>
      </c>
      <c r="U56" s="24">
        <f>IF(W55&gt;0,IF(AND(ROUND(W55+V56-ROUND(U$6+IF(U$5=$C56,$E$5+$E56,0),2),2)&gt;0,ROUND(W55+V56-ROUND(U$6+IF(U$5=$C56,$E$5+$E56,0),2),2)&lt;=X56,ROUND(W55+V56-ROUND(U$6+IF(U$5=$C56,$E$5+$E56,0),2),2)*10&lt;=ROUND(U$6+IF(U$5=$C56,$E$5+$E56,0),2)),ROUND(W55+V56,2),MIN(ROUND(U$6+IF(U$5=$C56,$E$5+$E56,0),2),ROUND(W55+V56,2))),0)</f>
        <v>0</v>
      </c>
      <c r="V56" s="24">
        <f>IF(W55&gt;0,ROUND(ROUND(W55*100,0)*ROUND(U$7*10000,0)/12000000,0)/100,0)</f>
        <v>0</v>
      </c>
      <c r="W56" s="24">
        <f>IF(W55&gt;0,ROUND(W55+V56-U56,2),0)</f>
        <v>0</v>
      </c>
      <c r="X56" s="24">
        <f>IF(W55&gt;0,ROUND(X55+ROUND(ROUND(X55*100,0)*ROUND(U$7*10000,0)/12000000,0)/100+0.02,2),0)</f>
        <v>0</v>
      </c>
      <c r="Y56" s="24">
        <f>IF(AA55&gt;0,IF(AND(ROUND(AA55+Z56-ROUND(Y$6+IF(Y$5=$C56,$E$5+$E56,0),2),2)&gt;0,ROUND(AA55+Z56-ROUND(Y$6+IF(Y$5=$C56,$E$5+$E56,0),2),2)&lt;=AB56,ROUND(AA55+Z56-ROUND(Y$6+IF(Y$5=$C56,$E$5+$E56,0),2),2)*10&lt;=ROUND(Y$6+IF(Y$5=$C56,$E$5+$E56,0),2)),ROUND(AA55+Z56,2),MIN(ROUND(Y$6+IF(Y$5=$C56,$E$5+$E56,0),2),ROUND(AA55+Z56,2))),0)</f>
        <v>0</v>
      </c>
      <c r="Z56" s="24">
        <f>IF(AA55&gt;0,ROUND(ROUND(AA55*100,0)*ROUND(Y$7*10000,0)/12000000,0)/100,0)</f>
        <v>0</v>
      </c>
      <c r="AA56" s="24">
        <f>IF(AA55&gt;0,ROUND(AA55+Z56-Y56,2),0)</f>
        <v>0</v>
      </c>
      <c r="AB56" s="24">
        <f>IF(AA55&gt;0,ROUND(AB55+ROUND(ROUND(AB55*100,0)*ROUND(Y$7*10000,0)/12000000,0)/100+0.02,2),0)</f>
        <v>0</v>
      </c>
      <c r="AC56" s="24">
        <f>IF(AE55&gt;0,IF(AND(ROUND(AE55+AD56-ROUND(AC$6+IF(AC$5=$C56,$E$5+$E56,0),2),2)&gt;0,ROUND(AE55+AD56-ROUND(AC$6+IF(AC$5=$C56,$E$5+$E56,0),2),2)&lt;=AF56,ROUND(AE55+AD56-ROUND(AC$6+IF(AC$5=$C56,$E$5+$E56,0),2),2)*10&lt;=ROUND(AC$6+IF(AC$5=$C56,$E$5+$E56,0),2)),ROUND(AE55+AD56,2),MIN(ROUND(AC$6+IF(AC$5=$C56,$E$5+$E56,0),2),ROUND(AE55+AD56,2))),0)</f>
        <v>0</v>
      </c>
      <c r="AD56" s="24">
        <f>IF(AE55&gt;0,ROUND(ROUND(AE55*100,0)*ROUND(AC$7*10000,0)/12000000,0)/100,0)</f>
        <v>0</v>
      </c>
      <c r="AE56" s="24">
        <f>IF(AE55&gt;0,ROUND(AE55+AD56-AC56,2),0)</f>
        <v>0</v>
      </c>
      <c r="AF56" s="24">
        <f>IF(AE55&gt;0,ROUND(AF55+ROUND(ROUND(AF55*100,0)*ROUND(AC$7*10000,0)/12000000,0)/100+0.02,2),0)</f>
        <v>0</v>
      </c>
      <c r="AG56" s="24">
        <f>IF(AI55&gt;0,IF(AND(ROUND(AI55+AH56-ROUND(AG$6+IF(AG$5=$C56,$E$5+$E56,0),2),2)&gt;0,ROUND(AI55+AH56-ROUND(AG$6+IF(AG$5=$C56,$E$5+$E56,0),2),2)&lt;=AJ56,ROUND(AI55+AH56-ROUND(AG$6+IF(AG$5=$C56,$E$5+$E56,0),2),2)*10&lt;=ROUND(AG$6+IF(AG$5=$C56,$E$5+$E56,0),2)),ROUND(AI55+AH56,2),MIN(ROUND(AG$6+IF(AG$5=$C56,$E$5+$E56,0),2),ROUND(AI55+AH56,2))),0)</f>
        <v>0</v>
      </c>
      <c r="AH56" s="24">
        <f>IF(AI55&gt;0,ROUND(ROUND(AI55*100,0)*ROUND(AG$7*10000,0)/12000000,0)/100,0)</f>
        <v>0</v>
      </c>
      <c r="AI56" s="24">
        <f>IF(AI55&gt;0,ROUND(AI55+AH56-AG56,2),0)</f>
        <v>0</v>
      </c>
      <c r="AJ56" s="24">
        <f>IF(AI55&gt;0,ROUND(AJ55+ROUND(ROUND(AJ55*100,0)*ROUND(AG$7*10000,0)/12000000,0)/100+0.02,2),0)</f>
        <v>0</v>
      </c>
      <c r="AK56" s="24">
        <f>IF(AM55&gt;0,IF(AND(ROUND(AM55+AL56-ROUND(AK$6+IF(AK$5=$C56,$E$5+$E56,0),2),2)&gt;0,ROUND(AM55+AL56-ROUND(AK$6+IF(AK$5=$C56,$E$5+$E56,0),2),2)&lt;=AN56,ROUND(AM55+AL56-ROUND(AK$6+IF(AK$5=$C56,$E$5+$E56,0),2),2)*10&lt;=ROUND(AK$6+IF(AK$5=$C56,$E$5+$E56,0),2)),ROUND(AM55+AL56,2),MIN(ROUND(AK$6+IF(AK$5=$C56,$E$5+$E56,0),2),ROUND(AM55+AL56,2))),0)</f>
        <v>0</v>
      </c>
      <c r="AL56" s="24">
        <f>IF(AM55&gt;0,ROUND(ROUND(AM55*100,0)*ROUND(AK$7*10000,0)/12000000,0)/100,0)</f>
        <v>0</v>
      </c>
      <c r="AM56" s="24">
        <f>IF(AM55&gt;0,ROUND(AM55+AL56-AK56,2),0)</f>
        <v>0</v>
      </c>
      <c r="AN56" s="24">
        <f>IF(AM55&gt;0,ROUND(AN55+ROUND(ROUND(AN55*100,0)*ROUND(AK$7*10000,0)/12000000,0)/100+0.02,2),0)</f>
        <v>0</v>
      </c>
      <c r="AO56" s="24">
        <f>IF(AQ55&gt;0,IF(AND(ROUND(AQ55+AP56-ROUND(AO$6+IF(AO$5=$C56,$E$5+$E56,0),2),2)&gt;0,ROUND(AQ55+AP56-ROUND(AO$6+IF(AO$5=$C56,$E$5+$E56,0),2),2)&lt;=AR56,ROUND(AQ55+AP56-ROUND(AO$6+IF(AO$5=$C56,$E$5+$E56,0),2),2)*10&lt;=ROUND(AO$6+IF(AO$5=$C56,$E$5+$E56,0),2)),ROUND(AQ55+AP56,2),MIN(ROUND(AO$6+IF(AO$5=$C56,$E$5+$E56,0),2),ROUND(AQ55+AP56,2))),0)</f>
        <v>0</v>
      </c>
      <c r="AP56" s="24">
        <f>IF(AQ55&gt;0,ROUND(ROUND(AQ55*100,0)*ROUND(AO$7*10000,0)/12000000,0)/100,0)</f>
        <v>0</v>
      </c>
      <c r="AQ56" s="24">
        <f>IF(AQ55&gt;0,ROUND(AQ55+AP56-AO56,2),0)</f>
        <v>0</v>
      </c>
      <c r="AR56" s="24">
        <f>IF(AQ55&gt;0,ROUND(AR55+ROUND(ROUND(AR55*100,0)*ROUND(AO$7*10000,0)/12000000,0)/100+0.02,2),0)</f>
        <v>0</v>
      </c>
      <c r="AS56" s="24">
        <f>IF(AU55&gt;0,IF(AND(ROUND(AU55+AT56-ROUND(AS$6+IF(AS$5=$C56,$E$5+$E56,0),2),2)&gt;0,ROUND(AU55+AT56-ROUND(AS$6+IF(AS$5=$C56,$E$5+$E56,0),2),2)&lt;=AV56,ROUND(AU55+AT56-ROUND(AS$6+IF(AS$5=$C56,$E$5+$E56,0),2),2)*10&lt;=ROUND(AS$6+IF(AS$5=$C56,$E$5+$E56,0),2)),ROUND(AU55+AT56,2),MIN(ROUND(AS$6+IF(AS$5=$C56,$E$5+$E56,0),2),ROUND(AU55+AT56,2))),0)</f>
        <v>0</v>
      </c>
      <c r="AT56" s="24">
        <f>IF(AU55&gt;0,ROUND(ROUND(AU55*100,0)*ROUND(AS$7*10000,0)/12000000,0)/100,0)</f>
        <v>0</v>
      </c>
      <c r="AU56" s="24">
        <f>IF(AU55&gt;0,ROUND(AU55+AT56-AS56,2),0)</f>
        <v>0</v>
      </c>
      <c r="AV56" s="24">
        <f>IF(AU55&gt;0,ROUND(AV55+ROUND(ROUND(AV55*100,0)*ROUND(AS$7*10000,0)/12000000,0)/100+0.02,2),0)</f>
        <v>0</v>
      </c>
    </row>
    <row r="57" spans="1:48" x14ac:dyDescent="0.25">
      <c r="A57" s="17" t="str">
        <f>IF(F57&gt;0,47,"")</f>
        <v/>
      </c>
      <c r="B57" s="18" t="str">
        <f>IF(F57&gt;0,EDATE($E$6,47),"")</f>
        <v/>
      </c>
      <c r="C57" s="21">
        <f>IF(H56&gt;0,MIN(IF(K56&gt;0,I$5,99),IF(O56&gt;0,M$5,99),IF(S56&gt;0,Q$5,99),IF(W56&gt;0,U$5,99),IF(AA56&gt;0,Y$5,99),IF(AE56&gt;0,AC$5,99),IF(AI56&gt;0,AG$5,99),IF(AM56&gt;0,AK$5,99),IF(AQ56&gt;0,AO$5,99),IF(AU56&gt;0,AS$5,99)),0)</f>
        <v>0</v>
      </c>
      <c r="D57" t="str">
        <f>IF(C57&gt;0,INDEX($I$4:$AV$4,1,MATCH(C57,$I$5:$AV$5,0)),"")</f>
        <v/>
      </c>
      <c r="E57" s="24">
        <f>ROUND(IF(AND(I$8&gt;0,K56=0),I$6,0)+IF(AND(M$8&gt;0,O56=0),M$6,0)+IF(AND(Q$8&gt;0,S56=0),Q$6,0)+IF(AND(U$8&gt;0,W56=0),U$6,0)+IF(AND(Y$8&gt;0,AA56=0),Y$6,0)+IF(AND(AC$8&gt;0,AE56=0),AC$6,0)+IF(AND(AG$8&gt;0,AI56=0),AG$6,0)+IF(AND(AK$8&gt;0,AM56=0),AK$6,0)+IF(AND(AO$8&gt;0,AQ56=0),AO$6,0)+IF(AND(AS$8&gt;0,AU56=0),AS$6,0),2)</f>
        <v>325</v>
      </c>
      <c r="F57" s="24">
        <f>ROUND(I57+M57+Q57+U57+Y57+AC57+AG57+AK57+AO57+AS57,2)</f>
        <v>0</v>
      </c>
      <c r="G57" s="24">
        <f>ROUND(J57+N57+R57+V57+Z57+AD57+AH57+AL57+AP57+AT57,2)</f>
        <v>0</v>
      </c>
      <c r="H57" s="24">
        <f>ROUND(K57+O57+S57+W57+AA57+AE57+AI57+AM57+AQ57+AU57,2)</f>
        <v>0</v>
      </c>
      <c r="I57" s="24">
        <f>IF(K56&gt;0,IF(AND(ROUND(K56+J57-ROUND(I$6+IF(I$5=$C57,$E$5+$E57,0),2),2)&gt;0,ROUND(K56+J57-ROUND(I$6+IF(I$5=$C57,$E$5+$E57,0),2),2)&lt;=L57,ROUND(K56+J57-ROUND(I$6+IF(I$5=$C57,$E$5+$E57,0),2),2)*10&lt;=ROUND(I$6+IF(I$5=$C57,$E$5+$E57,0),2)),ROUND(K56+J57,2),MIN(ROUND(I$6+IF(I$5=$C57,$E$5+$E57,0),2),ROUND(K56+J57,2))),0)</f>
        <v>0</v>
      </c>
      <c r="J57" s="24">
        <f>IF(K56&gt;0,ROUND(ROUND(K56*100,0)*ROUND(I$7*10000,0)/12000000,0)/100,0)</f>
        <v>0</v>
      </c>
      <c r="K57" s="24">
        <f>IF(K56&gt;0,ROUND(K56+J57-I57,2),0)</f>
        <v>0</v>
      </c>
      <c r="L57" s="24">
        <f>IF(K56&gt;0,ROUND(L56+ROUND(ROUND(L56*100,0)*ROUND(I$7*10000,0)/12000000,0)/100+0.02,2),0)</f>
        <v>0</v>
      </c>
      <c r="M57" s="24">
        <f>IF(O56&gt;0,IF(AND(ROUND(O56+N57-ROUND(M$6+IF(M$5=$C57,$E$5+$E57,0),2),2)&gt;0,ROUND(O56+N57-ROUND(M$6+IF(M$5=$C57,$E$5+$E57,0),2),2)&lt;=P57,ROUND(O56+N57-ROUND(M$6+IF(M$5=$C57,$E$5+$E57,0),2),2)*10&lt;=ROUND(M$6+IF(M$5=$C57,$E$5+$E57,0),2)),ROUND(O56+N57,2),MIN(ROUND(M$6+IF(M$5=$C57,$E$5+$E57,0),2),ROUND(O56+N57,2))),0)</f>
        <v>0</v>
      </c>
      <c r="N57" s="24">
        <f>IF(O56&gt;0,ROUND(ROUND(O56*100,0)*ROUND(M$7*10000,0)/12000000,0)/100,0)</f>
        <v>0</v>
      </c>
      <c r="O57" s="24">
        <f>IF(O56&gt;0,ROUND(O56+N57-M57,2),0)</f>
        <v>0</v>
      </c>
      <c r="P57" s="24">
        <f>IF(O56&gt;0,ROUND(P56+ROUND(ROUND(P56*100,0)*ROUND(M$7*10000,0)/12000000,0)/100+0.02,2),0)</f>
        <v>0</v>
      </c>
      <c r="Q57" s="24">
        <f>IF(S56&gt;0,IF(AND(ROUND(S56+R57-ROUND(Q$6+IF(Q$5=$C57,$E$5+$E57,0),2),2)&gt;0,ROUND(S56+R57-ROUND(Q$6+IF(Q$5=$C57,$E$5+$E57,0),2),2)&lt;=T57,ROUND(S56+R57-ROUND(Q$6+IF(Q$5=$C57,$E$5+$E57,0),2),2)*10&lt;=ROUND(Q$6+IF(Q$5=$C57,$E$5+$E57,0),2)),ROUND(S56+R57,2),MIN(ROUND(Q$6+IF(Q$5=$C57,$E$5+$E57,0),2),ROUND(S56+R57,2))),0)</f>
        <v>0</v>
      </c>
      <c r="R57" s="24">
        <f>IF(S56&gt;0,ROUND(ROUND(S56*100,0)*ROUND(Q$7*10000,0)/12000000,0)/100,0)</f>
        <v>0</v>
      </c>
      <c r="S57" s="24">
        <f>IF(S56&gt;0,ROUND(S56+R57-Q57,2),0)</f>
        <v>0</v>
      </c>
      <c r="T57" s="24">
        <f>IF(S56&gt;0,ROUND(T56+ROUND(ROUND(T56*100,0)*ROUND(Q$7*10000,0)/12000000,0)/100+0.02,2),0)</f>
        <v>0</v>
      </c>
      <c r="U57" s="24">
        <f>IF(W56&gt;0,IF(AND(ROUND(W56+V57-ROUND(U$6+IF(U$5=$C57,$E$5+$E57,0),2),2)&gt;0,ROUND(W56+V57-ROUND(U$6+IF(U$5=$C57,$E$5+$E57,0),2),2)&lt;=X57,ROUND(W56+V57-ROUND(U$6+IF(U$5=$C57,$E$5+$E57,0),2),2)*10&lt;=ROUND(U$6+IF(U$5=$C57,$E$5+$E57,0),2)),ROUND(W56+V57,2),MIN(ROUND(U$6+IF(U$5=$C57,$E$5+$E57,0),2),ROUND(W56+V57,2))),0)</f>
        <v>0</v>
      </c>
      <c r="V57" s="24">
        <f>IF(W56&gt;0,ROUND(ROUND(W56*100,0)*ROUND(U$7*10000,0)/12000000,0)/100,0)</f>
        <v>0</v>
      </c>
      <c r="W57" s="24">
        <f>IF(W56&gt;0,ROUND(W56+V57-U57,2),0)</f>
        <v>0</v>
      </c>
      <c r="X57" s="24">
        <f>IF(W56&gt;0,ROUND(X56+ROUND(ROUND(X56*100,0)*ROUND(U$7*10000,0)/12000000,0)/100+0.02,2),0)</f>
        <v>0</v>
      </c>
      <c r="Y57" s="24">
        <f>IF(AA56&gt;0,IF(AND(ROUND(AA56+Z57-ROUND(Y$6+IF(Y$5=$C57,$E$5+$E57,0),2),2)&gt;0,ROUND(AA56+Z57-ROUND(Y$6+IF(Y$5=$C57,$E$5+$E57,0),2),2)&lt;=AB57,ROUND(AA56+Z57-ROUND(Y$6+IF(Y$5=$C57,$E$5+$E57,0),2),2)*10&lt;=ROUND(Y$6+IF(Y$5=$C57,$E$5+$E57,0),2)),ROUND(AA56+Z57,2),MIN(ROUND(Y$6+IF(Y$5=$C57,$E$5+$E57,0),2),ROUND(AA56+Z57,2))),0)</f>
        <v>0</v>
      </c>
      <c r="Z57" s="24">
        <f>IF(AA56&gt;0,ROUND(ROUND(AA56*100,0)*ROUND(Y$7*10000,0)/12000000,0)/100,0)</f>
        <v>0</v>
      </c>
      <c r="AA57" s="24">
        <f>IF(AA56&gt;0,ROUND(AA56+Z57-Y57,2),0)</f>
        <v>0</v>
      </c>
      <c r="AB57" s="24">
        <f>IF(AA56&gt;0,ROUND(AB56+ROUND(ROUND(AB56*100,0)*ROUND(Y$7*10000,0)/12000000,0)/100+0.02,2),0)</f>
        <v>0</v>
      </c>
      <c r="AC57" s="24">
        <f>IF(AE56&gt;0,IF(AND(ROUND(AE56+AD57-ROUND(AC$6+IF(AC$5=$C57,$E$5+$E57,0),2),2)&gt;0,ROUND(AE56+AD57-ROUND(AC$6+IF(AC$5=$C57,$E$5+$E57,0),2),2)&lt;=AF57,ROUND(AE56+AD57-ROUND(AC$6+IF(AC$5=$C57,$E$5+$E57,0),2),2)*10&lt;=ROUND(AC$6+IF(AC$5=$C57,$E$5+$E57,0),2)),ROUND(AE56+AD57,2),MIN(ROUND(AC$6+IF(AC$5=$C57,$E$5+$E57,0),2),ROUND(AE56+AD57,2))),0)</f>
        <v>0</v>
      </c>
      <c r="AD57" s="24">
        <f>IF(AE56&gt;0,ROUND(ROUND(AE56*100,0)*ROUND(AC$7*10000,0)/12000000,0)/100,0)</f>
        <v>0</v>
      </c>
      <c r="AE57" s="24">
        <f>IF(AE56&gt;0,ROUND(AE56+AD57-AC57,2),0)</f>
        <v>0</v>
      </c>
      <c r="AF57" s="24">
        <f>IF(AE56&gt;0,ROUND(AF56+ROUND(ROUND(AF56*100,0)*ROUND(AC$7*10000,0)/12000000,0)/100+0.02,2),0)</f>
        <v>0</v>
      </c>
      <c r="AG57" s="24">
        <f>IF(AI56&gt;0,IF(AND(ROUND(AI56+AH57-ROUND(AG$6+IF(AG$5=$C57,$E$5+$E57,0),2),2)&gt;0,ROUND(AI56+AH57-ROUND(AG$6+IF(AG$5=$C57,$E$5+$E57,0),2),2)&lt;=AJ57,ROUND(AI56+AH57-ROUND(AG$6+IF(AG$5=$C57,$E$5+$E57,0),2),2)*10&lt;=ROUND(AG$6+IF(AG$5=$C57,$E$5+$E57,0),2)),ROUND(AI56+AH57,2),MIN(ROUND(AG$6+IF(AG$5=$C57,$E$5+$E57,0),2),ROUND(AI56+AH57,2))),0)</f>
        <v>0</v>
      </c>
      <c r="AH57" s="24">
        <f>IF(AI56&gt;0,ROUND(ROUND(AI56*100,0)*ROUND(AG$7*10000,0)/12000000,0)/100,0)</f>
        <v>0</v>
      </c>
      <c r="AI57" s="24">
        <f>IF(AI56&gt;0,ROUND(AI56+AH57-AG57,2),0)</f>
        <v>0</v>
      </c>
      <c r="AJ57" s="24">
        <f>IF(AI56&gt;0,ROUND(AJ56+ROUND(ROUND(AJ56*100,0)*ROUND(AG$7*10000,0)/12000000,0)/100+0.02,2),0)</f>
        <v>0</v>
      </c>
      <c r="AK57" s="24">
        <f>IF(AM56&gt;0,IF(AND(ROUND(AM56+AL57-ROUND(AK$6+IF(AK$5=$C57,$E$5+$E57,0),2),2)&gt;0,ROUND(AM56+AL57-ROUND(AK$6+IF(AK$5=$C57,$E$5+$E57,0),2),2)&lt;=AN57,ROUND(AM56+AL57-ROUND(AK$6+IF(AK$5=$C57,$E$5+$E57,0),2),2)*10&lt;=ROUND(AK$6+IF(AK$5=$C57,$E$5+$E57,0),2)),ROUND(AM56+AL57,2),MIN(ROUND(AK$6+IF(AK$5=$C57,$E$5+$E57,0),2),ROUND(AM56+AL57,2))),0)</f>
        <v>0</v>
      </c>
      <c r="AL57" s="24">
        <f>IF(AM56&gt;0,ROUND(ROUND(AM56*100,0)*ROUND(AK$7*10000,0)/12000000,0)/100,0)</f>
        <v>0</v>
      </c>
      <c r="AM57" s="24">
        <f>IF(AM56&gt;0,ROUND(AM56+AL57-AK57,2),0)</f>
        <v>0</v>
      </c>
      <c r="AN57" s="24">
        <f>IF(AM56&gt;0,ROUND(AN56+ROUND(ROUND(AN56*100,0)*ROUND(AK$7*10000,0)/12000000,0)/100+0.02,2),0)</f>
        <v>0</v>
      </c>
      <c r="AO57" s="24">
        <f>IF(AQ56&gt;0,IF(AND(ROUND(AQ56+AP57-ROUND(AO$6+IF(AO$5=$C57,$E$5+$E57,0),2),2)&gt;0,ROUND(AQ56+AP57-ROUND(AO$6+IF(AO$5=$C57,$E$5+$E57,0),2),2)&lt;=AR57,ROUND(AQ56+AP57-ROUND(AO$6+IF(AO$5=$C57,$E$5+$E57,0),2),2)*10&lt;=ROUND(AO$6+IF(AO$5=$C57,$E$5+$E57,0),2)),ROUND(AQ56+AP57,2),MIN(ROUND(AO$6+IF(AO$5=$C57,$E$5+$E57,0),2),ROUND(AQ56+AP57,2))),0)</f>
        <v>0</v>
      </c>
      <c r="AP57" s="24">
        <f>IF(AQ56&gt;0,ROUND(ROUND(AQ56*100,0)*ROUND(AO$7*10000,0)/12000000,0)/100,0)</f>
        <v>0</v>
      </c>
      <c r="AQ57" s="24">
        <f>IF(AQ56&gt;0,ROUND(AQ56+AP57-AO57,2),0)</f>
        <v>0</v>
      </c>
      <c r="AR57" s="24">
        <f>IF(AQ56&gt;0,ROUND(AR56+ROUND(ROUND(AR56*100,0)*ROUND(AO$7*10000,0)/12000000,0)/100+0.02,2),0)</f>
        <v>0</v>
      </c>
      <c r="AS57" s="24">
        <f>IF(AU56&gt;0,IF(AND(ROUND(AU56+AT57-ROUND(AS$6+IF(AS$5=$C57,$E$5+$E57,0),2),2)&gt;0,ROUND(AU56+AT57-ROUND(AS$6+IF(AS$5=$C57,$E$5+$E57,0),2),2)&lt;=AV57,ROUND(AU56+AT57-ROUND(AS$6+IF(AS$5=$C57,$E$5+$E57,0),2),2)*10&lt;=ROUND(AS$6+IF(AS$5=$C57,$E$5+$E57,0),2)),ROUND(AU56+AT57,2),MIN(ROUND(AS$6+IF(AS$5=$C57,$E$5+$E57,0),2),ROUND(AU56+AT57,2))),0)</f>
        <v>0</v>
      </c>
      <c r="AT57" s="24">
        <f>IF(AU56&gt;0,ROUND(ROUND(AU56*100,0)*ROUND(AS$7*10000,0)/12000000,0)/100,0)</f>
        <v>0</v>
      </c>
      <c r="AU57" s="24">
        <f>IF(AU56&gt;0,ROUND(AU56+AT57-AS57,2),0)</f>
        <v>0</v>
      </c>
      <c r="AV57" s="24">
        <f>IF(AU56&gt;0,ROUND(AV56+ROUND(ROUND(AV56*100,0)*ROUND(AS$7*10000,0)/12000000,0)/100+0.02,2),0)</f>
        <v>0</v>
      </c>
    </row>
    <row r="58" spans="1:48" x14ac:dyDescent="0.25">
      <c r="A58" s="17" t="str">
        <f>IF(F58&gt;0,48,"")</f>
        <v/>
      </c>
      <c r="B58" s="18" t="str">
        <f>IF(F58&gt;0,EDATE($E$6,48),"")</f>
        <v/>
      </c>
      <c r="C58" s="21">
        <f>IF(H57&gt;0,MIN(IF(K57&gt;0,I$5,99),IF(O57&gt;0,M$5,99),IF(S57&gt;0,Q$5,99),IF(W57&gt;0,U$5,99),IF(AA57&gt;0,Y$5,99),IF(AE57&gt;0,AC$5,99),IF(AI57&gt;0,AG$5,99),IF(AM57&gt;0,AK$5,99),IF(AQ57&gt;0,AO$5,99),IF(AU57&gt;0,AS$5,99)),0)</f>
        <v>0</v>
      </c>
      <c r="D58" t="str">
        <f>IF(C58&gt;0,INDEX($I$4:$AV$4,1,MATCH(C58,$I$5:$AV$5,0)),"")</f>
        <v/>
      </c>
      <c r="E58" s="24">
        <f>ROUND(IF(AND(I$8&gt;0,K57=0),I$6,0)+IF(AND(M$8&gt;0,O57=0),M$6,0)+IF(AND(Q$8&gt;0,S57=0),Q$6,0)+IF(AND(U$8&gt;0,W57=0),U$6,0)+IF(AND(Y$8&gt;0,AA57=0),Y$6,0)+IF(AND(AC$8&gt;0,AE57=0),AC$6,0)+IF(AND(AG$8&gt;0,AI57=0),AG$6,0)+IF(AND(AK$8&gt;0,AM57=0),AK$6,0)+IF(AND(AO$8&gt;0,AQ57=0),AO$6,0)+IF(AND(AS$8&gt;0,AU57=0),AS$6,0),2)</f>
        <v>325</v>
      </c>
      <c r="F58" s="24">
        <f>ROUND(I58+M58+Q58+U58+Y58+AC58+AG58+AK58+AO58+AS58,2)</f>
        <v>0</v>
      </c>
      <c r="G58" s="24">
        <f>ROUND(J58+N58+R58+V58+Z58+AD58+AH58+AL58+AP58+AT58,2)</f>
        <v>0</v>
      </c>
      <c r="H58" s="24">
        <f>ROUND(K58+O58+S58+W58+AA58+AE58+AI58+AM58+AQ58+AU58,2)</f>
        <v>0</v>
      </c>
      <c r="I58" s="24">
        <f>IF(K57&gt;0,IF(AND(ROUND(K57+J58-ROUND(I$6+IF(I$5=$C58,$E$5+$E58,0),2),2)&gt;0,ROUND(K57+J58-ROUND(I$6+IF(I$5=$C58,$E$5+$E58,0),2),2)&lt;=L58,ROUND(K57+J58-ROUND(I$6+IF(I$5=$C58,$E$5+$E58,0),2),2)*10&lt;=ROUND(I$6+IF(I$5=$C58,$E$5+$E58,0),2)),ROUND(K57+J58,2),MIN(ROUND(I$6+IF(I$5=$C58,$E$5+$E58,0),2),ROUND(K57+J58,2))),0)</f>
        <v>0</v>
      </c>
      <c r="J58" s="24">
        <f>IF(K57&gt;0,ROUND(ROUND(K57*100,0)*ROUND(I$7*10000,0)/12000000,0)/100,0)</f>
        <v>0</v>
      </c>
      <c r="K58" s="24">
        <f>IF(K57&gt;0,ROUND(K57+J58-I58,2),0)</f>
        <v>0</v>
      </c>
      <c r="L58" s="24">
        <f>IF(K57&gt;0,ROUND(L57+ROUND(ROUND(L57*100,0)*ROUND(I$7*10000,0)/12000000,0)/100+0.02,2),0)</f>
        <v>0</v>
      </c>
      <c r="M58" s="24">
        <f>IF(O57&gt;0,IF(AND(ROUND(O57+N58-ROUND(M$6+IF(M$5=$C58,$E$5+$E58,0),2),2)&gt;0,ROUND(O57+N58-ROUND(M$6+IF(M$5=$C58,$E$5+$E58,0),2),2)&lt;=P58,ROUND(O57+N58-ROUND(M$6+IF(M$5=$C58,$E$5+$E58,0),2),2)*10&lt;=ROUND(M$6+IF(M$5=$C58,$E$5+$E58,0),2)),ROUND(O57+N58,2),MIN(ROUND(M$6+IF(M$5=$C58,$E$5+$E58,0),2),ROUND(O57+N58,2))),0)</f>
        <v>0</v>
      </c>
      <c r="N58" s="24">
        <f>IF(O57&gt;0,ROUND(ROUND(O57*100,0)*ROUND(M$7*10000,0)/12000000,0)/100,0)</f>
        <v>0</v>
      </c>
      <c r="O58" s="24">
        <f>IF(O57&gt;0,ROUND(O57+N58-M58,2),0)</f>
        <v>0</v>
      </c>
      <c r="P58" s="24">
        <f>IF(O57&gt;0,ROUND(P57+ROUND(ROUND(P57*100,0)*ROUND(M$7*10000,0)/12000000,0)/100+0.02,2),0)</f>
        <v>0</v>
      </c>
      <c r="Q58" s="24">
        <f>IF(S57&gt;0,IF(AND(ROUND(S57+R58-ROUND(Q$6+IF(Q$5=$C58,$E$5+$E58,0),2),2)&gt;0,ROUND(S57+R58-ROUND(Q$6+IF(Q$5=$C58,$E$5+$E58,0),2),2)&lt;=T58,ROUND(S57+R58-ROUND(Q$6+IF(Q$5=$C58,$E$5+$E58,0),2),2)*10&lt;=ROUND(Q$6+IF(Q$5=$C58,$E$5+$E58,0),2)),ROUND(S57+R58,2),MIN(ROUND(Q$6+IF(Q$5=$C58,$E$5+$E58,0),2),ROUND(S57+R58,2))),0)</f>
        <v>0</v>
      </c>
      <c r="R58" s="24">
        <f>IF(S57&gt;0,ROUND(ROUND(S57*100,0)*ROUND(Q$7*10000,0)/12000000,0)/100,0)</f>
        <v>0</v>
      </c>
      <c r="S58" s="24">
        <f>IF(S57&gt;0,ROUND(S57+R58-Q58,2),0)</f>
        <v>0</v>
      </c>
      <c r="T58" s="24">
        <f>IF(S57&gt;0,ROUND(T57+ROUND(ROUND(T57*100,0)*ROUND(Q$7*10000,0)/12000000,0)/100+0.02,2),0)</f>
        <v>0</v>
      </c>
      <c r="U58" s="24">
        <f>IF(W57&gt;0,IF(AND(ROUND(W57+V58-ROUND(U$6+IF(U$5=$C58,$E$5+$E58,0),2),2)&gt;0,ROUND(W57+V58-ROUND(U$6+IF(U$5=$C58,$E$5+$E58,0),2),2)&lt;=X58,ROUND(W57+V58-ROUND(U$6+IF(U$5=$C58,$E$5+$E58,0),2),2)*10&lt;=ROUND(U$6+IF(U$5=$C58,$E$5+$E58,0),2)),ROUND(W57+V58,2),MIN(ROUND(U$6+IF(U$5=$C58,$E$5+$E58,0),2),ROUND(W57+V58,2))),0)</f>
        <v>0</v>
      </c>
      <c r="V58" s="24">
        <f>IF(W57&gt;0,ROUND(ROUND(W57*100,0)*ROUND(U$7*10000,0)/12000000,0)/100,0)</f>
        <v>0</v>
      </c>
      <c r="W58" s="24">
        <f>IF(W57&gt;0,ROUND(W57+V58-U58,2),0)</f>
        <v>0</v>
      </c>
      <c r="X58" s="24">
        <f>IF(W57&gt;0,ROUND(X57+ROUND(ROUND(X57*100,0)*ROUND(U$7*10000,0)/12000000,0)/100+0.02,2),0)</f>
        <v>0</v>
      </c>
      <c r="Y58" s="24">
        <f>IF(AA57&gt;0,IF(AND(ROUND(AA57+Z58-ROUND(Y$6+IF(Y$5=$C58,$E$5+$E58,0),2),2)&gt;0,ROUND(AA57+Z58-ROUND(Y$6+IF(Y$5=$C58,$E$5+$E58,0),2),2)&lt;=AB58,ROUND(AA57+Z58-ROUND(Y$6+IF(Y$5=$C58,$E$5+$E58,0),2),2)*10&lt;=ROUND(Y$6+IF(Y$5=$C58,$E$5+$E58,0),2)),ROUND(AA57+Z58,2),MIN(ROUND(Y$6+IF(Y$5=$C58,$E$5+$E58,0),2),ROUND(AA57+Z58,2))),0)</f>
        <v>0</v>
      </c>
      <c r="Z58" s="24">
        <f>IF(AA57&gt;0,ROUND(ROUND(AA57*100,0)*ROUND(Y$7*10000,0)/12000000,0)/100,0)</f>
        <v>0</v>
      </c>
      <c r="AA58" s="24">
        <f>IF(AA57&gt;0,ROUND(AA57+Z58-Y58,2),0)</f>
        <v>0</v>
      </c>
      <c r="AB58" s="24">
        <f>IF(AA57&gt;0,ROUND(AB57+ROUND(ROUND(AB57*100,0)*ROUND(Y$7*10000,0)/12000000,0)/100+0.02,2),0)</f>
        <v>0</v>
      </c>
      <c r="AC58" s="24">
        <f>IF(AE57&gt;0,IF(AND(ROUND(AE57+AD58-ROUND(AC$6+IF(AC$5=$C58,$E$5+$E58,0),2),2)&gt;0,ROUND(AE57+AD58-ROUND(AC$6+IF(AC$5=$C58,$E$5+$E58,0),2),2)&lt;=AF58,ROUND(AE57+AD58-ROUND(AC$6+IF(AC$5=$C58,$E$5+$E58,0),2),2)*10&lt;=ROUND(AC$6+IF(AC$5=$C58,$E$5+$E58,0),2)),ROUND(AE57+AD58,2),MIN(ROUND(AC$6+IF(AC$5=$C58,$E$5+$E58,0),2),ROUND(AE57+AD58,2))),0)</f>
        <v>0</v>
      </c>
      <c r="AD58" s="24">
        <f>IF(AE57&gt;0,ROUND(ROUND(AE57*100,0)*ROUND(AC$7*10000,0)/12000000,0)/100,0)</f>
        <v>0</v>
      </c>
      <c r="AE58" s="24">
        <f>IF(AE57&gt;0,ROUND(AE57+AD58-AC58,2),0)</f>
        <v>0</v>
      </c>
      <c r="AF58" s="24">
        <f>IF(AE57&gt;0,ROUND(AF57+ROUND(ROUND(AF57*100,0)*ROUND(AC$7*10000,0)/12000000,0)/100+0.02,2),0)</f>
        <v>0</v>
      </c>
      <c r="AG58" s="24">
        <f>IF(AI57&gt;0,IF(AND(ROUND(AI57+AH58-ROUND(AG$6+IF(AG$5=$C58,$E$5+$E58,0),2),2)&gt;0,ROUND(AI57+AH58-ROUND(AG$6+IF(AG$5=$C58,$E$5+$E58,0),2),2)&lt;=AJ58,ROUND(AI57+AH58-ROUND(AG$6+IF(AG$5=$C58,$E$5+$E58,0),2),2)*10&lt;=ROUND(AG$6+IF(AG$5=$C58,$E$5+$E58,0),2)),ROUND(AI57+AH58,2),MIN(ROUND(AG$6+IF(AG$5=$C58,$E$5+$E58,0),2),ROUND(AI57+AH58,2))),0)</f>
        <v>0</v>
      </c>
      <c r="AH58" s="24">
        <f>IF(AI57&gt;0,ROUND(ROUND(AI57*100,0)*ROUND(AG$7*10000,0)/12000000,0)/100,0)</f>
        <v>0</v>
      </c>
      <c r="AI58" s="24">
        <f>IF(AI57&gt;0,ROUND(AI57+AH58-AG58,2),0)</f>
        <v>0</v>
      </c>
      <c r="AJ58" s="24">
        <f>IF(AI57&gt;0,ROUND(AJ57+ROUND(ROUND(AJ57*100,0)*ROUND(AG$7*10000,0)/12000000,0)/100+0.02,2),0)</f>
        <v>0</v>
      </c>
      <c r="AK58" s="24">
        <f>IF(AM57&gt;0,IF(AND(ROUND(AM57+AL58-ROUND(AK$6+IF(AK$5=$C58,$E$5+$E58,0),2),2)&gt;0,ROUND(AM57+AL58-ROUND(AK$6+IF(AK$5=$C58,$E$5+$E58,0),2),2)&lt;=AN58,ROUND(AM57+AL58-ROUND(AK$6+IF(AK$5=$C58,$E$5+$E58,0),2),2)*10&lt;=ROUND(AK$6+IF(AK$5=$C58,$E$5+$E58,0),2)),ROUND(AM57+AL58,2),MIN(ROUND(AK$6+IF(AK$5=$C58,$E$5+$E58,0),2),ROUND(AM57+AL58,2))),0)</f>
        <v>0</v>
      </c>
      <c r="AL58" s="24">
        <f>IF(AM57&gt;0,ROUND(ROUND(AM57*100,0)*ROUND(AK$7*10000,0)/12000000,0)/100,0)</f>
        <v>0</v>
      </c>
      <c r="AM58" s="24">
        <f>IF(AM57&gt;0,ROUND(AM57+AL58-AK58,2),0)</f>
        <v>0</v>
      </c>
      <c r="AN58" s="24">
        <f>IF(AM57&gt;0,ROUND(AN57+ROUND(ROUND(AN57*100,0)*ROUND(AK$7*10000,0)/12000000,0)/100+0.02,2),0)</f>
        <v>0</v>
      </c>
      <c r="AO58" s="24">
        <f>IF(AQ57&gt;0,IF(AND(ROUND(AQ57+AP58-ROUND(AO$6+IF(AO$5=$C58,$E$5+$E58,0),2),2)&gt;0,ROUND(AQ57+AP58-ROUND(AO$6+IF(AO$5=$C58,$E$5+$E58,0),2),2)&lt;=AR58,ROUND(AQ57+AP58-ROUND(AO$6+IF(AO$5=$C58,$E$5+$E58,0),2),2)*10&lt;=ROUND(AO$6+IF(AO$5=$C58,$E$5+$E58,0),2)),ROUND(AQ57+AP58,2),MIN(ROUND(AO$6+IF(AO$5=$C58,$E$5+$E58,0),2),ROUND(AQ57+AP58,2))),0)</f>
        <v>0</v>
      </c>
      <c r="AP58" s="24">
        <f>IF(AQ57&gt;0,ROUND(ROUND(AQ57*100,0)*ROUND(AO$7*10000,0)/12000000,0)/100,0)</f>
        <v>0</v>
      </c>
      <c r="AQ58" s="24">
        <f>IF(AQ57&gt;0,ROUND(AQ57+AP58-AO58,2),0)</f>
        <v>0</v>
      </c>
      <c r="AR58" s="24">
        <f>IF(AQ57&gt;0,ROUND(AR57+ROUND(ROUND(AR57*100,0)*ROUND(AO$7*10000,0)/12000000,0)/100+0.02,2),0)</f>
        <v>0</v>
      </c>
      <c r="AS58" s="24">
        <f>IF(AU57&gt;0,IF(AND(ROUND(AU57+AT58-ROUND(AS$6+IF(AS$5=$C58,$E$5+$E58,0),2),2)&gt;0,ROUND(AU57+AT58-ROUND(AS$6+IF(AS$5=$C58,$E$5+$E58,0),2),2)&lt;=AV58,ROUND(AU57+AT58-ROUND(AS$6+IF(AS$5=$C58,$E$5+$E58,0),2),2)*10&lt;=ROUND(AS$6+IF(AS$5=$C58,$E$5+$E58,0),2)),ROUND(AU57+AT58,2),MIN(ROUND(AS$6+IF(AS$5=$C58,$E$5+$E58,0),2),ROUND(AU57+AT58,2))),0)</f>
        <v>0</v>
      </c>
      <c r="AT58" s="24">
        <f>IF(AU57&gt;0,ROUND(ROUND(AU57*100,0)*ROUND(AS$7*10000,0)/12000000,0)/100,0)</f>
        <v>0</v>
      </c>
      <c r="AU58" s="24">
        <f>IF(AU57&gt;0,ROUND(AU57+AT58-AS58,2),0)</f>
        <v>0</v>
      </c>
      <c r="AV58" s="24">
        <f>IF(AU57&gt;0,ROUND(AV57+ROUND(ROUND(AV57*100,0)*ROUND(AS$7*10000,0)/12000000,0)/100+0.02,2),0)</f>
        <v>0</v>
      </c>
    </row>
    <row r="59" spans="1:48" x14ac:dyDescent="0.25">
      <c r="A59" s="17" t="str">
        <f>IF(F59&gt;0,49,"")</f>
        <v/>
      </c>
      <c r="B59" s="18" t="str">
        <f>IF(F59&gt;0,EDATE($E$6,49),"")</f>
        <v/>
      </c>
      <c r="C59" s="21">
        <f>IF(H58&gt;0,MIN(IF(K58&gt;0,I$5,99),IF(O58&gt;0,M$5,99),IF(S58&gt;0,Q$5,99),IF(W58&gt;0,U$5,99),IF(AA58&gt;0,Y$5,99),IF(AE58&gt;0,AC$5,99),IF(AI58&gt;0,AG$5,99),IF(AM58&gt;0,AK$5,99),IF(AQ58&gt;0,AO$5,99),IF(AU58&gt;0,AS$5,99)),0)</f>
        <v>0</v>
      </c>
      <c r="D59" t="str">
        <f>IF(C59&gt;0,INDEX($I$4:$AV$4,1,MATCH(C59,$I$5:$AV$5,0)),"")</f>
        <v/>
      </c>
      <c r="E59" s="24">
        <f>ROUND(IF(AND(I$8&gt;0,K58=0),I$6,0)+IF(AND(M$8&gt;0,O58=0),M$6,0)+IF(AND(Q$8&gt;0,S58=0),Q$6,0)+IF(AND(U$8&gt;0,W58=0),U$6,0)+IF(AND(Y$8&gt;0,AA58=0),Y$6,0)+IF(AND(AC$8&gt;0,AE58=0),AC$6,0)+IF(AND(AG$8&gt;0,AI58=0),AG$6,0)+IF(AND(AK$8&gt;0,AM58=0),AK$6,0)+IF(AND(AO$8&gt;0,AQ58=0),AO$6,0)+IF(AND(AS$8&gt;0,AU58=0),AS$6,0),2)</f>
        <v>325</v>
      </c>
      <c r="F59" s="24">
        <f>ROUND(I59+M59+Q59+U59+Y59+AC59+AG59+AK59+AO59+AS59,2)</f>
        <v>0</v>
      </c>
      <c r="G59" s="24">
        <f>ROUND(J59+N59+R59+V59+Z59+AD59+AH59+AL59+AP59+AT59,2)</f>
        <v>0</v>
      </c>
      <c r="H59" s="24">
        <f>ROUND(K59+O59+S59+W59+AA59+AE59+AI59+AM59+AQ59+AU59,2)</f>
        <v>0</v>
      </c>
      <c r="I59" s="24">
        <f>IF(K58&gt;0,IF(AND(ROUND(K58+J59-ROUND(I$6+IF(I$5=$C59,$E$5+$E59,0),2),2)&gt;0,ROUND(K58+J59-ROUND(I$6+IF(I$5=$C59,$E$5+$E59,0),2),2)&lt;=L59,ROUND(K58+J59-ROUND(I$6+IF(I$5=$C59,$E$5+$E59,0),2),2)*10&lt;=ROUND(I$6+IF(I$5=$C59,$E$5+$E59,0),2)),ROUND(K58+J59,2),MIN(ROUND(I$6+IF(I$5=$C59,$E$5+$E59,0),2),ROUND(K58+J59,2))),0)</f>
        <v>0</v>
      </c>
      <c r="J59" s="24">
        <f>IF(K58&gt;0,ROUND(ROUND(K58*100,0)*ROUND(I$7*10000,0)/12000000,0)/100,0)</f>
        <v>0</v>
      </c>
      <c r="K59" s="24">
        <f>IF(K58&gt;0,ROUND(K58+J59-I59,2),0)</f>
        <v>0</v>
      </c>
      <c r="L59" s="24">
        <f>IF(K58&gt;0,ROUND(L58+ROUND(ROUND(L58*100,0)*ROUND(I$7*10000,0)/12000000,0)/100+0.02,2),0)</f>
        <v>0</v>
      </c>
      <c r="M59" s="24">
        <f>IF(O58&gt;0,IF(AND(ROUND(O58+N59-ROUND(M$6+IF(M$5=$C59,$E$5+$E59,0),2),2)&gt;0,ROUND(O58+N59-ROUND(M$6+IF(M$5=$C59,$E$5+$E59,0),2),2)&lt;=P59,ROUND(O58+N59-ROUND(M$6+IF(M$5=$C59,$E$5+$E59,0),2),2)*10&lt;=ROUND(M$6+IF(M$5=$C59,$E$5+$E59,0),2)),ROUND(O58+N59,2),MIN(ROUND(M$6+IF(M$5=$C59,$E$5+$E59,0),2),ROUND(O58+N59,2))),0)</f>
        <v>0</v>
      </c>
      <c r="N59" s="24">
        <f>IF(O58&gt;0,ROUND(ROUND(O58*100,0)*ROUND(M$7*10000,0)/12000000,0)/100,0)</f>
        <v>0</v>
      </c>
      <c r="O59" s="24">
        <f>IF(O58&gt;0,ROUND(O58+N59-M59,2),0)</f>
        <v>0</v>
      </c>
      <c r="P59" s="24">
        <f>IF(O58&gt;0,ROUND(P58+ROUND(ROUND(P58*100,0)*ROUND(M$7*10000,0)/12000000,0)/100+0.02,2),0)</f>
        <v>0</v>
      </c>
      <c r="Q59" s="24">
        <f>IF(S58&gt;0,IF(AND(ROUND(S58+R59-ROUND(Q$6+IF(Q$5=$C59,$E$5+$E59,0),2),2)&gt;0,ROUND(S58+R59-ROUND(Q$6+IF(Q$5=$C59,$E$5+$E59,0),2),2)&lt;=T59,ROUND(S58+R59-ROUND(Q$6+IF(Q$5=$C59,$E$5+$E59,0),2),2)*10&lt;=ROUND(Q$6+IF(Q$5=$C59,$E$5+$E59,0),2)),ROUND(S58+R59,2),MIN(ROUND(Q$6+IF(Q$5=$C59,$E$5+$E59,0),2),ROUND(S58+R59,2))),0)</f>
        <v>0</v>
      </c>
      <c r="R59" s="24">
        <f>IF(S58&gt;0,ROUND(ROUND(S58*100,0)*ROUND(Q$7*10000,0)/12000000,0)/100,0)</f>
        <v>0</v>
      </c>
      <c r="S59" s="24">
        <f>IF(S58&gt;0,ROUND(S58+R59-Q59,2),0)</f>
        <v>0</v>
      </c>
      <c r="T59" s="24">
        <f>IF(S58&gt;0,ROUND(T58+ROUND(ROUND(T58*100,0)*ROUND(Q$7*10000,0)/12000000,0)/100+0.02,2),0)</f>
        <v>0</v>
      </c>
      <c r="U59" s="24">
        <f>IF(W58&gt;0,IF(AND(ROUND(W58+V59-ROUND(U$6+IF(U$5=$C59,$E$5+$E59,0),2),2)&gt;0,ROUND(W58+V59-ROUND(U$6+IF(U$5=$C59,$E$5+$E59,0),2),2)&lt;=X59,ROUND(W58+V59-ROUND(U$6+IF(U$5=$C59,$E$5+$E59,0),2),2)*10&lt;=ROUND(U$6+IF(U$5=$C59,$E$5+$E59,0),2)),ROUND(W58+V59,2),MIN(ROUND(U$6+IF(U$5=$C59,$E$5+$E59,0),2),ROUND(W58+V59,2))),0)</f>
        <v>0</v>
      </c>
      <c r="V59" s="24">
        <f>IF(W58&gt;0,ROUND(ROUND(W58*100,0)*ROUND(U$7*10000,0)/12000000,0)/100,0)</f>
        <v>0</v>
      </c>
      <c r="W59" s="24">
        <f>IF(W58&gt;0,ROUND(W58+V59-U59,2),0)</f>
        <v>0</v>
      </c>
      <c r="X59" s="24">
        <f>IF(W58&gt;0,ROUND(X58+ROUND(ROUND(X58*100,0)*ROUND(U$7*10000,0)/12000000,0)/100+0.02,2),0)</f>
        <v>0</v>
      </c>
      <c r="Y59" s="24">
        <f>IF(AA58&gt;0,IF(AND(ROUND(AA58+Z59-ROUND(Y$6+IF(Y$5=$C59,$E$5+$E59,0),2),2)&gt;0,ROUND(AA58+Z59-ROUND(Y$6+IF(Y$5=$C59,$E$5+$E59,0),2),2)&lt;=AB59,ROUND(AA58+Z59-ROUND(Y$6+IF(Y$5=$C59,$E$5+$E59,0),2),2)*10&lt;=ROUND(Y$6+IF(Y$5=$C59,$E$5+$E59,0),2)),ROUND(AA58+Z59,2),MIN(ROUND(Y$6+IF(Y$5=$C59,$E$5+$E59,0),2),ROUND(AA58+Z59,2))),0)</f>
        <v>0</v>
      </c>
      <c r="Z59" s="24">
        <f>IF(AA58&gt;0,ROUND(ROUND(AA58*100,0)*ROUND(Y$7*10000,0)/12000000,0)/100,0)</f>
        <v>0</v>
      </c>
      <c r="AA59" s="24">
        <f>IF(AA58&gt;0,ROUND(AA58+Z59-Y59,2),0)</f>
        <v>0</v>
      </c>
      <c r="AB59" s="24">
        <f>IF(AA58&gt;0,ROUND(AB58+ROUND(ROUND(AB58*100,0)*ROUND(Y$7*10000,0)/12000000,0)/100+0.02,2),0)</f>
        <v>0</v>
      </c>
      <c r="AC59" s="24">
        <f>IF(AE58&gt;0,IF(AND(ROUND(AE58+AD59-ROUND(AC$6+IF(AC$5=$C59,$E$5+$E59,0),2),2)&gt;0,ROUND(AE58+AD59-ROUND(AC$6+IF(AC$5=$C59,$E$5+$E59,0),2),2)&lt;=AF59,ROUND(AE58+AD59-ROUND(AC$6+IF(AC$5=$C59,$E$5+$E59,0),2),2)*10&lt;=ROUND(AC$6+IF(AC$5=$C59,$E$5+$E59,0),2)),ROUND(AE58+AD59,2),MIN(ROUND(AC$6+IF(AC$5=$C59,$E$5+$E59,0),2),ROUND(AE58+AD59,2))),0)</f>
        <v>0</v>
      </c>
      <c r="AD59" s="24">
        <f>IF(AE58&gt;0,ROUND(ROUND(AE58*100,0)*ROUND(AC$7*10000,0)/12000000,0)/100,0)</f>
        <v>0</v>
      </c>
      <c r="AE59" s="24">
        <f>IF(AE58&gt;0,ROUND(AE58+AD59-AC59,2),0)</f>
        <v>0</v>
      </c>
      <c r="AF59" s="24">
        <f>IF(AE58&gt;0,ROUND(AF58+ROUND(ROUND(AF58*100,0)*ROUND(AC$7*10000,0)/12000000,0)/100+0.02,2),0)</f>
        <v>0</v>
      </c>
      <c r="AG59" s="24">
        <f>IF(AI58&gt;0,IF(AND(ROUND(AI58+AH59-ROUND(AG$6+IF(AG$5=$C59,$E$5+$E59,0),2),2)&gt;0,ROUND(AI58+AH59-ROUND(AG$6+IF(AG$5=$C59,$E$5+$E59,0),2),2)&lt;=AJ59,ROUND(AI58+AH59-ROUND(AG$6+IF(AG$5=$C59,$E$5+$E59,0),2),2)*10&lt;=ROUND(AG$6+IF(AG$5=$C59,$E$5+$E59,0),2)),ROUND(AI58+AH59,2),MIN(ROUND(AG$6+IF(AG$5=$C59,$E$5+$E59,0),2),ROUND(AI58+AH59,2))),0)</f>
        <v>0</v>
      </c>
      <c r="AH59" s="24">
        <f>IF(AI58&gt;0,ROUND(ROUND(AI58*100,0)*ROUND(AG$7*10000,0)/12000000,0)/100,0)</f>
        <v>0</v>
      </c>
      <c r="AI59" s="24">
        <f>IF(AI58&gt;0,ROUND(AI58+AH59-AG59,2),0)</f>
        <v>0</v>
      </c>
      <c r="AJ59" s="24">
        <f>IF(AI58&gt;0,ROUND(AJ58+ROUND(ROUND(AJ58*100,0)*ROUND(AG$7*10000,0)/12000000,0)/100+0.02,2),0)</f>
        <v>0</v>
      </c>
      <c r="AK59" s="24">
        <f>IF(AM58&gt;0,IF(AND(ROUND(AM58+AL59-ROUND(AK$6+IF(AK$5=$C59,$E$5+$E59,0),2),2)&gt;0,ROUND(AM58+AL59-ROUND(AK$6+IF(AK$5=$C59,$E$5+$E59,0),2),2)&lt;=AN59,ROUND(AM58+AL59-ROUND(AK$6+IF(AK$5=$C59,$E$5+$E59,0),2),2)*10&lt;=ROUND(AK$6+IF(AK$5=$C59,$E$5+$E59,0),2)),ROUND(AM58+AL59,2),MIN(ROUND(AK$6+IF(AK$5=$C59,$E$5+$E59,0),2),ROUND(AM58+AL59,2))),0)</f>
        <v>0</v>
      </c>
      <c r="AL59" s="24">
        <f>IF(AM58&gt;0,ROUND(ROUND(AM58*100,0)*ROUND(AK$7*10000,0)/12000000,0)/100,0)</f>
        <v>0</v>
      </c>
      <c r="AM59" s="24">
        <f>IF(AM58&gt;0,ROUND(AM58+AL59-AK59,2),0)</f>
        <v>0</v>
      </c>
      <c r="AN59" s="24">
        <f>IF(AM58&gt;0,ROUND(AN58+ROUND(ROUND(AN58*100,0)*ROUND(AK$7*10000,0)/12000000,0)/100+0.02,2),0)</f>
        <v>0</v>
      </c>
      <c r="AO59" s="24">
        <f>IF(AQ58&gt;0,IF(AND(ROUND(AQ58+AP59-ROUND(AO$6+IF(AO$5=$C59,$E$5+$E59,0),2),2)&gt;0,ROUND(AQ58+AP59-ROUND(AO$6+IF(AO$5=$C59,$E$5+$E59,0),2),2)&lt;=AR59,ROUND(AQ58+AP59-ROUND(AO$6+IF(AO$5=$C59,$E$5+$E59,0),2),2)*10&lt;=ROUND(AO$6+IF(AO$5=$C59,$E$5+$E59,0),2)),ROUND(AQ58+AP59,2),MIN(ROUND(AO$6+IF(AO$5=$C59,$E$5+$E59,0),2),ROUND(AQ58+AP59,2))),0)</f>
        <v>0</v>
      </c>
      <c r="AP59" s="24">
        <f>IF(AQ58&gt;0,ROUND(ROUND(AQ58*100,0)*ROUND(AO$7*10000,0)/12000000,0)/100,0)</f>
        <v>0</v>
      </c>
      <c r="AQ59" s="24">
        <f>IF(AQ58&gt;0,ROUND(AQ58+AP59-AO59,2),0)</f>
        <v>0</v>
      </c>
      <c r="AR59" s="24">
        <f>IF(AQ58&gt;0,ROUND(AR58+ROUND(ROUND(AR58*100,0)*ROUND(AO$7*10000,0)/12000000,0)/100+0.02,2),0)</f>
        <v>0</v>
      </c>
      <c r="AS59" s="24">
        <f>IF(AU58&gt;0,IF(AND(ROUND(AU58+AT59-ROUND(AS$6+IF(AS$5=$C59,$E$5+$E59,0),2),2)&gt;0,ROUND(AU58+AT59-ROUND(AS$6+IF(AS$5=$C59,$E$5+$E59,0),2),2)&lt;=AV59,ROUND(AU58+AT59-ROUND(AS$6+IF(AS$5=$C59,$E$5+$E59,0),2),2)*10&lt;=ROUND(AS$6+IF(AS$5=$C59,$E$5+$E59,0),2)),ROUND(AU58+AT59,2),MIN(ROUND(AS$6+IF(AS$5=$C59,$E$5+$E59,0),2),ROUND(AU58+AT59,2))),0)</f>
        <v>0</v>
      </c>
      <c r="AT59" s="24">
        <f>IF(AU58&gt;0,ROUND(ROUND(AU58*100,0)*ROUND(AS$7*10000,0)/12000000,0)/100,0)</f>
        <v>0</v>
      </c>
      <c r="AU59" s="24">
        <f>IF(AU58&gt;0,ROUND(AU58+AT59-AS59,2),0)</f>
        <v>0</v>
      </c>
      <c r="AV59" s="24">
        <f>IF(AU58&gt;0,ROUND(AV58+ROUND(ROUND(AV58*100,0)*ROUND(AS$7*10000,0)/12000000,0)/100+0.02,2),0)</f>
        <v>0</v>
      </c>
    </row>
    <row r="60" spans="1:48" x14ac:dyDescent="0.25">
      <c r="A60" s="17" t="str">
        <f>IF(F60&gt;0,50,"")</f>
        <v/>
      </c>
      <c r="B60" s="18" t="str">
        <f>IF(F60&gt;0,EDATE($E$6,50),"")</f>
        <v/>
      </c>
      <c r="C60" s="21">
        <f>IF(H59&gt;0,MIN(IF(K59&gt;0,I$5,99),IF(O59&gt;0,M$5,99),IF(S59&gt;0,Q$5,99),IF(W59&gt;0,U$5,99),IF(AA59&gt;0,Y$5,99),IF(AE59&gt;0,AC$5,99),IF(AI59&gt;0,AG$5,99),IF(AM59&gt;0,AK$5,99),IF(AQ59&gt;0,AO$5,99),IF(AU59&gt;0,AS$5,99)),0)</f>
        <v>0</v>
      </c>
      <c r="D60" t="str">
        <f>IF(C60&gt;0,INDEX($I$4:$AV$4,1,MATCH(C60,$I$5:$AV$5,0)),"")</f>
        <v/>
      </c>
      <c r="E60" s="24">
        <f>ROUND(IF(AND(I$8&gt;0,K59=0),I$6,0)+IF(AND(M$8&gt;0,O59=0),M$6,0)+IF(AND(Q$8&gt;0,S59=0),Q$6,0)+IF(AND(U$8&gt;0,W59=0),U$6,0)+IF(AND(Y$8&gt;0,AA59=0),Y$6,0)+IF(AND(AC$8&gt;0,AE59=0),AC$6,0)+IF(AND(AG$8&gt;0,AI59=0),AG$6,0)+IF(AND(AK$8&gt;0,AM59=0),AK$6,0)+IF(AND(AO$8&gt;0,AQ59=0),AO$6,0)+IF(AND(AS$8&gt;0,AU59=0),AS$6,0),2)</f>
        <v>325</v>
      </c>
      <c r="F60" s="24">
        <f>ROUND(I60+M60+Q60+U60+Y60+AC60+AG60+AK60+AO60+AS60,2)</f>
        <v>0</v>
      </c>
      <c r="G60" s="24">
        <f>ROUND(J60+N60+R60+V60+Z60+AD60+AH60+AL60+AP60+AT60,2)</f>
        <v>0</v>
      </c>
      <c r="H60" s="24">
        <f>ROUND(K60+O60+S60+W60+AA60+AE60+AI60+AM60+AQ60+AU60,2)</f>
        <v>0</v>
      </c>
      <c r="I60" s="24">
        <f>IF(K59&gt;0,IF(AND(ROUND(K59+J60-ROUND(I$6+IF(I$5=$C60,$E$5+$E60,0),2),2)&gt;0,ROUND(K59+J60-ROUND(I$6+IF(I$5=$C60,$E$5+$E60,0),2),2)&lt;=L60,ROUND(K59+J60-ROUND(I$6+IF(I$5=$C60,$E$5+$E60,0),2),2)*10&lt;=ROUND(I$6+IF(I$5=$C60,$E$5+$E60,0),2)),ROUND(K59+J60,2),MIN(ROUND(I$6+IF(I$5=$C60,$E$5+$E60,0),2),ROUND(K59+J60,2))),0)</f>
        <v>0</v>
      </c>
      <c r="J60" s="24">
        <f>IF(K59&gt;0,ROUND(ROUND(K59*100,0)*ROUND(I$7*10000,0)/12000000,0)/100,0)</f>
        <v>0</v>
      </c>
      <c r="K60" s="24">
        <f>IF(K59&gt;0,ROUND(K59+J60-I60,2),0)</f>
        <v>0</v>
      </c>
      <c r="L60" s="24">
        <f>IF(K59&gt;0,ROUND(L59+ROUND(ROUND(L59*100,0)*ROUND(I$7*10000,0)/12000000,0)/100+0.02,2),0)</f>
        <v>0</v>
      </c>
      <c r="M60" s="24">
        <f>IF(O59&gt;0,IF(AND(ROUND(O59+N60-ROUND(M$6+IF(M$5=$C60,$E$5+$E60,0),2),2)&gt;0,ROUND(O59+N60-ROUND(M$6+IF(M$5=$C60,$E$5+$E60,0),2),2)&lt;=P60,ROUND(O59+N60-ROUND(M$6+IF(M$5=$C60,$E$5+$E60,0),2),2)*10&lt;=ROUND(M$6+IF(M$5=$C60,$E$5+$E60,0),2)),ROUND(O59+N60,2),MIN(ROUND(M$6+IF(M$5=$C60,$E$5+$E60,0),2),ROUND(O59+N60,2))),0)</f>
        <v>0</v>
      </c>
      <c r="N60" s="24">
        <f>IF(O59&gt;0,ROUND(ROUND(O59*100,0)*ROUND(M$7*10000,0)/12000000,0)/100,0)</f>
        <v>0</v>
      </c>
      <c r="O60" s="24">
        <f>IF(O59&gt;0,ROUND(O59+N60-M60,2),0)</f>
        <v>0</v>
      </c>
      <c r="P60" s="24">
        <f>IF(O59&gt;0,ROUND(P59+ROUND(ROUND(P59*100,0)*ROUND(M$7*10000,0)/12000000,0)/100+0.02,2),0)</f>
        <v>0</v>
      </c>
      <c r="Q60" s="24">
        <f>IF(S59&gt;0,IF(AND(ROUND(S59+R60-ROUND(Q$6+IF(Q$5=$C60,$E$5+$E60,0),2),2)&gt;0,ROUND(S59+R60-ROUND(Q$6+IF(Q$5=$C60,$E$5+$E60,0),2),2)&lt;=T60,ROUND(S59+R60-ROUND(Q$6+IF(Q$5=$C60,$E$5+$E60,0),2),2)*10&lt;=ROUND(Q$6+IF(Q$5=$C60,$E$5+$E60,0),2)),ROUND(S59+R60,2),MIN(ROUND(Q$6+IF(Q$5=$C60,$E$5+$E60,0),2),ROUND(S59+R60,2))),0)</f>
        <v>0</v>
      </c>
      <c r="R60" s="24">
        <f>IF(S59&gt;0,ROUND(ROUND(S59*100,0)*ROUND(Q$7*10000,0)/12000000,0)/100,0)</f>
        <v>0</v>
      </c>
      <c r="S60" s="24">
        <f>IF(S59&gt;0,ROUND(S59+R60-Q60,2),0)</f>
        <v>0</v>
      </c>
      <c r="T60" s="24">
        <f>IF(S59&gt;0,ROUND(T59+ROUND(ROUND(T59*100,0)*ROUND(Q$7*10000,0)/12000000,0)/100+0.02,2),0)</f>
        <v>0</v>
      </c>
      <c r="U60" s="24">
        <f>IF(W59&gt;0,IF(AND(ROUND(W59+V60-ROUND(U$6+IF(U$5=$C60,$E$5+$E60,0),2),2)&gt;0,ROUND(W59+V60-ROUND(U$6+IF(U$5=$C60,$E$5+$E60,0),2),2)&lt;=X60,ROUND(W59+V60-ROUND(U$6+IF(U$5=$C60,$E$5+$E60,0),2),2)*10&lt;=ROUND(U$6+IF(U$5=$C60,$E$5+$E60,0),2)),ROUND(W59+V60,2),MIN(ROUND(U$6+IF(U$5=$C60,$E$5+$E60,0),2),ROUND(W59+V60,2))),0)</f>
        <v>0</v>
      </c>
      <c r="V60" s="24">
        <f>IF(W59&gt;0,ROUND(ROUND(W59*100,0)*ROUND(U$7*10000,0)/12000000,0)/100,0)</f>
        <v>0</v>
      </c>
      <c r="W60" s="24">
        <f>IF(W59&gt;0,ROUND(W59+V60-U60,2),0)</f>
        <v>0</v>
      </c>
      <c r="X60" s="24">
        <f>IF(W59&gt;0,ROUND(X59+ROUND(ROUND(X59*100,0)*ROUND(U$7*10000,0)/12000000,0)/100+0.02,2),0)</f>
        <v>0</v>
      </c>
      <c r="Y60" s="24">
        <f>IF(AA59&gt;0,IF(AND(ROUND(AA59+Z60-ROUND(Y$6+IF(Y$5=$C60,$E$5+$E60,0),2),2)&gt;0,ROUND(AA59+Z60-ROUND(Y$6+IF(Y$5=$C60,$E$5+$E60,0),2),2)&lt;=AB60,ROUND(AA59+Z60-ROUND(Y$6+IF(Y$5=$C60,$E$5+$E60,0),2),2)*10&lt;=ROUND(Y$6+IF(Y$5=$C60,$E$5+$E60,0),2)),ROUND(AA59+Z60,2),MIN(ROUND(Y$6+IF(Y$5=$C60,$E$5+$E60,0),2),ROUND(AA59+Z60,2))),0)</f>
        <v>0</v>
      </c>
      <c r="Z60" s="24">
        <f>IF(AA59&gt;0,ROUND(ROUND(AA59*100,0)*ROUND(Y$7*10000,0)/12000000,0)/100,0)</f>
        <v>0</v>
      </c>
      <c r="AA60" s="24">
        <f>IF(AA59&gt;0,ROUND(AA59+Z60-Y60,2),0)</f>
        <v>0</v>
      </c>
      <c r="AB60" s="24">
        <f>IF(AA59&gt;0,ROUND(AB59+ROUND(ROUND(AB59*100,0)*ROUND(Y$7*10000,0)/12000000,0)/100+0.02,2),0)</f>
        <v>0</v>
      </c>
      <c r="AC60" s="24">
        <f>IF(AE59&gt;0,IF(AND(ROUND(AE59+AD60-ROUND(AC$6+IF(AC$5=$C60,$E$5+$E60,0),2),2)&gt;0,ROUND(AE59+AD60-ROUND(AC$6+IF(AC$5=$C60,$E$5+$E60,0),2),2)&lt;=AF60,ROUND(AE59+AD60-ROUND(AC$6+IF(AC$5=$C60,$E$5+$E60,0),2),2)*10&lt;=ROUND(AC$6+IF(AC$5=$C60,$E$5+$E60,0),2)),ROUND(AE59+AD60,2),MIN(ROUND(AC$6+IF(AC$5=$C60,$E$5+$E60,0),2),ROUND(AE59+AD60,2))),0)</f>
        <v>0</v>
      </c>
      <c r="AD60" s="24">
        <f>IF(AE59&gt;0,ROUND(ROUND(AE59*100,0)*ROUND(AC$7*10000,0)/12000000,0)/100,0)</f>
        <v>0</v>
      </c>
      <c r="AE60" s="24">
        <f>IF(AE59&gt;0,ROUND(AE59+AD60-AC60,2),0)</f>
        <v>0</v>
      </c>
      <c r="AF60" s="24">
        <f>IF(AE59&gt;0,ROUND(AF59+ROUND(ROUND(AF59*100,0)*ROUND(AC$7*10000,0)/12000000,0)/100+0.02,2),0)</f>
        <v>0</v>
      </c>
      <c r="AG60" s="24">
        <f>IF(AI59&gt;0,IF(AND(ROUND(AI59+AH60-ROUND(AG$6+IF(AG$5=$C60,$E$5+$E60,0),2),2)&gt;0,ROUND(AI59+AH60-ROUND(AG$6+IF(AG$5=$C60,$E$5+$E60,0),2),2)&lt;=AJ60,ROUND(AI59+AH60-ROUND(AG$6+IF(AG$5=$C60,$E$5+$E60,0),2),2)*10&lt;=ROUND(AG$6+IF(AG$5=$C60,$E$5+$E60,0),2)),ROUND(AI59+AH60,2),MIN(ROUND(AG$6+IF(AG$5=$C60,$E$5+$E60,0),2),ROUND(AI59+AH60,2))),0)</f>
        <v>0</v>
      </c>
      <c r="AH60" s="24">
        <f>IF(AI59&gt;0,ROUND(ROUND(AI59*100,0)*ROUND(AG$7*10000,0)/12000000,0)/100,0)</f>
        <v>0</v>
      </c>
      <c r="AI60" s="24">
        <f>IF(AI59&gt;0,ROUND(AI59+AH60-AG60,2),0)</f>
        <v>0</v>
      </c>
      <c r="AJ60" s="24">
        <f>IF(AI59&gt;0,ROUND(AJ59+ROUND(ROUND(AJ59*100,0)*ROUND(AG$7*10000,0)/12000000,0)/100+0.02,2),0)</f>
        <v>0</v>
      </c>
      <c r="AK60" s="24">
        <f>IF(AM59&gt;0,IF(AND(ROUND(AM59+AL60-ROUND(AK$6+IF(AK$5=$C60,$E$5+$E60,0),2),2)&gt;0,ROUND(AM59+AL60-ROUND(AK$6+IF(AK$5=$C60,$E$5+$E60,0),2),2)&lt;=AN60,ROUND(AM59+AL60-ROUND(AK$6+IF(AK$5=$C60,$E$5+$E60,0),2),2)*10&lt;=ROUND(AK$6+IF(AK$5=$C60,$E$5+$E60,0),2)),ROUND(AM59+AL60,2),MIN(ROUND(AK$6+IF(AK$5=$C60,$E$5+$E60,0),2),ROUND(AM59+AL60,2))),0)</f>
        <v>0</v>
      </c>
      <c r="AL60" s="24">
        <f>IF(AM59&gt;0,ROUND(ROUND(AM59*100,0)*ROUND(AK$7*10000,0)/12000000,0)/100,0)</f>
        <v>0</v>
      </c>
      <c r="AM60" s="24">
        <f>IF(AM59&gt;0,ROUND(AM59+AL60-AK60,2),0)</f>
        <v>0</v>
      </c>
      <c r="AN60" s="24">
        <f>IF(AM59&gt;0,ROUND(AN59+ROUND(ROUND(AN59*100,0)*ROUND(AK$7*10000,0)/12000000,0)/100+0.02,2),0)</f>
        <v>0</v>
      </c>
      <c r="AO60" s="24">
        <f>IF(AQ59&gt;0,IF(AND(ROUND(AQ59+AP60-ROUND(AO$6+IF(AO$5=$C60,$E$5+$E60,0),2),2)&gt;0,ROUND(AQ59+AP60-ROUND(AO$6+IF(AO$5=$C60,$E$5+$E60,0),2),2)&lt;=AR60,ROUND(AQ59+AP60-ROUND(AO$6+IF(AO$5=$C60,$E$5+$E60,0),2),2)*10&lt;=ROUND(AO$6+IF(AO$5=$C60,$E$5+$E60,0),2)),ROUND(AQ59+AP60,2),MIN(ROUND(AO$6+IF(AO$5=$C60,$E$5+$E60,0),2),ROUND(AQ59+AP60,2))),0)</f>
        <v>0</v>
      </c>
      <c r="AP60" s="24">
        <f>IF(AQ59&gt;0,ROUND(ROUND(AQ59*100,0)*ROUND(AO$7*10000,0)/12000000,0)/100,0)</f>
        <v>0</v>
      </c>
      <c r="AQ60" s="24">
        <f>IF(AQ59&gt;0,ROUND(AQ59+AP60-AO60,2),0)</f>
        <v>0</v>
      </c>
      <c r="AR60" s="24">
        <f>IF(AQ59&gt;0,ROUND(AR59+ROUND(ROUND(AR59*100,0)*ROUND(AO$7*10000,0)/12000000,0)/100+0.02,2),0)</f>
        <v>0</v>
      </c>
      <c r="AS60" s="24">
        <f>IF(AU59&gt;0,IF(AND(ROUND(AU59+AT60-ROUND(AS$6+IF(AS$5=$C60,$E$5+$E60,0),2),2)&gt;0,ROUND(AU59+AT60-ROUND(AS$6+IF(AS$5=$C60,$E$5+$E60,0),2),2)&lt;=AV60,ROUND(AU59+AT60-ROUND(AS$6+IF(AS$5=$C60,$E$5+$E60,0),2),2)*10&lt;=ROUND(AS$6+IF(AS$5=$C60,$E$5+$E60,0),2)),ROUND(AU59+AT60,2),MIN(ROUND(AS$6+IF(AS$5=$C60,$E$5+$E60,0),2),ROUND(AU59+AT60,2))),0)</f>
        <v>0</v>
      </c>
      <c r="AT60" s="24">
        <f>IF(AU59&gt;0,ROUND(ROUND(AU59*100,0)*ROUND(AS$7*10000,0)/12000000,0)/100,0)</f>
        <v>0</v>
      </c>
      <c r="AU60" s="24">
        <f>IF(AU59&gt;0,ROUND(AU59+AT60-AS60,2),0)</f>
        <v>0</v>
      </c>
      <c r="AV60" s="24">
        <f>IF(AU59&gt;0,ROUND(AV59+ROUND(ROUND(AV59*100,0)*ROUND(AS$7*10000,0)/12000000,0)/100+0.02,2),0)</f>
        <v>0</v>
      </c>
    </row>
    <row r="61" spans="1:48" x14ac:dyDescent="0.25">
      <c r="A61" s="17" t="str">
        <f>IF(F61&gt;0,51,"")</f>
        <v/>
      </c>
      <c r="B61" s="18" t="str">
        <f>IF(F61&gt;0,EDATE($E$6,51),"")</f>
        <v/>
      </c>
      <c r="C61" s="21">
        <f>IF(H60&gt;0,MIN(IF(K60&gt;0,I$5,99),IF(O60&gt;0,M$5,99),IF(S60&gt;0,Q$5,99),IF(W60&gt;0,U$5,99),IF(AA60&gt;0,Y$5,99),IF(AE60&gt;0,AC$5,99),IF(AI60&gt;0,AG$5,99),IF(AM60&gt;0,AK$5,99),IF(AQ60&gt;0,AO$5,99),IF(AU60&gt;0,AS$5,99)),0)</f>
        <v>0</v>
      </c>
      <c r="D61" t="str">
        <f>IF(C61&gt;0,INDEX($I$4:$AV$4,1,MATCH(C61,$I$5:$AV$5,0)),"")</f>
        <v/>
      </c>
      <c r="E61" s="24">
        <f>ROUND(IF(AND(I$8&gt;0,K60=0),I$6,0)+IF(AND(M$8&gt;0,O60=0),M$6,0)+IF(AND(Q$8&gt;0,S60=0),Q$6,0)+IF(AND(U$8&gt;0,W60=0),U$6,0)+IF(AND(Y$8&gt;0,AA60=0),Y$6,0)+IF(AND(AC$8&gt;0,AE60=0),AC$6,0)+IF(AND(AG$8&gt;0,AI60=0),AG$6,0)+IF(AND(AK$8&gt;0,AM60=0),AK$6,0)+IF(AND(AO$8&gt;0,AQ60=0),AO$6,0)+IF(AND(AS$8&gt;0,AU60=0),AS$6,0),2)</f>
        <v>325</v>
      </c>
      <c r="F61" s="24">
        <f>ROUND(I61+M61+Q61+U61+Y61+AC61+AG61+AK61+AO61+AS61,2)</f>
        <v>0</v>
      </c>
      <c r="G61" s="24">
        <f>ROUND(J61+N61+R61+V61+Z61+AD61+AH61+AL61+AP61+AT61,2)</f>
        <v>0</v>
      </c>
      <c r="H61" s="24">
        <f>ROUND(K61+O61+S61+W61+AA61+AE61+AI61+AM61+AQ61+AU61,2)</f>
        <v>0</v>
      </c>
      <c r="I61" s="24">
        <f>IF(K60&gt;0,IF(AND(ROUND(K60+J61-ROUND(I$6+IF(I$5=$C61,$E$5+$E61,0),2),2)&gt;0,ROUND(K60+J61-ROUND(I$6+IF(I$5=$C61,$E$5+$E61,0),2),2)&lt;=L61,ROUND(K60+J61-ROUND(I$6+IF(I$5=$C61,$E$5+$E61,0),2),2)*10&lt;=ROUND(I$6+IF(I$5=$C61,$E$5+$E61,0),2)),ROUND(K60+J61,2),MIN(ROUND(I$6+IF(I$5=$C61,$E$5+$E61,0),2),ROUND(K60+J61,2))),0)</f>
        <v>0</v>
      </c>
      <c r="J61" s="24">
        <f>IF(K60&gt;0,ROUND(ROUND(K60*100,0)*ROUND(I$7*10000,0)/12000000,0)/100,0)</f>
        <v>0</v>
      </c>
      <c r="K61" s="24">
        <f>IF(K60&gt;0,ROUND(K60+J61-I61,2),0)</f>
        <v>0</v>
      </c>
      <c r="L61" s="24">
        <f>IF(K60&gt;0,ROUND(L60+ROUND(ROUND(L60*100,0)*ROUND(I$7*10000,0)/12000000,0)/100+0.02,2),0)</f>
        <v>0</v>
      </c>
      <c r="M61" s="24">
        <f>IF(O60&gt;0,IF(AND(ROUND(O60+N61-ROUND(M$6+IF(M$5=$C61,$E$5+$E61,0),2),2)&gt;0,ROUND(O60+N61-ROUND(M$6+IF(M$5=$C61,$E$5+$E61,0),2),2)&lt;=P61,ROUND(O60+N61-ROUND(M$6+IF(M$5=$C61,$E$5+$E61,0),2),2)*10&lt;=ROUND(M$6+IF(M$5=$C61,$E$5+$E61,0),2)),ROUND(O60+N61,2),MIN(ROUND(M$6+IF(M$5=$C61,$E$5+$E61,0),2),ROUND(O60+N61,2))),0)</f>
        <v>0</v>
      </c>
      <c r="N61" s="24">
        <f>IF(O60&gt;0,ROUND(ROUND(O60*100,0)*ROUND(M$7*10000,0)/12000000,0)/100,0)</f>
        <v>0</v>
      </c>
      <c r="O61" s="24">
        <f>IF(O60&gt;0,ROUND(O60+N61-M61,2),0)</f>
        <v>0</v>
      </c>
      <c r="P61" s="24">
        <f>IF(O60&gt;0,ROUND(P60+ROUND(ROUND(P60*100,0)*ROUND(M$7*10000,0)/12000000,0)/100+0.02,2),0)</f>
        <v>0</v>
      </c>
      <c r="Q61" s="24">
        <f>IF(S60&gt;0,IF(AND(ROUND(S60+R61-ROUND(Q$6+IF(Q$5=$C61,$E$5+$E61,0),2),2)&gt;0,ROUND(S60+R61-ROUND(Q$6+IF(Q$5=$C61,$E$5+$E61,0),2),2)&lt;=T61,ROUND(S60+R61-ROUND(Q$6+IF(Q$5=$C61,$E$5+$E61,0),2),2)*10&lt;=ROUND(Q$6+IF(Q$5=$C61,$E$5+$E61,0),2)),ROUND(S60+R61,2),MIN(ROUND(Q$6+IF(Q$5=$C61,$E$5+$E61,0),2),ROUND(S60+R61,2))),0)</f>
        <v>0</v>
      </c>
      <c r="R61" s="24">
        <f>IF(S60&gt;0,ROUND(ROUND(S60*100,0)*ROUND(Q$7*10000,0)/12000000,0)/100,0)</f>
        <v>0</v>
      </c>
      <c r="S61" s="24">
        <f>IF(S60&gt;0,ROUND(S60+R61-Q61,2),0)</f>
        <v>0</v>
      </c>
      <c r="T61" s="24">
        <f>IF(S60&gt;0,ROUND(T60+ROUND(ROUND(T60*100,0)*ROUND(Q$7*10000,0)/12000000,0)/100+0.02,2),0)</f>
        <v>0</v>
      </c>
      <c r="U61" s="24">
        <f>IF(W60&gt;0,IF(AND(ROUND(W60+V61-ROUND(U$6+IF(U$5=$C61,$E$5+$E61,0),2),2)&gt;0,ROUND(W60+V61-ROUND(U$6+IF(U$5=$C61,$E$5+$E61,0),2),2)&lt;=X61,ROUND(W60+V61-ROUND(U$6+IF(U$5=$C61,$E$5+$E61,0),2),2)*10&lt;=ROUND(U$6+IF(U$5=$C61,$E$5+$E61,0),2)),ROUND(W60+V61,2),MIN(ROUND(U$6+IF(U$5=$C61,$E$5+$E61,0),2),ROUND(W60+V61,2))),0)</f>
        <v>0</v>
      </c>
      <c r="V61" s="24">
        <f>IF(W60&gt;0,ROUND(ROUND(W60*100,0)*ROUND(U$7*10000,0)/12000000,0)/100,0)</f>
        <v>0</v>
      </c>
      <c r="W61" s="24">
        <f>IF(W60&gt;0,ROUND(W60+V61-U61,2),0)</f>
        <v>0</v>
      </c>
      <c r="X61" s="24">
        <f>IF(W60&gt;0,ROUND(X60+ROUND(ROUND(X60*100,0)*ROUND(U$7*10000,0)/12000000,0)/100+0.02,2),0)</f>
        <v>0</v>
      </c>
      <c r="Y61" s="24">
        <f>IF(AA60&gt;0,IF(AND(ROUND(AA60+Z61-ROUND(Y$6+IF(Y$5=$C61,$E$5+$E61,0),2),2)&gt;0,ROUND(AA60+Z61-ROUND(Y$6+IF(Y$5=$C61,$E$5+$E61,0),2),2)&lt;=AB61,ROUND(AA60+Z61-ROUND(Y$6+IF(Y$5=$C61,$E$5+$E61,0),2),2)*10&lt;=ROUND(Y$6+IF(Y$5=$C61,$E$5+$E61,0),2)),ROUND(AA60+Z61,2),MIN(ROUND(Y$6+IF(Y$5=$C61,$E$5+$E61,0),2),ROUND(AA60+Z61,2))),0)</f>
        <v>0</v>
      </c>
      <c r="Z61" s="24">
        <f>IF(AA60&gt;0,ROUND(ROUND(AA60*100,0)*ROUND(Y$7*10000,0)/12000000,0)/100,0)</f>
        <v>0</v>
      </c>
      <c r="AA61" s="24">
        <f>IF(AA60&gt;0,ROUND(AA60+Z61-Y61,2),0)</f>
        <v>0</v>
      </c>
      <c r="AB61" s="24">
        <f>IF(AA60&gt;0,ROUND(AB60+ROUND(ROUND(AB60*100,0)*ROUND(Y$7*10000,0)/12000000,0)/100+0.02,2),0)</f>
        <v>0</v>
      </c>
      <c r="AC61" s="24">
        <f>IF(AE60&gt;0,IF(AND(ROUND(AE60+AD61-ROUND(AC$6+IF(AC$5=$C61,$E$5+$E61,0),2),2)&gt;0,ROUND(AE60+AD61-ROUND(AC$6+IF(AC$5=$C61,$E$5+$E61,0),2),2)&lt;=AF61,ROUND(AE60+AD61-ROUND(AC$6+IF(AC$5=$C61,$E$5+$E61,0),2),2)*10&lt;=ROUND(AC$6+IF(AC$5=$C61,$E$5+$E61,0),2)),ROUND(AE60+AD61,2),MIN(ROUND(AC$6+IF(AC$5=$C61,$E$5+$E61,0),2),ROUND(AE60+AD61,2))),0)</f>
        <v>0</v>
      </c>
      <c r="AD61" s="24">
        <f>IF(AE60&gt;0,ROUND(ROUND(AE60*100,0)*ROUND(AC$7*10000,0)/12000000,0)/100,0)</f>
        <v>0</v>
      </c>
      <c r="AE61" s="24">
        <f>IF(AE60&gt;0,ROUND(AE60+AD61-AC61,2),0)</f>
        <v>0</v>
      </c>
      <c r="AF61" s="24">
        <f>IF(AE60&gt;0,ROUND(AF60+ROUND(ROUND(AF60*100,0)*ROUND(AC$7*10000,0)/12000000,0)/100+0.02,2),0)</f>
        <v>0</v>
      </c>
      <c r="AG61" s="24">
        <f>IF(AI60&gt;0,IF(AND(ROUND(AI60+AH61-ROUND(AG$6+IF(AG$5=$C61,$E$5+$E61,0),2),2)&gt;0,ROUND(AI60+AH61-ROUND(AG$6+IF(AG$5=$C61,$E$5+$E61,0),2),2)&lt;=AJ61,ROUND(AI60+AH61-ROUND(AG$6+IF(AG$5=$C61,$E$5+$E61,0),2),2)*10&lt;=ROUND(AG$6+IF(AG$5=$C61,$E$5+$E61,0),2)),ROUND(AI60+AH61,2),MIN(ROUND(AG$6+IF(AG$5=$C61,$E$5+$E61,0),2),ROUND(AI60+AH61,2))),0)</f>
        <v>0</v>
      </c>
      <c r="AH61" s="24">
        <f>IF(AI60&gt;0,ROUND(ROUND(AI60*100,0)*ROUND(AG$7*10000,0)/12000000,0)/100,0)</f>
        <v>0</v>
      </c>
      <c r="AI61" s="24">
        <f>IF(AI60&gt;0,ROUND(AI60+AH61-AG61,2),0)</f>
        <v>0</v>
      </c>
      <c r="AJ61" s="24">
        <f>IF(AI60&gt;0,ROUND(AJ60+ROUND(ROUND(AJ60*100,0)*ROUND(AG$7*10000,0)/12000000,0)/100+0.02,2),0)</f>
        <v>0</v>
      </c>
      <c r="AK61" s="24">
        <f>IF(AM60&gt;0,IF(AND(ROUND(AM60+AL61-ROUND(AK$6+IF(AK$5=$C61,$E$5+$E61,0),2),2)&gt;0,ROUND(AM60+AL61-ROUND(AK$6+IF(AK$5=$C61,$E$5+$E61,0),2),2)&lt;=AN61,ROUND(AM60+AL61-ROUND(AK$6+IF(AK$5=$C61,$E$5+$E61,0),2),2)*10&lt;=ROUND(AK$6+IF(AK$5=$C61,$E$5+$E61,0),2)),ROUND(AM60+AL61,2),MIN(ROUND(AK$6+IF(AK$5=$C61,$E$5+$E61,0),2),ROUND(AM60+AL61,2))),0)</f>
        <v>0</v>
      </c>
      <c r="AL61" s="24">
        <f>IF(AM60&gt;0,ROUND(ROUND(AM60*100,0)*ROUND(AK$7*10000,0)/12000000,0)/100,0)</f>
        <v>0</v>
      </c>
      <c r="AM61" s="24">
        <f>IF(AM60&gt;0,ROUND(AM60+AL61-AK61,2),0)</f>
        <v>0</v>
      </c>
      <c r="AN61" s="24">
        <f>IF(AM60&gt;0,ROUND(AN60+ROUND(ROUND(AN60*100,0)*ROUND(AK$7*10000,0)/12000000,0)/100+0.02,2),0)</f>
        <v>0</v>
      </c>
      <c r="AO61" s="24">
        <f>IF(AQ60&gt;0,IF(AND(ROUND(AQ60+AP61-ROUND(AO$6+IF(AO$5=$C61,$E$5+$E61,0),2),2)&gt;0,ROUND(AQ60+AP61-ROUND(AO$6+IF(AO$5=$C61,$E$5+$E61,0),2),2)&lt;=AR61,ROUND(AQ60+AP61-ROUND(AO$6+IF(AO$5=$C61,$E$5+$E61,0),2),2)*10&lt;=ROUND(AO$6+IF(AO$5=$C61,$E$5+$E61,0),2)),ROUND(AQ60+AP61,2),MIN(ROUND(AO$6+IF(AO$5=$C61,$E$5+$E61,0),2),ROUND(AQ60+AP61,2))),0)</f>
        <v>0</v>
      </c>
      <c r="AP61" s="24">
        <f>IF(AQ60&gt;0,ROUND(ROUND(AQ60*100,0)*ROUND(AO$7*10000,0)/12000000,0)/100,0)</f>
        <v>0</v>
      </c>
      <c r="AQ61" s="24">
        <f>IF(AQ60&gt;0,ROUND(AQ60+AP61-AO61,2),0)</f>
        <v>0</v>
      </c>
      <c r="AR61" s="24">
        <f>IF(AQ60&gt;0,ROUND(AR60+ROUND(ROUND(AR60*100,0)*ROUND(AO$7*10000,0)/12000000,0)/100+0.02,2),0)</f>
        <v>0</v>
      </c>
      <c r="AS61" s="24">
        <f>IF(AU60&gt;0,IF(AND(ROUND(AU60+AT61-ROUND(AS$6+IF(AS$5=$C61,$E$5+$E61,0),2),2)&gt;0,ROUND(AU60+AT61-ROUND(AS$6+IF(AS$5=$C61,$E$5+$E61,0),2),2)&lt;=AV61,ROUND(AU60+AT61-ROUND(AS$6+IF(AS$5=$C61,$E$5+$E61,0),2),2)*10&lt;=ROUND(AS$6+IF(AS$5=$C61,$E$5+$E61,0),2)),ROUND(AU60+AT61,2),MIN(ROUND(AS$6+IF(AS$5=$C61,$E$5+$E61,0),2),ROUND(AU60+AT61,2))),0)</f>
        <v>0</v>
      </c>
      <c r="AT61" s="24">
        <f>IF(AU60&gt;0,ROUND(ROUND(AU60*100,0)*ROUND(AS$7*10000,0)/12000000,0)/100,0)</f>
        <v>0</v>
      </c>
      <c r="AU61" s="24">
        <f>IF(AU60&gt;0,ROUND(AU60+AT61-AS61,2),0)</f>
        <v>0</v>
      </c>
      <c r="AV61" s="24">
        <f>IF(AU60&gt;0,ROUND(AV60+ROUND(ROUND(AV60*100,0)*ROUND(AS$7*10000,0)/12000000,0)/100+0.02,2),0)</f>
        <v>0</v>
      </c>
    </row>
    <row r="62" spans="1:48" x14ac:dyDescent="0.25">
      <c r="A62" s="17" t="str">
        <f>IF(F62&gt;0,52,"")</f>
        <v/>
      </c>
      <c r="B62" s="18" t="str">
        <f>IF(F62&gt;0,EDATE($E$6,52),"")</f>
        <v/>
      </c>
      <c r="C62" s="21">
        <f>IF(H61&gt;0,MIN(IF(K61&gt;0,I$5,99),IF(O61&gt;0,M$5,99),IF(S61&gt;0,Q$5,99),IF(W61&gt;0,U$5,99),IF(AA61&gt;0,Y$5,99),IF(AE61&gt;0,AC$5,99),IF(AI61&gt;0,AG$5,99),IF(AM61&gt;0,AK$5,99),IF(AQ61&gt;0,AO$5,99),IF(AU61&gt;0,AS$5,99)),0)</f>
        <v>0</v>
      </c>
      <c r="D62" t="str">
        <f>IF(C62&gt;0,INDEX($I$4:$AV$4,1,MATCH(C62,$I$5:$AV$5,0)),"")</f>
        <v/>
      </c>
      <c r="E62" s="24">
        <f>ROUND(IF(AND(I$8&gt;0,K61=0),I$6,0)+IF(AND(M$8&gt;0,O61=0),M$6,0)+IF(AND(Q$8&gt;0,S61=0),Q$6,0)+IF(AND(U$8&gt;0,W61=0),U$6,0)+IF(AND(Y$8&gt;0,AA61=0),Y$6,0)+IF(AND(AC$8&gt;0,AE61=0),AC$6,0)+IF(AND(AG$8&gt;0,AI61=0),AG$6,0)+IF(AND(AK$8&gt;0,AM61=0),AK$6,0)+IF(AND(AO$8&gt;0,AQ61=0),AO$6,0)+IF(AND(AS$8&gt;0,AU61=0),AS$6,0),2)</f>
        <v>325</v>
      </c>
      <c r="F62" s="24">
        <f>ROUND(I62+M62+Q62+U62+Y62+AC62+AG62+AK62+AO62+AS62,2)</f>
        <v>0</v>
      </c>
      <c r="G62" s="24">
        <f>ROUND(J62+N62+R62+V62+Z62+AD62+AH62+AL62+AP62+AT62,2)</f>
        <v>0</v>
      </c>
      <c r="H62" s="24">
        <f>ROUND(K62+O62+S62+W62+AA62+AE62+AI62+AM62+AQ62+AU62,2)</f>
        <v>0</v>
      </c>
      <c r="I62" s="24">
        <f>IF(K61&gt;0,IF(AND(ROUND(K61+J62-ROUND(I$6+IF(I$5=$C62,$E$5+$E62,0),2),2)&gt;0,ROUND(K61+J62-ROUND(I$6+IF(I$5=$C62,$E$5+$E62,0),2),2)&lt;=L62,ROUND(K61+J62-ROUND(I$6+IF(I$5=$C62,$E$5+$E62,0),2),2)*10&lt;=ROUND(I$6+IF(I$5=$C62,$E$5+$E62,0),2)),ROUND(K61+J62,2),MIN(ROUND(I$6+IF(I$5=$C62,$E$5+$E62,0),2),ROUND(K61+J62,2))),0)</f>
        <v>0</v>
      </c>
      <c r="J62" s="24">
        <f>IF(K61&gt;0,ROUND(ROUND(K61*100,0)*ROUND(I$7*10000,0)/12000000,0)/100,0)</f>
        <v>0</v>
      </c>
      <c r="K62" s="24">
        <f>IF(K61&gt;0,ROUND(K61+J62-I62,2),0)</f>
        <v>0</v>
      </c>
      <c r="L62" s="24">
        <f>IF(K61&gt;0,ROUND(L61+ROUND(ROUND(L61*100,0)*ROUND(I$7*10000,0)/12000000,0)/100+0.02,2),0)</f>
        <v>0</v>
      </c>
      <c r="M62" s="24">
        <f>IF(O61&gt;0,IF(AND(ROUND(O61+N62-ROUND(M$6+IF(M$5=$C62,$E$5+$E62,0),2),2)&gt;0,ROUND(O61+N62-ROUND(M$6+IF(M$5=$C62,$E$5+$E62,0),2),2)&lt;=P62,ROUND(O61+N62-ROUND(M$6+IF(M$5=$C62,$E$5+$E62,0),2),2)*10&lt;=ROUND(M$6+IF(M$5=$C62,$E$5+$E62,0),2)),ROUND(O61+N62,2),MIN(ROUND(M$6+IF(M$5=$C62,$E$5+$E62,0),2),ROUND(O61+N62,2))),0)</f>
        <v>0</v>
      </c>
      <c r="N62" s="24">
        <f>IF(O61&gt;0,ROUND(ROUND(O61*100,0)*ROUND(M$7*10000,0)/12000000,0)/100,0)</f>
        <v>0</v>
      </c>
      <c r="O62" s="24">
        <f>IF(O61&gt;0,ROUND(O61+N62-M62,2),0)</f>
        <v>0</v>
      </c>
      <c r="P62" s="24">
        <f>IF(O61&gt;0,ROUND(P61+ROUND(ROUND(P61*100,0)*ROUND(M$7*10000,0)/12000000,0)/100+0.02,2),0)</f>
        <v>0</v>
      </c>
      <c r="Q62" s="24">
        <f>IF(S61&gt;0,IF(AND(ROUND(S61+R62-ROUND(Q$6+IF(Q$5=$C62,$E$5+$E62,0),2),2)&gt;0,ROUND(S61+R62-ROUND(Q$6+IF(Q$5=$C62,$E$5+$E62,0),2),2)&lt;=T62,ROUND(S61+R62-ROUND(Q$6+IF(Q$5=$C62,$E$5+$E62,0),2),2)*10&lt;=ROUND(Q$6+IF(Q$5=$C62,$E$5+$E62,0),2)),ROUND(S61+R62,2),MIN(ROUND(Q$6+IF(Q$5=$C62,$E$5+$E62,0),2),ROUND(S61+R62,2))),0)</f>
        <v>0</v>
      </c>
      <c r="R62" s="24">
        <f>IF(S61&gt;0,ROUND(ROUND(S61*100,0)*ROUND(Q$7*10000,0)/12000000,0)/100,0)</f>
        <v>0</v>
      </c>
      <c r="S62" s="24">
        <f>IF(S61&gt;0,ROUND(S61+R62-Q62,2),0)</f>
        <v>0</v>
      </c>
      <c r="T62" s="24">
        <f>IF(S61&gt;0,ROUND(T61+ROUND(ROUND(T61*100,0)*ROUND(Q$7*10000,0)/12000000,0)/100+0.02,2),0)</f>
        <v>0</v>
      </c>
      <c r="U62" s="24">
        <f>IF(W61&gt;0,IF(AND(ROUND(W61+V62-ROUND(U$6+IF(U$5=$C62,$E$5+$E62,0),2),2)&gt;0,ROUND(W61+V62-ROUND(U$6+IF(U$5=$C62,$E$5+$E62,0),2),2)&lt;=X62,ROUND(W61+V62-ROUND(U$6+IF(U$5=$C62,$E$5+$E62,0),2),2)*10&lt;=ROUND(U$6+IF(U$5=$C62,$E$5+$E62,0),2)),ROUND(W61+V62,2),MIN(ROUND(U$6+IF(U$5=$C62,$E$5+$E62,0),2),ROUND(W61+V62,2))),0)</f>
        <v>0</v>
      </c>
      <c r="V62" s="24">
        <f>IF(W61&gt;0,ROUND(ROUND(W61*100,0)*ROUND(U$7*10000,0)/12000000,0)/100,0)</f>
        <v>0</v>
      </c>
      <c r="W62" s="24">
        <f>IF(W61&gt;0,ROUND(W61+V62-U62,2),0)</f>
        <v>0</v>
      </c>
      <c r="X62" s="24">
        <f>IF(W61&gt;0,ROUND(X61+ROUND(ROUND(X61*100,0)*ROUND(U$7*10000,0)/12000000,0)/100+0.02,2),0)</f>
        <v>0</v>
      </c>
      <c r="Y62" s="24">
        <f>IF(AA61&gt;0,IF(AND(ROUND(AA61+Z62-ROUND(Y$6+IF(Y$5=$C62,$E$5+$E62,0),2),2)&gt;0,ROUND(AA61+Z62-ROUND(Y$6+IF(Y$5=$C62,$E$5+$E62,0),2),2)&lt;=AB62,ROUND(AA61+Z62-ROUND(Y$6+IF(Y$5=$C62,$E$5+$E62,0),2),2)*10&lt;=ROUND(Y$6+IF(Y$5=$C62,$E$5+$E62,0),2)),ROUND(AA61+Z62,2),MIN(ROUND(Y$6+IF(Y$5=$C62,$E$5+$E62,0),2),ROUND(AA61+Z62,2))),0)</f>
        <v>0</v>
      </c>
      <c r="Z62" s="24">
        <f>IF(AA61&gt;0,ROUND(ROUND(AA61*100,0)*ROUND(Y$7*10000,0)/12000000,0)/100,0)</f>
        <v>0</v>
      </c>
      <c r="AA62" s="24">
        <f>IF(AA61&gt;0,ROUND(AA61+Z62-Y62,2),0)</f>
        <v>0</v>
      </c>
      <c r="AB62" s="24">
        <f>IF(AA61&gt;0,ROUND(AB61+ROUND(ROUND(AB61*100,0)*ROUND(Y$7*10000,0)/12000000,0)/100+0.02,2),0)</f>
        <v>0</v>
      </c>
      <c r="AC62" s="24">
        <f>IF(AE61&gt;0,IF(AND(ROUND(AE61+AD62-ROUND(AC$6+IF(AC$5=$C62,$E$5+$E62,0),2),2)&gt;0,ROUND(AE61+AD62-ROUND(AC$6+IF(AC$5=$C62,$E$5+$E62,0),2),2)&lt;=AF62,ROUND(AE61+AD62-ROUND(AC$6+IF(AC$5=$C62,$E$5+$E62,0),2),2)*10&lt;=ROUND(AC$6+IF(AC$5=$C62,$E$5+$E62,0),2)),ROUND(AE61+AD62,2),MIN(ROUND(AC$6+IF(AC$5=$C62,$E$5+$E62,0),2),ROUND(AE61+AD62,2))),0)</f>
        <v>0</v>
      </c>
      <c r="AD62" s="24">
        <f>IF(AE61&gt;0,ROUND(ROUND(AE61*100,0)*ROUND(AC$7*10000,0)/12000000,0)/100,0)</f>
        <v>0</v>
      </c>
      <c r="AE62" s="24">
        <f>IF(AE61&gt;0,ROUND(AE61+AD62-AC62,2),0)</f>
        <v>0</v>
      </c>
      <c r="AF62" s="24">
        <f>IF(AE61&gt;0,ROUND(AF61+ROUND(ROUND(AF61*100,0)*ROUND(AC$7*10000,0)/12000000,0)/100+0.02,2),0)</f>
        <v>0</v>
      </c>
      <c r="AG62" s="24">
        <f>IF(AI61&gt;0,IF(AND(ROUND(AI61+AH62-ROUND(AG$6+IF(AG$5=$C62,$E$5+$E62,0),2),2)&gt;0,ROUND(AI61+AH62-ROUND(AG$6+IF(AG$5=$C62,$E$5+$E62,0),2),2)&lt;=AJ62,ROUND(AI61+AH62-ROUND(AG$6+IF(AG$5=$C62,$E$5+$E62,0),2),2)*10&lt;=ROUND(AG$6+IF(AG$5=$C62,$E$5+$E62,0),2)),ROUND(AI61+AH62,2),MIN(ROUND(AG$6+IF(AG$5=$C62,$E$5+$E62,0),2),ROUND(AI61+AH62,2))),0)</f>
        <v>0</v>
      </c>
      <c r="AH62" s="24">
        <f>IF(AI61&gt;0,ROUND(ROUND(AI61*100,0)*ROUND(AG$7*10000,0)/12000000,0)/100,0)</f>
        <v>0</v>
      </c>
      <c r="AI62" s="24">
        <f>IF(AI61&gt;0,ROUND(AI61+AH62-AG62,2),0)</f>
        <v>0</v>
      </c>
      <c r="AJ62" s="24">
        <f>IF(AI61&gt;0,ROUND(AJ61+ROUND(ROUND(AJ61*100,0)*ROUND(AG$7*10000,0)/12000000,0)/100+0.02,2),0)</f>
        <v>0</v>
      </c>
      <c r="AK62" s="24">
        <f>IF(AM61&gt;0,IF(AND(ROUND(AM61+AL62-ROUND(AK$6+IF(AK$5=$C62,$E$5+$E62,0),2),2)&gt;0,ROUND(AM61+AL62-ROUND(AK$6+IF(AK$5=$C62,$E$5+$E62,0),2),2)&lt;=AN62,ROUND(AM61+AL62-ROUND(AK$6+IF(AK$5=$C62,$E$5+$E62,0),2),2)*10&lt;=ROUND(AK$6+IF(AK$5=$C62,$E$5+$E62,0),2)),ROUND(AM61+AL62,2),MIN(ROUND(AK$6+IF(AK$5=$C62,$E$5+$E62,0),2),ROUND(AM61+AL62,2))),0)</f>
        <v>0</v>
      </c>
      <c r="AL62" s="24">
        <f>IF(AM61&gt;0,ROUND(ROUND(AM61*100,0)*ROUND(AK$7*10000,0)/12000000,0)/100,0)</f>
        <v>0</v>
      </c>
      <c r="AM62" s="24">
        <f>IF(AM61&gt;0,ROUND(AM61+AL62-AK62,2),0)</f>
        <v>0</v>
      </c>
      <c r="AN62" s="24">
        <f>IF(AM61&gt;0,ROUND(AN61+ROUND(ROUND(AN61*100,0)*ROUND(AK$7*10000,0)/12000000,0)/100+0.02,2),0)</f>
        <v>0</v>
      </c>
      <c r="AO62" s="24">
        <f>IF(AQ61&gt;0,IF(AND(ROUND(AQ61+AP62-ROUND(AO$6+IF(AO$5=$C62,$E$5+$E62,0),2),2)&gt;0,ROUND(AQ61+AP62-ROUND(AO$6+IF(AO$5=$C62,$E$5+$E62,0),2),2)&lt;=AR62,ROUND(AQ61+AP62-ROUND(AO$6+IF(AO$5=$C62,$E$5+$E62,0),2),2)*10&lt;=ROUND(AO$6+IF(AO$5=$C62,$E$5+$E62,0),2)),ROUND(AQ61+AP62,2),MIN(ROUND(AO$6+IF(AO$5=$C62,$E$5+$E62,0),2),ROUND(AQ61+AP62,2))),0)</f>
        <v>0</v>
      </c>
      <c r="AP62" s="24">
        <f>IF(AQ61&gt;0,ROUND(ROUND(AQ61*100,0)*ROUND(AO$7*10000,0)/12000000,0)/100,0)</f>
        <v>0</v>
      </c>
      <c r="AQ62" s="24">
        <f>IF(AQ61&gt;0,ROUND(AQ61+AP62-AO62,2),0)</f>
        <v>0</v>
      </c>
      <c r="AR62" s="24">
        <f>IF(AQ61&gt;0,ROUND(AR61+ROUND(ROUND(AR61*100,0)*ROUND(AO$7*10000,0)/12000000,0)/100+0.02,2),0)</f>
        <v>0</v>
      </c>
      <c r="AS62" s="24">
        <f>IF(AU61&gt;0,IF(AND(ROUND(AU61+AT62-ROUND(AS$6+IF(AS$5=$C62,$E$5+$E62,0),2),2)&gt;0,ROUND(AU61+AT62-ROUND(AS$6+IF(AS$5=$C62,$E$5+$E62,0),2),2)&lt;=AV62,ROUND(AU61+AT62-ROUND(AS$6+IF(AS$5=$C62,$E$5+$E62,0),2),2)*10&lt;=ROUND(AS$6+IF(AS$5=$C62,$E$5+$E62,0),2)),ROUND(AU61+AT62,2),MIN(ROUND(AS$6+IF(AS$5=$C62,$E$5+$E62,0),2),ROUND(AU61+AT62,2))),0)</f>
        <v>0</v>
      </c>
      <c r="AT62" s="24">
        <f>IF(AU61&gt;0,ROUND(ROUND(AU61*100,0)*ROUND(AS$7*10000,0)/12000000,0)/100,0)</f>
        <v>0</v>
      </c>
      <c r="AU62" s="24">
        <f>IF(AU61&gt;0,ROUND(AU61+AT62-AS62,2),0)</f>
        <v>0</v>
      </c>
      <c r="AV62" s="24">
        <f>IF(AU61&gt;0,ROUND(AV61+ROUND(ROUND(AV61*100,0)*ROUND(AS$7*10000,0)/12000000,0)/100+0.02,2),0)</f>
        <v>0</v>
      </c>
    </row>
    <row r="63" spans="1:48" x14ac:dyDescent="0.25">
      <c r="A63" s="17" t="str">
        <f>IF(F63&gt;0,53,"")</f>
        <v/>
      </c>
      <c r="B63" s="18" t="str">
        <f>IF(F63&gt;0,EDATE($E$6,53),"")</f>
        <v/>
      </c>
      <c r="C63" s="21">
        <f>IF(H62&gt;0,MIN(IF(K62&gt;0,I$5,99),IF(O62&gt;0,M$5,99),IF(S62&gt;0,Q$5,99),IF(W62&gt;0,U$5,99),IF(AA62&gt;0,Y$5,99),IF(AE62&gt;0,AC$5,99),IF(AI62&gt;0,AG$5,99),IF(AM62&gt;0,AK$5,99),IF(AQ62&gt;0,AO$5,99),IF(AU62&gt;0,AS$5,99)),0)</f>
        <v>0</v>
      </c>
      <c r="D63" t="str">
        <f>IF(C63&gt;0,INDEX($I$4:$AV$4,1,MATCH(C63,$I$5:$AV$5,0)),"")</f>
        <v/>
      </c>
      <c r="E63" s="24">
        <f>ROUND(IF(AND(I$8&gt;0,K62=0),I$6,0)+IF(AND(M$8&gt;0,O62=0),M$6,0)+IF(AND(Q$8&gt;0,S62=0),Q$6,0)+IF(AND(U$8&gt;0,W62=0),U$6,0)+IF(AND(Y$8&gt;0,AA62=0),Y$6,0)+IF(AND(AC$8&gt;0,AE62=0),AC$6,0)+IF(AND(AG$8&gt;0,AI62=0),AG$6,0)+IF(AND(AK$8&gt;0,AM62=0),AK$6,0)+IF(AND(AO$8&gt;0,AQ62=0),AO$6,0)+IF(AND(AS$8&gt;0,AU62=0),AS$6,0),2)</f>
        <v>325</v>
      </c>
      <c r="F63" s="24">
        <f>ROUND(I63+M63+Q63+U63+Y63+AC63+AG63+AK63+AO63+AS63,2)</f>
        <v>0</v>
      </c>
      <c r="G63" s="24">
        <f>ROUND(J63+N63+R63+V63+Z63+AD63+AH63+AL63+AP63+AT63,2)</f>
        <v>0</v>
      </c>
      <c r="H63" s="24">
        <f>ROUND(K63+O63+S63+W63+AA63+AE63+AI63+AM63+AQ63+AU63,2)</f>
        <v>0</v>
      </c>
      <c r="I63" s="24">
        <f>IF(K62&gt;0,IF(AND(ROUND(K62+J63-ROUND(I$6+IF(I$5=$C63,$E$5+$E63,0),2),2)&gt;0,ROUND(K62+J63-ROUND(I$6+IF(I$5=$C63,$E$5+$E63,0),2),2)&lt;=L63,ROUND(K62+J63-ROUND(I$6+IF(I$5=$C63,$E$5+$E63,0),2),2)*10&lt;=ROUND(I$6+IF(I$5=$C63,$E$5+$E63,0),2)),ROUND(K62+J63,2),MIN(ROUND(I$6+IF(I$5=$C63,$E$5+$E63,0),2),ROUND(K62+J63,2))),0)</f>
        <v>0</v>
      </c>
      <c r="J63" s="24">
        <f>IF(K62&gt;0,ROUND(ROUND(K62*100,0)*ROUND(I$7*10000,0)/12000000,0)/100,0)</f>
        <v>0</v>
      </c>
      <c r="K63" s="24">
        <f>IF(K62&gt;0,ROUND(K62+J63-I63,2),0)</f>
        <v>0</v>
      </c>
      <c r="L63" s="24">
        <f>IF(K62&gt;0,ROUND(L62+ROUND(ROUND(L62*100,0)*ROUND(I$7*10000,0)/12000000,0)/100+0.02,2),0)</f>
        <v>0</v>
      </c>
      <c r="M63" s="24">
        <f>IF(O62&gt;0,IF(AND(ROUND(O62+N63-ROUND(M$6+IF(M$5=$C63,$E$5+$E63,0),2),2)&gt;0,ROUND(O62+N63-ROUND(M$6+IF(M$5=$C63,$E$5+$E63,0),2),2)&lt;=P63,ROUND(O62+N63-ROUND(M$6+IF(M$5=$C63,$E$5+$E63,0),2),2)*10&lt;=ROUND(M$6+IF(M$5=$C63,$E$5+$E63,0),2)),ROUND(O62+N63,2),MIN(ROUND(M$6+IF(M$5=$C63,$E$5+$E63,0),2),ROUND(O62+N63,2))),0)</f>
        <v>0</v>
      </c>
      <c r="N63" s="24">
        <f>IF(O62&gt;0,ROUND(ROUND(O62*100,0)*ROUND(M$7*10000,0)/12000000,0)/100,0)</f>
        <v>0</v>
      </c>
      <c r="O63" s="24">
        <f>IF(O62&gt;0,ROUND(O62+N63-M63,2),0)</f>
        <v>0</v>
      </c>
      <c r="P63" s="24">
        <f>IF(O62&gt;0,ROUND(P62+ROUND(ROUND(P62*100,0)*ROUND(M$7*10000,0)/12000000,0)/100+0.02,2),0)</f>
        <v>0</v>
      </c>
      <c r="Q63" s="24">
        <f>IF(S62&gt;0,IF(AND(ROUND(S62+R63-ROUND(Q$6+IF(Q$5=$C63,$E$5+$E63,0),2),2)&gt;0,ROUND(S62+R63-ROUND(Q$6+IF(Q$5=$C63,$E$5+$E63,0),2),2)&lt;=T63,ROUND(S62+R63-ROUND(Q$6+IF(Q$5=$C63,$E$5+$E63,0),2),2)*10&lt;=ROUND(Q$6+IF(Q$5=$C63,$E$5+$E63,0),2)),ROUND(S62+R63,2),MIN(ROUND(Q$6+IF(Q$5=$C63,$E$5+$E63,0),2),ROUND(S62+R63,2))),0)</f>
        <v>0</v>
      </c>
      <c r="R63" s="24">
        <f>IF(S62&gt;0,ROUND(ROUND(S62*100,0)*ROUND(Q$7*10000,0)/12000000,0)/100,0)</f>
        <v>0</v>
      </c>
      <c r="S63" s="24">
        <f>IF(S62&gt;0,ROUND(S62+R63-Q63,2),0)</f>
        <v>0</v>
      </c>
      <c r="T63" s="24">
        <f>IF(S62&gt;0,ROUND(T62+ROUND(ROUND(T62*100,0)*ROUND(Q$7*10000,0)/12000000,0)/100+0.02,2),0)</f>
        <v>0</v>
      </c>
      <c r="U63" s="24">
        <f>IF(W62&gt;0,IF(AND(ROUND(W62+V63-ROUND(U$6+IF(U$5=$C63,$E$5+$E63,0),2),2)&gt;0,ROUND(W62+V63-ROUND(U$6+IF(U$5=$C63,$E$5+$E63,0),2),2)&lt;=X63,ROUND(W62+V63-ROUND(U$6+IF(U$5=$C63,$E$5+$E63,0),2),2)*10&lt;=ROUND(U$6+IF(U$5=$C63,$E$5+$E63,0),2)),ROUND(W62+V63,2),MIN(ROUND(U$6+IF(U$5=$C63,$E$5+$E63,0),2),ROUND(W62+V63,2))),0)</f>
        <v>0</v>
      </c>
      <c r="V63" s="24">
        <f>IF(W62&gt;0,ROUND(ROUND(W62*100,0)*ROUND(U$7*10000,0)/12000000,0)/100,0)</f>
        <v>0</v>
      </c>
      <c r="W63" s="24">
        <f>IF(W62&gt;0,ROUND(W62+V63-U63,2),0)</f>
        <v>0</v>
      </c>
      <c r="X63" s="24">
        <f>IF(W62&gt;0,ROUND(X62+ROUND(ROUND(X62*100,0)*ROUND(U$7*10000,0)/12000000,0)/100+0.02,2),0)</f>
        <v>0</v>
      </c>
      <c r="Y63" s="24">
        <f>IF(AA62&gt;0,IF(AND(ROUND(AA62+Z63-ROUND(Y$6+IF(Y$5=$C63,$E$5+$E63,0),2),2)&gt;0,ROUND(AA62+Z63-ROUND(Y$6+IF(Y$5=$C63,$E$5+$E63,0),2),2)&lt;=AB63,ROUND(AA62+Z63-ROUND(Y$6+IF(Y$5=$C63,$E$5+$E63,0),2),2)*10&lt;=ROUND(Y$6+IF(Y$5=$C63,$E$5+$E63,0),2)),ROUND(AA62+Z63,2),MIN(ROUND(Y$6+IF(Y$5=$C63,$E$5+$E63,0),2),ROUND(AA62+Z63,2))),0)</f>
        <v>0</v>
      </c>
      <c r="Z63" s="24">
        <f>IF(AA62&gt;0,ROUND(ROUND(AA62*100,0)*ROUND(Y$7*10000,0)/12000000,0)/100,0)</f>
        <v>0</v>
      </c>
      <c r="AA63" s="24">
        <f>IF(AA62&gt;0,ROUND(AA62+Z63-Y63,2),0)</f>
        <v>0</v>
      </c>
      <c r="AB63" s="24">
        <f>IF(AA62&gt;0,ROUND(AB62+ROUND(ROUND(AB62*100,0)*ROUND(Y$7*10000,0)/12000000,0)/100+0.02,2),0)</f>
        <v>0</v>
      </c>
      <c r="AC63" s="24">
        <f>IF(AE62&gt;0,IF(AND(ROUND(AE62+AD63-ROUND(AC$6+IF(AC$5=$C63,$E$5+$E63,0),2),2)&gt;0,ROUND(AE62+AD63-ROUND(AC$6+IF(AC$5=$C63,$E$5+$E63,0),2),2)&lt;=AF63,ROUND(AE62+AD63-ROUND(AC$6+IF(AC$5=$C63,$E$5+$E63,0),2),2)*10&lt;=ROUND(AC$6+IF(AC$5=$C63,$E$5+$E63,0),2)),ROUND(AE62+AD63,2),MIN(ROUND(AC$6+IF(AC$5=$C63,$E$5+$E63,0),2),ROUND(AE62+AD63,2))),0)</f>
        <v>0</v>
      </c>
      <c r="AD63" s="24">
        <f>IF(AE62&gt;0,ROUND(ROUND(AE62*100,0)*ROUND(AC$7*10000,0)/12000000,0)/100,0)</f>
        <v>0</v>
      </c>
      <c r="AE63" s="24">
        <f>IF(AE62&gt;0,ROUND(AE62+AD63-AC63,2),0)</f>
        <v>0</v>
      </c>
      <c r="AF63" s="24">
        <f>IF(AE62&gt;0,ROUND(AF62+ROUND(ROUND(AF62*100,0)*ROUND(AC$7*10000,0)/12000000,0)/100+0.02,2),0)</f>
        <v>0</v>
      </c>
      <c r="AG63" s="24">
        <f>IF(AI62&gt;0,IF(AND(ROUND(AI62+AH63-ROUND(AG$6+IF(AG$5=$C63,$E$5+$E63,0),2),2)&gt;0,ROUND(AI62+AH63-ROUND(AG$6+IF(AG$5=$C63,$E$5+$E63,0),2),2)&lt;=AJ63,ROUND(AI62+AH63-ROUND(AG$6+IF(AG$5=$C63,$E$5+$E63,0),2),2)*10&lt;=ROUND(AG$6+IF(AG$5=$C63,$E$5+$E63,0),2)),ROUND(AI62+AH63,2),MIN(ROUND(AG$6+IF(AG$5=$C63,$E$5+$E63,0),2),ROUND(AI62+AH63,2))),0)</f>
        <v>0</v>
      </c>
      <c r="AH63" s="24">
        <f>IF(AI62&gt;0,ROUND(ROUND(AI62*100,0)*ROUND(AG$7*10000,0)/12000000,0)/100,0)</f>
        <v>0</v>
      </c>
      <c r="AI63" s="24">
        <f>IF(AI62&gt;0,ROUND(AI62+AH63-AG63,2),0)</f>
        <v>0</v>
      </c>
      <c r="AJ63" s="24">
        <f>IF(AI62&gt;0,ROUND(AJ62+ROUND(ROUND(AJ62*100,0)*ROUND(AG$7*10000,0)/12000000,0)/100+0.02,2),0)</f>
        <v>0</v>
      </c>
      <c r="AK63" s="24">
        <f>IF(AM62&gt;0,IF(AND(ROUND(AM62+AL63-ROUND(AK$6+IF(AK$5=$C63,$E$5+$E63,0),2),2)&gt;0,ROUND(AM62+AL63-ROUND(AK$6+IF(AK$5=$C63,$E$5+$E63,0),2),2)&lt;=AN63,ROUND(AM62+AL63-ROUND(AK$6+IF(AK$5=$C63,$E$5+$E63,0),2),2)*10&lt;=ROUND(AK$6+IF(AK$5=$C63,$E$5+$E63,0),2)),ROUND(AM62+AL63,2),MIN(ROUND(AK$6+IF(AK$5=$C63,$E$5+$E63,0),2),ROUND(AM62+AL63,2))),0)</f>
        <v>0</v>
      </c>
      <c r="AL63" s="24">
        <f>IF(AM62&gt;0,ROUND(ROUND(AM62*100,0)*ROUND(AK$7*10000,0)/12000000,0)/100,0)</f>
        <v>0</v>
      </c>
      <c r="AM63" s="24">
        <f>IF(AM62&gt;0,ROUND(AM62+AL63-AK63,2),0)</f>
        <v>0</v>
      </c>
      <c r="AN63" s="24">
        <f>IF(AM62&gt;0,ROUND(AN62+ROUND(ROUND(AN62*100,0)*ROUND(AK$7*10000,0)/12000000,0)/100+0.02,2),0)</f>
        <v>0</v>
      </c>
      <c r="AO63" s="24">
        <f>IF(AQ62&gt;0,IF(AND(ROUND(AQ62+AP63-ROUND(AO$6+IF(AO$5=$C63,$E$5+$E63,0),2),2)&gt;0,ROUND(AQ62+AP63-ROUND(AO$6+IF(AO$5=$C63,$E$5+$E63,0),2),2)&lt;=AR63,ROUND(AQ62+AP63-ROUND(AO$6+IF(AO$5=$C63,$E$5+$E63,0),2),2)*10&lt;=ROUND(AO$6+IF(AO$5=$C63,$E$5+$E63,0),2)),ROUND(AQ62+AP63,2),MIN(ROUND(AO$6+IF(AO$5=$C63,$E$5+$E63,0),2),ROUND(AQ62+AP63,2))),0)</f>
        <v>0</v>
      </c>
      <c r="AP63" s="24">
        <f>IF(AQ62&gt;0,ROUND(ROUND(AQ62*100,0)*ROUND(AO$7*10000,0)/12000000,0)/100,0)</f>
        <v>0</v>
      </c>
      <c r="AQ63" s="24">
        <f>IF(AQ62&gt;0,ROUND(AQ62+AP63-AO63,2),0)</f>
        <v>0</v>
      </c>
      <c r="AR63" s="24">
        <f>IF(AQ62&gt;0,ROUND(AR62+ROUND(ROUND(AR62*100,0)*ROUND(AO$7*10000,0)/12000000,0)/100+0.02,2),0)</f>
        <v>0</v>
      </c>
      <c r="AS63" s="24">
        <f>IF(AU62&gt;0,IF(AND(ROUND(AU62+AT63-ROUND(AS$6+IF(AS$5=$C63,$E$5+$E63,0),2),2)&gt;0,ROUND(AU62+AT63-ROUND(AS$6+IF(AS$5=$C63,$E$5+$E63,0),2),2)&lt;=AV63,ROUND(AU62+AT63-ROUND(AS$6+IF(AS$5=$C63,$E$5+$E63,0),2),2)*10&lt;=ROUND(AS$6+IF(AS$5=$C63,$E$5+$E63,0),2)),ROUND(AU62+AT63,2),MIN(ROUND(AS$6+IF(AS$5=$C63,$E$5+$E63,0),2),ROUND(AU62+AT63,2))),0)</f>
        <v>0</v>
      </c>
      <c r="AT63" s="24">
        <f>IF(AU62&gt;0,ROUND(ROUND(AU62*100,0)*ROUND(AS$7*10000,0)/12000000,0)/100,0)</f>
        <v>0</v>
      </c>
      <c r="AU63" s="24">
        <f>IF(AU62&gt;0,ROUND(AU62+AT63-AS63,2),0)</f>
        <v>0</v>
      </c>
      <c r="AV63" s="24">
        <f>IF(AU62&gt;0,ROUND(AV62+ROUND(ROUND(AV62*100,0)*ROUND(AS$7*10000,0)/12000000,0)/100+0.02,2),0)</f>
        <v>0</v>
      </c>
    </row>
    <row r="64" spans="1:48" x14ac:dyDescent="0.25">
      <c r="A64" s="17" t="str">
        <f>IF(F64&gt;0,54,"")</f>
        <v/>
      </c>
      <c r="B64" s="18" t="str">
        <f>IF(F64&gt;0,EDATE($E$6,54),"")</f>
        <v/>
      </c>
      <c r="C64" s="21">
        <f>IF(H63&gt;0,MIN(IF(K63&gt;0,I$5,99),IF(O63&gt;0,M$5,99),IF(S63&gt;0,Q$5,99),IF(W63&gt;0,U$5,99),IF(AA63&gt;0,Y$5,99),IF(AE63&gt;0,AC$5,99),IF(AI63&gt;0,AG$5,99),IF(AM63&gt;0,AK$5,99),IF(AQ63&gt;0,AO$5,99),IF(AU63&gt;0,AS$5,99)),0)</f>
        <v>0</v>
      </c>
      <c r="D64" t="str">
        <f>IF(C64&gt;0,INDEX($I$4:$AV$4,1,MATCH(C64,$I$5:$AV$5,0)),"")</f>
        <v/>
      </c>
      <c r="E64" s="24">
        <f>ROUND(IF(AND(I$8&gt;0,K63=0),I$6,0)+IF(AND(M$8&gt;0,O63=0),M$6,0)+IF(AND(Q$8&gt;0,S63=0),Q$6,0)+IF(AND(U$8&gt;0,W63=0),U$6,0)+IF(AND(Y$8&gt;0,AA63=0),Y$6,0)+IF(AND(AC$8&gt;0,AE63=0),AC$6,0)+IF(AND(AG$8&gt;0,AI63=0),AG$6,0)+IF(AND(AK$8&gt;0,AM63=0),AK$6,0)+IF(AND(AO$8&gt;0,AQ63=0),AO$6,0)+IF(AND(AS$8&gt;0,AU63=0),AS$6,0),2)</f>
        <v>325</v>
      </c>
      <c r="F64" s="24">
        <f>ROUND(I64+M64+Q64+U64+Y64+AC64+AG64+AK64+AO64+AS64,2)</f>
        <v>0</v>
      </c>
      <c r="G64" s="24">
        <f>ROUND(J64+N64+R64+V64+Z64+AD64+AH64+AL64+AP64+AT64,2)</f>
        <v>0</v>
      </c>
      <c r="H64" s="24">
        <f>ROUND(K64+O64+S64+W64+AA64+AE64+AI64+AM64+AQ64+AU64,2)</f>
        <v>0</v>
      </c>
      <c r="I64" s="24">
        <f>IF(K63&gt;0,IF(AND(ROUND(K63+J64-ROUND(I$6+IF(I$5=$C64,$E$5+$E64,0),2),2)&gt;0,ROUND(K63+J64-ROUND(I$6+IF(I$5=$C64,$E$5+$E64,0),2),2)&lt;=L64,ROUND(K63+J64-ROUND(I$6+IF(I$5=$C64,$E$5+$E64,0),2),2)*10&lt;=ROUND(I$6+IF(I$5=$C64,$E$5+$E64,0),2)),ROUND(K63+J64,2),MIN(ROUND(I$6+IF(I$5=$C64,$E$5+$E64,0),2),ROUND(K63+J64,2))),0)</f>
        <v>0</v>
      </c>
      <c r="J64" s="24">
        <f>IF(K63&gt;0,ROUND(ROUND(K63*100,0)*ROUND(I$7*10000,0)/12000000,0)/100,0)</f>
        <v>0</v>
      </c>
      <c r="K64" s="24">
        <f>IF(K63&gt;0,ROUND(K63+J64-I64,2),0)</f>
        <v>0</v>
      </c>
      <c r="L64" s="24">
        <f>IF(K63&gt;0,ROUND(L63+ROUND(ROUND(L63*100,0)*ROUND(I$7*10000,0)/12000000,0)/100+0.02,2),0)</f>
        <v>0</v>
      </c>
      <c r="M64" s="24">
        <f>IF(O63&gt;0,IF(AND(ROUND(O63+N64-ROUND(M$6+IF(M$5=$C64,$E$5+$E64,0),2),2)&gt;0,ROUND(O63+N64-ROUND(M$6+IF(M$5=$C64,$E$5+$E64,0),2),2)&lt;=P64,ROUND(O63+N64-ROUND(M$6+IF(M$5=$C64,$E$5+$E64,0),2),2)*10&lt;=ROUND(M$6+IF(M$5=$C64,$E$5+$E64,0),2)),ROUND(O63+N64,2),MIN(ROUND(M$6+IF(M$5=$C64,$E$5+$E64,0),2),ROUND(O63+N64,2))),0)</f>
        <v>0</v>
      </c>
      <c r="N64" s="24">
        <f>IF(O63&gt;0,ROUND(ROUND(O63*100,0)*ROUND(M$7*10000,0)/12000000,0)/100,0)</f>
        <v>0</v>
      </c>
      <c r="O64" s="24">
        <f>IF(O63&gt;0,ROUND(O63+N64-M64,2),0)</f>
        <v>0</v>
      </c>
      <c r="P64" s="24">
        <f>IF(O63&gt;0,ROUND(P63+ROUND(ROUND(P63*100,0)*ROUND(M$7*10000,0)/12000000,0)/100+0.02,2),0)</f>
        <v>0</v>
      </c>
      <c r="Q64" s="24">
        <f>IF(S63&gt;0,IF(AND(ROUND(S63+R64-ROUND(Q$6+IF(Q$5=$C64,$E$5+$E64,0),2),2)&gt;0,ROUND(S63+R64-ROUND(Q$6+IF(Q$5=$C64,$E$5+$E64,0),2),2)&lt;=T64,ROUND(S63+R64-ROUND(Q$6+IF(Q$5=$C64,$E$5+$E64,0),2),2)*10&lt;=ROUND(Q$6+IF(Q$5=$C64,$E$5+$E64,0),2)),ROUND(S63+R64,2),MIN(ROUND(Q$6+IF(Q$5=$C64,$E$5+$E64,0),2),ROUND(S63+R64,2))),0)</f>
        <v>0</v>
      </c>
      <c r="R64" s="24">
        <f>IF(S63&gt;0,ROUND(ROUND(S63*100,0)*ROUND(Q$7*10000,0)/12000000,0)/100,0)</f>
        <v>0</v>
      </c>
      <c r="S64" s="24">
        <f>IF(S63&gt;0,ROUND(S63+R64-Q64,2),0)</f>
        <v>0</v>
      </c>
      <c r="T64" s="24">
        <f>IF(S63&gt;0,ROUND(T63+ROUND(ROUND(T63*100,0)*ROUND(Q$7*10000,0)/12000000,0)/100+0.02,2),0)</f>
        <v>0</v>
      </c>
      <c r="U64" s="24">
        <f>IF(W63&gt;0,IF(AND(ROUND(W63+V64-ROUND(U$6+IF(U$5=$C64,$E$5+$E64,0),2),2)&gt;0,ROUND(W63+V64-ROUND(U$6+IF(U$5=$C64,$E$5+$E64,0),2),2)&lt;=X64,ROUND(W63+V64-ROUND(U$6+IF(U$5=$C64,$E$5+$E64,0),2),2)*10&lt;=ROUND(U$6+IF(U$5=$C64,$E$5+$E64,0),2)),ROUND(W63+V64,2),MIN(ROUND(U$6+IF(U$5=$C64,$E$5+$E64,0),2),ROUND(W63+V64,2))),0)</f>
        <v>0</v>
      </c>
      <c r="V64" s="24">
        <f>IF(W63&gt;0,ROUND(ROUND(W63*100,0)*ROUND(U$7*10000,0)/12000000,0)/100,0)</f>
        <v>0</v>
      </c>
      <c r="W64" s="24">
        <f>IF(W63&gt;0,ROUND(W63+V64-U64,2),0)</f>
        <v>0</v>
      </c>
      <c r="X64" s="24">
        <f>IF(W63&gt;0,ROUND(X63+ROUND(ROUND(X63*100,0)*ROUND(U$7*10000,0)/12000000,0)/100+0.02,2),0)</f>
        <v>0</v>
      </c>
      <c r="Y64" s="24">
        <f>IF(AA63&gt;0,IF(AND(ROUND(AA63+Z64-ROUND(Y$6+IF(Y$5=$C64,$E$5+$E64,0),2),2)&gt;0,ROUND(AA63+Z64-ROUND(Y$6+IF(Y$5=$C64,$E$5+$E64,0),2),2)&lt;=AB64,ROUND(AA63+Z64-ROUND(Y$6+IF(Y$5=$C64,$E$5+$E64,0),2),2)*10&lt;=ROUND(Y$6+IF(Y$5=$C64,$E$5+$E64,0),2)),ROUND(AA63+Z64,2),MIN(ROUND(Y$6+IF(Y$5=$C64,$E$5+$E64,0),2),ROUND(AA63+Z64,2))),0)</f>
        <v>0</v>
      </c>
      <c r="Z64" s="24">
        <f>IF(AA63&gt;0,ROUND(ROUND(AA63*100,0)*ROUND(Y$7*10000,0)/12000000,0)/100,0)</f>
        <v>0</v>
      </c>
      <c r="AA64" s="24">
        <f>IF(AA63&gt;0,ROUND(AA63+Z64-Y64,2),0)</f>
        <v>0</v>
      </c>
      <c r="AB64" s="24">
        <f>IF(AA63&gt;0,ROUND(AB63+ROUND(ROUND(AB63*100,0)*ROUND(Y$7*10000,0)/12000000,0)/100+0.02,2),0)</f>
        <v>0</v>
      </c>
      <c r="AC64" s="24">
        <f>IF(AE63&gt;0,IF(AND(ROUND(AE63+AD64-ROUND(AC$6+IF(AC$5=$C64,$E$5+$E64,0),2),2)&gt;0,ROUND(AE63+AD64-ROUND(AC$6+IF(AC$5=$C64,$E$5+$E64,0),2),2)&lt;=AF64,ROUND(AE63+AD64-ROUND(AC$6+IF(AC$5=$C64,$E$5+$E64,0),2),2)*10&lt;=ROUND(AC$6+IF(AC$5=$C64,$E$5+$E64,0),2)),ROUND(AE63+AD64,2),MIN(ROUND(AC$6+IF(AC$5=$C64,$E$5+$E64,0),2),ROUND(AE63+AD64,2))),0)</f>
        <v>0</v>
      </c>
      <c r="AD64" s="24">
        <f>IF(AE63&gt;0,ROUND(ROUND(AE63*100,0)*ROUND(AC$7*10000,0)/12000000,0)/100,0)</f>
        <v>0</v>
      </c>
      <c r="AE64" s="24">
        <f>IF(AE63&gt;0,ROUND(AE63+AD64-AC64,2),0)</f>
        <v>0</v>
      </c>
      <c r="AF64" s="24">
        <f>IF(AE63&gt;0,ROUND(AF63+ROUND(ROUND(AF63*100,0)*ROUND(AC$7*10000,0)/12000000,0)/100+0.02,2),0)</f>
        <v>0</v>
      </c>
      <c r="AG64" s="24">
        <f>IF(AI63&gt;0,IF(AND(ROUND(AI63+AH64-ROUND(AG$6+IF(AG$5=$C64,$E$5+$E64,0),2),2)&gt;0,ROUND(AI63+AH64-ROUND(AG$6+IF(AG$5=$C64,$E$5+$E64,0),2),2)&lt;=AJ64,ROUND(AI63+AH64-ROUND(AG$6+IF(AG$5=$C64,$E$5+$E64,0),2),2)*10&lt;=ROUND(AG$6+IF(AG$5=$C64,$E$5+$E64,0),2)),ROUND(AI63+AH64,2),MIN(ROUND(AG$6+IF(AG$5=$C64,$E$5+$E64,0),2),ROUND(AI63+AH64,2))),0)</f>
        <v>0</v>
      </c>
      <c r="AH64" s="24">
        <f>IF(AI63&gt;0,ROUND(ROUND(AI63*100,0)*ROUND(AG$7*10000,0)/12000000,0)/100,0)</f>
        <v>0</v>
      </c>
      <c r="AI64" s="24">
        <f>IF(AI63&gt;0,ROUND(AI63+AH64-AG64,2),0)</f>
        <v>0</v>
      </c>
      <c r="AJ64" s="24">
        <f>IF(AI63&gt;0,ROUND(AJ63+ROUND(ROUND(AJ63*100,0)*ROUND(AG$7*10000,0)/12000000,0)/100+0.02,2),0)</f>
        <v>0</v>
      </c>
      <c r="AK64" s="24">
        <f>IF(AM63&gt;0,IF(AND(ROUND(AM63+AL64-ROUND(AK$6+IF(AK$5=$C64,$E$5+$E64,0),2),2)&gt;0,ROUND(AM63+AL64-ROUND(AK$6+IF(AK$5=$C64,$E$5+$E64,0),2),2)&lt;=AN64,ROUND(AM63+AL64-ROUND(AK$6+IF(AK$5=$C64,$E$5+$E64,0),2),2)*10&lt;=ROUND(AK$6+IF(AK$5=$C64,$E$5+$E64,0),2)),ROUND(AM63+AL64,2),MIN(ROUND(AK$6+IF(AK$5=$C64,$E$5+$E64,0),2),ROUND(AM63+AL64,2))),0)</f>
        <v>0</v>
      </c>
      <c r="AL64" s="24">
        <f>IF(AM63&gt;0,ROUND(ROUND(AM63*100,0)*ROUND(AK$7*10000,0)/12000000,0)/100,0)</f>
        <v>0</v>
      </c>
      <c r="AM64" s="24">
        <f>IF(AM63&gt;0,ROUND(AM63+AL64-AK64,2),0)</f>
        <v>0</v>
      </c>
      <c r="AN64" s="24">
        <f>IF(AM63&gt;0,ROUND(AN63+ROUND(ROUND(AN63*100,0)*ROUND(AK$7*10000,0)/12000000,0)/100+0.02,2),0)</f>
        <v>0</v>
      </c>
      <c r="AO64" s="24">
        <f>IF(AQ63&gt;0,IF(AND(ROUND(AQ63+AP64-ROUND(AO$6+IF(AO$5=$C64,$E$5+$E64,0),2),2)&gt;0,ROUND(AQ63+AP64-ROUND(AO$6+IF(AO$5=$C64,$E$5+$E64,0),2),2)&lt;=AR64,ROUND(AQ63+AP64-ROUND(AO$6+IF(AO$5=$C64,$E$5+$E64,0),2),2)*10&lt;=ROUND(AO$6+IF(AO$5=$C64,$E$5+$E64,0),2)),ROUND(AQ63+AP64,2),MIN(ROUND(AO$6+IF(AO$5=$C64,$E$5+$E64,0),2),ROUND(AQ63+AP64,2))),0)</f>
        <v>0</v>
      </c>
      <c r="AP64" s="24">
        <f>IF(AQ63&gt;0,ROUND(ROUND(AQ63*100,0)*ROUND(AO$7*10000,0)/12000000,0)/100,0)</f>
        <v>0</v>
      </c>
      <c r="AQ64" s="24">
        <f>IF(AQ63&gt;0,ROUND(AQ63+AP64-AO64,2),0)</f>
        <v>0</v>
      </c>
      <c r="AR64" s="24">
        <f>IF(AQ63&gt;0,ROUND(AR63+ROUND(ROUND(AR63*100,0)*ROUND(AO$7*10000,0)/12000000,0)/100+0.02,2),0)</f>
        <v>0</v>
      </c>
      <c r="AS64" s="24">
        <f>IF(AU63&gt;0,IF(AND(ROUND(AU63+AT64-ROUND(AS$6+IF(AS$5=$C64,$E$5+$E64,0),2),2)&gt;0,ROUND(AU63+AT64-ROUND(AS$6+IF(AS$5=$C64,$E$5+$E64,0),2),2)&lt;=AV64,ROUND(AU63+AT64-ROUND(AS$6+IF(AS$5=$C64,$E$5+$E64,0),2),2)*10&lt;=ROUND(AS$6+IF(AS$5=$C64,$E$5+$E64,0),2)),ROUND(AU63+AT64,2),MIN(ROUND(AS$6+IF(AS$5=$C64,$E$5+$E64,0),2),ROUND(AU63+AT64,2))),0)</f>
        <v>0</v>
      </c>
      <c r="AT64" s="24">
        <f>IF(AU63&gt;0,ROUND(ROUND(AU63*100,0)*ROUND(AS$7*10000,0)/12000000,0)/100,0)</f>
        <v>0</v>
      </c>
      <c r="AU64" s="24">
        <f>IF(AU63&gt;0,ROUND(AU63+AT64-AS64,2),0)</f>
        <v>0</v>
      </c>
      <c r="AV64" s="24">
        <f>IF(AU63&gt;0,ROUND(AV63+ROUND(ROUND(AV63*100,0)*ROUND(AS$7*10000,0)/12000000,0)/100+0.02,2),0)</f>
        <v>0</v>
      </c>
    </row>
    <row r="65" spans="1:48" x14ac:dyDescent="0.25">
      <c r="A65" s="17" t="str">
        <f>IF(F65&gt;0,55,"")</f>
        <v/>
      </c>
      <c r="B65" s="18" t="str">
        <f>IF(F65&gt;0,EDATE($E$6,55),"")</f>
        <v/>
      </c>
      <c r="C65" s="21">
        <f>IF(H64&gt;0,MIN(IF(K64&gt;0,I$5,99),IF(O64&gt;0,M$5,99),IF(S64&gt;0,Q$5,99),IF(W64&gt;0,U$5,99),IF(AA64&gt;0,Y$5,99),IF(AE64&gt;0,AC$5,99),IF(AI64&gt;0,AG$5,99),IF(AM64&gt;0,AK$5,99),IF(AQ64&gt;0,AO$5,99),IF(AU64&gt;0,AS$5,99)),0)</f>
        <v>0</v>
      </c>
      <c r="D65" t="str">
        <f>IF(C65&gt;0,INDEX($I$4:$AV$4,1,MATCH(C65,$I$5:$AV$5,0)),"")</f>
        <v/>
      </c>
      <c r="E65" s="24">
        <f>ROUND(IF(AND(I$8&gt;0,K64=0),I$6,0)+IF(AND(M$8&gt;0,O64=0),M$6,0)+IF(AND(Q$8&gt;0,S64=0),Q$6,0)+IF(AND(U$8&gt;0,W64=0),U$6,0)+IF(AND(Y$8&gt;0,AA64=0),Y$6,0)+IF(AND(AC$8&gt;0,AE64=0),AC$6,0)+IF(AND(AG$8&gt;0,AI64=0),AG$6,0)+IF(AND(AK$8&gt;0,AM64=0),AK$6,0)+IF(AND(AO$8&gt;0,AQ64=0),AO$6,0)+IF(AND(AS$8&gt;0,AU64=0),AS$6,0),2)</f>
        <v>325</v>
      </c>
      <c r="F65" s="24">
        <f>ROUND(I65+M65+Q65+U65+Y65+AC65+AG65+AK65+AO65+AS65,2)</f>
        <v>0</v>
      </c>
      <c r="G65" s="24">
        <f>ROUND(J65+N65+R65+V65+Z65+AD65+AH65+AL65+AP65+AT65,2)</f>
        <v>0</v>
      </c>
      <c r="H65" s="24">
        <f>ROUND(K65+O65+S65+W65+AA65+AE65+AI65+AM65+AQ65+AU65,2)</f>
        <v>0</v>
      </c>
      <c r="I65" s="24">
        <f>IF(K64&gt;0,IF(AND(ROUND(K64+J65-ROUND(I$6+IF(I$5=$C65,$E$5+$E65,0),2),2)&gt;0,ROUND(K64+J65-ROUND(I$6+IF(I$5=$C65,$E$5+$E65,0),2),2)&lt;=L65,ROUND(K64+J65-ROUND(I$6+IF(I$5=$C65,$E$5+$E65,0),2),2)*10&lt;=ROUND(I$6+IF(I$5=$C65,$E$5+$E65,0),2)),ROUND(K64+J65,2),MIN(ROUND(I$6+IF(I$5=$C65,$E$5+$E65,0),2),ROUND(K64+J65,2))),0)</f>
        <v>0</v>
      </c>
      <c r="J65" s="24">
        <f>IF(K64&gt;0,ROUND(ROUND(K64*100,0)*ROUND(I$7*10000,0)/12000000,0)/100,0)</f>
        <v>0</v>
      </c>
      <c r="K65" s="24">
        <f>IF(K64&gt;0,ROUND(K64+J65-I65,2),0)</f>
        <v>0</v>
      </c>
      <c r="L65" s="24">
        <f>IF(K64&gt;0,ROUND(L64+ROUND(ROUND(L64*100,0)*ROUND(I$7*10000,0)/12000000,0)/100+0.02,2),0)</f>
        <v>0</v>
      </c>
      <c r="M65" s="24">
        <f>IF(O64&gt;0,IF(AND(ROUND(O64+N65-ROUND(M$6+IF(M$5=$C65,$E$5+$E65,0),2),2)&gt;0,ROUND(O64+N65-ROUND(M$6+IF(M$5=$C65,$E$5+$E65,0),2),2)&lt;=P65,ROUND(O64+N65-ROUND(M$6+IF(M$5=$C65,$E$5+$E65,0),2),2)*10&lt;=ROUND(M$6+IF(M$5=$C65,$E$5+$E65,0),2)),ROUND(O64+N65,2),MIN(ROUND(M$6+IF(M$5=$C65,$E$5+$E65,0),2),ROUND(O64+N65,2))),0)</f>
        <v>0</v>
      </c>
      <c r="N65" s="24">
        <f>IF(O64&gt;0,ROUND(ROUND(O64*100,0)*ROUND(M$7*10000,0)/12000000,0)/100,0)</f>
        <v>0</v>
      </c>
      <c r="O65" s="24">
        <f>IF(O64&gt;0,ROUND(O64+N65-M65,2),0)</f>
        <v>0</v>
      </c>
      <c r="P65" s="24">
        <f>IF(O64&gt;0,ROUND(P64+ROUND(ROUND(P64*100,0)*ROUND(M$7*10000,0)/12000000,0)/100+0.02,2),0)</f>
        <v>0</v>
      </c>
      <c r="Q65" s="24">
        <f>IF(S64&gt;0,IF(AND(ROUND(S64+R65-ROUND(Q$6+IF(Q$5=$C65,$E$5+$E65,0),2),2)&gt;0,ROUND(S64+R65-ROUND(Q$6+IF(Q$5=$C65,$E$5+$E65,0),2),2)&lt;=T65,ROUND(S64+R65-ROUND(Q$6+IF(Q$5=$C65,$E$5+$E65,0),2),2)*10&lt;=ROUND(Q$6+IF(Q$5=$C65,$E$5+$E65,0),2)),ROUND(S64+R65,2),MIN(ROUND(Q$6+IF(Q$5=$C65,$E$5+$E65,0),2),ROUND(S64+R65,2))),0)</f>
        <v>0</v>
      </c>
      <c r="R65" s="24">
        <f>IF(S64&gt;0,ROUND(ROUND(S64*100,0)*ROUND(Q$7*10000,0)/12000000,0)/100,0)</f>
        <v>0</v>
      </c>
      <c r="S65" s="24">
        <f>IF(S64&gt;0,ROUND(S64+R65-Q65,2),0)</f>
        <v>0</v>
      </c>
      <c r="T65" s="24">
        <f>IF(S64&gt;0,ROUND(T64+ROUND(ROUND(T64*100,0)*ROUND(Q$7*10000,0)/12000000,0)/100+0.02,2),0)</f>
        <v>0</v>
      </c>
      <c r="U65" s="24">
        <f>IF(W64&gt;0,IF(AND(ROUND(W64+V65-ROUND(U$6+IF(U$5=$C65,$E$5+$E65,0),2),2)&gt;0,ROUND(W64+V65-ROUND(U$6+IF(U$5=$C65,$E$5+$E65,0),2),2)&lt;=X65,ROUND(W64+V65-ROUND(U$6+IF(U$5=$C65,$E$5+$E65,0),2),2)*10&lt;=ROUND(U$6+IF(U$5=$C65,$E$5+$E65,0),2)),ROUND(W64+V65,2),MIN(ROUND(U$6+IF(U$5=$C65,$E$5+$E65,0),2),ROUND(W64+V65,2))),0)</f>
        <v>0</v>
      </c>
      <c r="V65" s="24">
        <f>IF(W64&gt;0,ROUND(ROUND(W64*100,0)*ROUND(U$7*10000,0)/12000000,0)/100,0)</f>
        <v>0</v>
      </c>
      <c r="W65" s="24">
        <f>IF(W64&gt;0,ROUND(W64+V65-U65,2),0)</f>
        <v>0</v>
      </c>
      <c r="X65" s="24">
        <f>IF(W64&gt;0,ROUND(X64+ROUND(ROUND(X64*100,0)*ROUND(U$7*10000,0)/12000000,0)/100+0.02,2),0)</f>
        <v>0</v>
      </c>
      <c r="Y65" s="24">
        <f>IF(AA64&gt;0,IF(AND(ROUND(AA64+Z65-ROUND(Y$6+IF(Y$5=$C65,$E$5+$E65,0),2),2)&gt;0,ROUND(AA64+Z65-ROUND(Y$6+IF(Y$5=$C65,$E$5+$E65,0),2),2)&lt;=AB65,ROUND(AA64+Z65-ROUND(Y$6+IF(Y$5=$C65,$E$5+$E65,0),2),2)*10&lt;=ROUND(Y$6+IF(Y$5=$C65,$E$5+$E65,0),2)),ROUND(AA64+Z65,2),MIN(ROUND(Y$6+IF(Y$5=$C65,$E$5+$E65,0),2),ROUND(AA64+Z65,2))),0)</f>
        <v>0</v>
      </c>
      <c r="Z65" s="24">
        <f>IF(AA64&gt;0,ROUND(ROUND(AA64*100,0)*ROUND(Y$7*10000,0)/12000000,0)/100,0)</f>
        <v>0</v>
      </c>
      <c r="AA65" s="24">
        <f>IF(AA64&gt;0,ROUND(AA64+Z65-Y65,2),0)</f>
        <v>0</v>
      </c>
      <c r="AB65" s="24">
        <f>IF(AA64&gt;0,ROUND(AB64+ROUND(ROUND(AB64*100,0)*ROUND(Y$7*10000,0)/12000000,0)/100+0.02,2),0)</f>
        <v>0</v>
      </c>
      <c r="AC65" s="24">
        <f>IF(AE64&gt;0,IF(AND(ROUND(AE64+AD65-ROUND(AC$6+IF(AC$5=$C65,$E$5+$E65,0),2),2)&gt;0,ROUND(AE64+AD65-ROUND(AC$6+IF(AC$5=$C65,$E$5+$E65,0),2),2)&lt;=AF65,ROUND(AE64+AD65-ROUND(AC$6+IF(AC$5=$C65,$E$5+$E65,0),2),2)*10&lt;=ROUND(AC$6+IF(AC$5=$C65,$E$5+$E65,0),2)),ROUND(AE64+AD65,2),MIN(ROUND(AC$6+IF(AC$5=$C65,$E$5+$E65,0),2),ROUND(AE64+AD65,2))),0)</f>
        <v>0</v>
      </c>
      <c r="AD65" s="24">
        <f>IF(AE64&gt;0,ROUND(ROUND(AE64*100,0)*ROUND(AC$7*10000,0)/12000000,0)/100,0)</f>
        <v>0</v>
      </c>
      <c r="AE65" s="24">
        <f>IF(AE64&gt;0,ROUND(AE64+AD65-AC65,2),0)</f>
        <v>0</v>
      </c>
      <c r="AF65" s="24">
        <f>IF(AE64&gt;0,ROUND(AF64+ROUND(ROUND(AF64*100,0)*ROUND(AC$7*10000,0)/12000000,0)/100+0.02,2),0)</f>
        <v>0</v>
      </c>
      <c r="AG65" s="24">
        <f>IF(AI64&gt;0,IF(AND(ROUND(AI64+AH65-ROUND(AG$6+IF(AG$5=$C65,$E$5+$E65,0),2),2)&gt;0,ROUND(AI64+AH65-ROUND(AG$6+IF(AG$5=$C65,$E$5+$E65,0),2),2)&lt;=AJ65,ROUND(AI64+AH65-ROUND(AG$6+IF(AG$5=$C65,$E$5+$E65,0),2),2)*10&lt;=ROUND(AG$6+IF(AG$5=$C65,$E$5+$E65,0),2)),ROUND(AI64+AH65,2),MIN(ROUND(AG$6+IF(AG$5=$C65,$E$5+$E65,0),2),ROUND(AI64+AH65,2))),0)</f>
        <v>0</v>
      </c>
      <c r="AH65" s="24">
        <f>IF(AI64&gt;0,ROUND(ROUND(AI64*100,0)*ROUND(AG$7*10000,0)/12000000,0)/100,0)</f>
        <v>0</v>
      </c>
      <c r="AI65" s="24">
        <f>IF(AI64&gt;0,ROUND(AI64+AH65-AG65,2),0)</f>
        <v>0</v>
      </c>
      <c r="AJ65" s="24">
        <f>IF(AI64&gt;0,ROUND(AJ64+ROUND(ROUND(AJ64*100,0)*ROUND(AG$7*10000,0)/12000000,0)/100+0.02,2),0)</f>
        <v>0</v>
      </c>
      <c r="AK65" s="24">
        <f>IF(AM64&gt;0,IF(AND(ROUND(AM64+AL65-ROUND(AK$6+IF(AK$5=$C65,$E$5+$E65,0),2),2)&gt;0,ROUND(AM64+AL65-ROUND(AK$6+IF(AK$5=$C65,$E$5+$E65,0),2),2)&lt;=AN65,ROUND(AM64+AL65-ROUND(AK$6+IF(AK$5=$C65,$E$5+$E65,0),2),2)*10&lt;=ROUND(AK$6+IF(AK$5=$C65,$E$5+$E65,0),2)),ROUND(AM64+AL65,2),MIN(ROUND(AK$6+IF(AK$5=$C65,$E$5+$E65,0),2),ROUND(AM64+AL65,2))),0)</f>
        <v>0</v>
      </c>
      <c r="AL65" s="24">
        <f>IF(AM64&gt;0,ROUND(ROUND(AM64*100,0)*ROUND(AK$7*10000,0)/12000000,0)/100,0)</f>
        <v>0</v>
      </c>
      <c r="AM65" s="24">
        <f>IF(AM64&gt;0,ROUND(AM64+AL65-AK65,2),0)</f>
        <v>0</v>
      </c>
      <c r="AN65" s="24">
        <f>IF(AM64&gt;0,ROUND(AN64+ROUND(ROUND(AN64*100,0)*ROUND(AK$7*10000,0)/12000000,0)/100+0.02,2),0)</f>
        <v>0</v>
      </c>
      <c r="AO65" s="24">
        <f>IF(AQ64&gt;0,IF(AND(ROUND(AQ64+AP65-ROUND(AO$6+IF(AO$5=$C65,$E$5+$E65,0),2),2)&gt;0,ROUND(AQ64+AP65-ROUND(AO$6+IF(AO$5=$C65,$E$5+$E65,0),2),2)&lt;=AR65,ROUND(AQ64+AP65-ROUND(AO$6+IF(AO$5=$C65,$E$5+$E65,0),2),2)*10&lt;=ROUND(AO$6+IF(AO$5=$C65,$E$5+$E65,0),2)),ROUND(AQ64+AP65,2),MIN(ROUND(AO$6+IF(AO$5=$C65,$E$5+$E65,0),2),ROUND(AQ64+AP65,2))),0)</f>
        <v>0</v>
      </c>
      <c r="AP65" s="24">
        <f>IF(AQ64&gt;0,ROUND(ROUND(AQ64*100,0)*ROUND(AO$7*10000,0)/12000000,0)/100,0)</f>
        <v>0</v>
      </c>
      <c r="AQ65" s="24">
        <f>IF(AQ64&gt;0,ROUND(AQ64+AP65-AO65,2),0)</f>
        <v>0</v>
      </c>
      <c r="AR65" s="24">
        <f>IF(AQ64&gt;0,ROUND(AR64+ROUND(ROUND(AR64*100,0)*ROUND(AO$7*10000,0)/12000000,0)/100+0.02,2),0)</f>
        <v>0</v>
      </c>
      <c r="AS65" s="24">
        <f>IF(AU64&gt;0,IF(AND(ROUND(AU64+AT65-ROUND(AS$6+IF(AS$5=$C65,$E$5+$E65,0),2),2)&gt;0,ROUND(AU64+AT65-ROUND(AS$6+IF(AS$5=$C65,$E$5+$E65,0),2),2)&lt;=AV65,ROUND(AU64+AT65-ROUND(AS$6+IF(AS$5=$C65,$E$5+$E65,0),2),2)*10&lt;=ROUND(AS$6+IF(AS$5=$C65,$E$5+$E65,0),2)),ROUND(AU64+AT65,2),MIN(ROUND(AS$6+IF(AS$5=$C65,$E$5+$E65,0),2),ROUND(AU64+AT65,2))),0)</f>
        <v>0</v>
      </c>
      <c r="AT65" s="24">
        <f>IF(AU64&gt;0,ROUND(ROUND(AU64*100,0)*ROUND(AS$7*10000,0)/12000000,0)/100,0)</f>
        <v>0</v>
      </c>
      <c r="AU65" s="24">
        <f>IF(AU64&gt;0,ROUND(AU64+AT65-AS65,2),0)</f>
        <v>0</v>
      </c>
      <c r="AV65" s="24">
        <f>IF(AU64&gt;0,ROUND(AV64+ROUND(ROUND(AV64*100,0)*ROUND(AS$7*10000,0)/12000000,0)/100+0.02,2),0)</f>
        <v>0</v>
      </c>
    </row>
    <row r="66" spans="1:48" x14ac:dyDescent="0.25">
      <c r="A66" s="17" t="str">
        <f>IF(F66&gt;0,56,"")</f>
        <v/>
      </c>
      <c r="B66" s="18" t="str">
        <f>IF(F66&gt;0,EDATE($E$6,56),"")</f>
        <v/>
      </c>
      <c r="C66" s="21">
        <f>IF(H65&gt;0,MIN(IF(K65&gt;0,I$5,99),IF(O65&gt;0,M$5,99),IF(S65&gt;0,Q$5,99),IF(W65&gt;0,U$5,99),IF(AA65&gt;0,Y$5,99),IF(AE65&gt;0,AC$5,99),IF(AI65&gt;0,AG$5,99),IF(AM65&gt;0,AK$5,99),IF(AQ65&gt;0,AO$5,99),IF(AU65&gt;0,AS$5,99)),0)</f>
        <v>0</v>
      </c>
      <c r="D66" t="str">
        <f>IF(C66&gt;0,INDEX($I$4:$AV$4,1,MATCH(C66,$I$5:$AV$5,0)),"")</f>
        <v/>
      </c>
      <c r="E66" s="24">
        <f>ROUND(IF(AND(I$8&gt;0,K65=0),I$6,0)+IF(AND(M$8&gt;0,O65=0),M$6,0)+IF(AND(Q$8&gt;0,S65=0),Q$6,0)+IF(AND(U$8&gt;0,W65=0),U$6,0)+IF(AND(Y$8&gt;0,AA65=0),Y$6,0)+IF(AND(AC$8&gt;0,AE65=0),AC$6,0)+IF(AND(AG$8&gt;0,AI65=0),AG$6,0)+IF(AND(AK$8&gt;0,AM65=0),AK$6,0)+IF(AND(AO$8&gt;0,AQ65=0),AO$6,0)+IF(AND(AS$8&gt;0,AU65=0),AS$6,0),2)</f>
        <v>325</v>
      </c>
      <c r="F66" s="24">
        <f>ROUND(I66+M66+Q66+U66+Y66+AC66+AG66+AK66+AO66+AS66,2)</f>
        <v>0</v>
      </c>
      <c r="G66" s="24">
        <f>ROUND(J66+N66+R66+V66+Z66+AD66+AH66+AL66+AP66+AT66,2)</f>
        <v>0</v>
      </c>
      <c r="H66" s="24">
        <f>ROUND(K66+O66+S66+W66+AA66+AE66+AI66+AM66+AQ66+AU66,2)</f>
        <v>0</v>
      </c>
      <c r="I66" s="24">
        <f>IF(K65&gt;0,IF(AND(ROUND(K65+J66-ROUND(I$6+IF(I$5=$C66,$E$5+$E66,0),2),2)&gt;0,ROUND(K65+J66-ROUND(I$6+IF(I$5=$C66,$E$5+$E66,0),2),2)&lt;=L66,ROUND(K65+J66-ROUND(I$6+IF(I$5=$C66,$E$5+$E66,0),2),2)*10&lt;=ROUND(I$6+IF(I$5=$C66,$E$5+$E66,0),2)),ROUND(K65+J66,2),MIN(ROUND(I$6+IF(I$5=$C66,$E$5+$E66,0),2),ROUND(K65+J66,2))),0)</f>
        <v>0</v>
      </c>
      <c r="J66" s="24">
        <f>IF(K65&gt;0,ROUND(ROUND(K65*100,0)*ROUND(I$7*10000,0)/12000000,0)/100,0)</f>
        <v>0</v>
      </c>
      <c r="K66" s="24">
        <f>IF(K65&gt;0,ROUND(K65+J66-I66,2),0)</f>
        <v>0</v>
      </c>
      <c r="L66" s="24">
        <f>IF(K65&gt;0,ROUND(L65+ROUND(ROUND(L65*100,0)*ROUND(I$7*10000,0)/12000000,0)/100+0.02,2),0)</f>
        <v>0</v>
      </c>
      <c r="M66" s="24">
        <f>IF(O65&gt;0,IF(AND(ROUND(O65+N66-ROUND(M$6+IF(M$5=$C66,$E$5+$E66,0),2),2)&gt;0,ROUND(O65+N66-ROUND(M$6+IF(M$5=$C66,$E$5+$E66,0),2),2)&lt;=P66,ROUND(O65+N66-ROUND(M$6+IF(M$5=$C66,$E$5+$E66,0),2),2)*10&lt;=ROUND(M$6+IF(M$5=$C66,$E$5+$E66,0),2)),ROUND(O65+N66,2),MIN(ROUND(M$6+IF(M$5=$C66,$E$5+$E66,0),2),ROUND(O65+N66,2))),0)</f>
        <v>0</v>
      </c>
      <c r="N66" s="24">
        <f>IF(O65&gt;0,ROUND(ROUND(O65*100,0)*ROUND(M$7*10000,0)/12000000,0)/100,0)</f>
        <v>0</v>
      </c>
      <c r="O66" s="24">
        <f>IF(O65&gt;0,ROUND(O65+N66-M66,2),0)</f>
        <v>0</v>
      </c>
      <c r="P66" s="24">
        <f>IF(O65&gt;0,ROUND(P65+ROUND(ROUND(P65*100,0)*ROUND(M$7*10000,0)/12000000,0)/100+0.02,2),0)</f>
        <v>0</v>
      </c>
      <c r="Q66" s="24">
        <f>IF(S65&gt;0,IF(AND(ROUND(S65+R66-ROUND(Q$6+IF(Q$5=$C66,$E$5+$E66,0),2),2)&gt;0,ROUND(S65+R66-ROUND(Q$6+IF(Q$5=$C66,$E$5+$E66,0),2),2)&lt;=T66,ROUND(S65+R66-ROUND(Q$6+IF(Q$5=$C66,$E$5+$E66,0),2),2)*10&lt;=ROUND(Q$6+IF(Q$5=$C66,$E$5+$E66,0),2)),ROUND(S65+R66,2),MIN(ROUND(Q$6+IF(Q$5=$C66,$E$5+$E66,0),2),ROUND(S65+R66,2))),0)</f>
        <v>0</v>
      </c>
      <c r="R66" s="24">
        <f>IF(S65&gt;0,ROUND(ROUND(S65*100,0)*ROUND(Q$7*10000,0)/12000000,0)/100,0)</f>
        <v>0</v>
      </c>
      <c r="S66" s="24">
        <f>IF(S65&gt;0,ROUND(S65+R66-Q66,2),0)</f>
        <v>0</v>
      </c>
      <c r="T66" s="24">
        <f>IF(S65&gt;0,ROUND(T65+ROUND(ROUND(T65*100,0)*ROUND(Q$7*10000,0)/12000000,0)/100+0.02,2),0)</f>
        <v>0</v>
      </c>
      <c r="U66" s="24">
        <f>IF(W65&gt;0,IF(AND(ROUND(W65+V66-ROUND(U$6+IF(U$5=$C66,$E$5+$E66,0),2),2)&gt;0,ROUND(W65+V66-ROUND(U$6+IF(U$5=$C66,$E$5+$E66,0),2),2)&lt;=X66,ROUND(W65+V66-ROUND(U$6+IF(U$5=$C66,$E$5+$E66,0),2),2)*10&lt;=ROUND(U$6+IF(U$5=$C66,$E$5+$E66,0),2)),ROUND(W65+V66,2),MIN(ROUND(U$6+IF(U$5=$C66,$E$5+$E66,0),2),ROUND(W65+V66,2))),0)</f>
        <v>0</v>
      </c>
      <c r="V66" s="24">
        <f>IF(W65&gt;0,ROUND(ROUND(W65*100,0)*ROUND(U$7*10000,0)/12000000,0)/100,0)</f>
        <v>0</v>
      </c>
      <c r="W66" s="24">
        <f>IF(W65&gt;0,ROUND(W65+V66-U66,2),0)</f>
        <v>0</v>
      </c>
      <c r="X66" s="24">
        <f>IF(W65&gt;0,ROUND(X65+ROUND(ROUND(X65*100,0)*ROUND(U$7*10000,0)/12000000,0)/100+0.02,2),0)</f>
        <v>0</v>
      </c>
      <c r="Y66" s="24">
        <f>IF(AA65&gt;0,IF(AND(ROUND(AA65+Z66-ROUND(Y$6+IF(Y$5=$C66,$E$5+$E66,0),2),2)&gt;0,ROUND(AA65+Z66-ROUND(Y$6+IF(Y$5=$C66,$E$5+$E66,0),2),2)&lt;=AB66,ROUND(AA65+Z66-ROUND(Y$6+IF(Y$5=$C66,$E$5+$E66,0),2),2)*10&lt;=ROUND(Y$6+IF(Y$5=$C66,$E$5+$E66,0),2)),ROUND(AA65+Z66,2),MIN(ROUND(Y$6+IF(Y$5=$C66,$E$5+$E66,0),2),ROUND(AA65+Z66,2))),0)</f>
        <v>0</v>
      </c>
      <c r="Z66" s="24">
        <f>IF(AA65&gt;0,ROUND(ROUND(AA65*100,0)*ROUND(Y$7*10000,0)/12000000,0)/100,0)</f>
        <v>0</v>
      </c>
      <c r="AA66" s="24">
        <f>IF(AA65&gt;0,ROUND(AA65+Z66-Y66,2),0)</f>
        <v>0</v>
      </c>
      <c r="AB66" s="24">
        <f>IF(AA65&gt;0,ROUND(AB65+ROUND(ROUND(AB65*100,0)*ROUND(Y$7*10000,0)/12000000,0)/100+0.02,2),0)</f>
        <v>0</v>
      </c>
      <c r="AC66" s="24">
        <f>IF(AE65&gt;0,IF(AND(ROUND(AE65+AD66-ROUND(AC$6+IF(AC$5=$C66,$E$5+$E66,0),2),2)&gt;0,ROUND(AE65+AD66-ROUND(AC$6+IF(AC$5=$C66,$E$5+$E66,0),2),2)&lt;=AF66,ROUND(AE65+AD66-ROUND(AC$6+IF(AC$5=$C66,$E$5+$E66,0),2),2)*10&lt;=ROUND(AC$6+IF(AC$5=$C66,$E$5+$E66,0),2)),ROUND(AE65+AD66,2),MIN(ROUND(AC$6+IF(AC$5=$C66,$E$5+$E66,0),2),ROUND(AE65+AD66,2))),0)</f>
        <v>0</v>
      </c>
      <c r="AD66" s="24">
        <f>IF(AE65&gt;0,ROUND(ROUND(AE65*100,0)*ROUND(AC$7*10000,0)/12000000,0)/100,0)</f>
        <v>0</v>
      </c>
      <c r="AE66" s="24">
        <f>IF(AE65&gt;0,ROUND(AE65+AD66-AC66,2),0)</f>
        <v>0</v>
      </c>
      <c r="AF66" s="24">
        <f>IF(AE65&gt;0,ROUND(AF65+ROUND(ROUND(AF65*100,0)*ROUND(AC$7*10000,0)/12000000,0)/100+0.02,2),0)</f>
        <v>0</v>
      </c>
      <c r="AG66" s="24">
        <f>IF(AI65&gt;0,IF(AND(ROUND(AI65+AH66-ROUND(AG$6+IF(AG$5=$C66,$E$5+$E66,0),2),2)&gt;0,ROUND(AI65+AH66-ROUND(AG$6+IF(AG$5=$C66,$E$5+$E66,0),2),2)&lt;=AJ66,ROUND(AI65+AH66-ROUND(AG$6+IF(AG$5=$C66,$E$5+$E66,0),2),2)*10&lt;=ROUND(AG$6+IF(AG$5=$C66,$E$5+$E66,0),2)),ROUND(AI65+AH66,2),MIN(ROUND(AG$6+IF(AG$5=$C66,$E$5+$E66,0),2),ROUND(AI65+AH66,2))),0)</f>
        <v>0</v>
      </c>
      <c r="AH66" s="24">
        <f>IF(AI65&gt;0,ROUND(ROUND(AI65*100,0)*ROUND(AG$7*10000,0)/12000000,0)/100,0)</f>
        <v>0</v>
      </c>
      <c r="AI66" s="24">
        <f>IF(AI65&gt;0,ROUND(AI65+AH66-AG66,2),0)</f>
        <v>0</v>
      </c>
      <c r="AJ66" s="24">
        <f>IF(AI65&gt;0,ROUND(AJ65+ROUND(ROUND(AJ65*100,0)*ROUND(AG$7*10000,0)/12000000,0)/100+0.02,2),0)</f>
        <v>0</v>
      </c>
      <c r="AK66" s="24">
        <f>IF(AM65&gt;0,IF(AND(ROUND(AM65+AL66-ROUND(AK$6+IF(AK$5=$C66,$E$5+$E66,0),2),2)&gt;0,ROUND(AM65+AL66-ROUND(AK$6+IF(AK$5=$C66,$E$5+$E66,0),2),2)&lt;=AN66,ROUND(AM65+AL66-ROUND(AK$6+IF(AK$5=$C66,$E$5+$E66,0),2),2)*10&lt;=ROUND(AK$6+IF(AK$5=$C66,$E$5+$E66,0),2)),ROUND(AM65+AL66,2),MIN(ROUND(AK$6+IF(AK$5=$C66,$E$5+$E66,0),2),ROUND(AM65+AL66,2))),0)</f>
        <v>0</v>
      </c>
      <c r="AL66" s="24">
        <f>IF(AM65&gt;0,ROUND(ROUND(AM65*100,0)*ROUND(AK$7*10000,0)/12000000,0)/100,0)</f>
        <v>0</v>
      </c>
      <c r="AM66" s="24">
        <f>IF(AM65&gt;0,ROUND(AM65+AL66-AK66,2),0)</f>
        <v>0</v>
      </c>
      <c r="AN66" s="24">
        <f>IF(AM65&gt;0,ROUND(AN65+ROUND(ROUND(AN65*100,0)*ROUND(AK$7*10000,0)/12000000,0)/100+0.02,2),0)</f>
        <v>0</v>
      </c>
      <c r="AO66" s="24">
        <f>IF(AQ65&gt;0,IF(AND(ROUND(AQ65+AP66-ROUND(AO$6+IF(AO$5=$C66,$E$5+$E66,0),2),2)&gt;0,ROUND(AQ65+AP66-ROUND(AO$6+IF(AO$5=$C66,$E$5+$E66,0),2),2)&lt;=AR66,ROUND(AQ65+AP66-ROUND(AO$6+IF(AO$5=$C66,$E$5+$E66,0),2),2)*10&lt;=ROUND(AO$6+IF(AO$5=$C66,$E$5+$E66,0),2)),ROUND(AQ65+AP66,2),MIN(ROUND(AO$6+IF(AO$5=$C66,$E$5+$E66,0),2),ROUND(AQ65+AP66,2))),0)</f>
        <v>0</v>
      </c>
      <c r="AP66" s="24">
        <f>IF(AQ65&gt;0,ROUND(ROUND(AQ65*100,0)*ROUND(AO$7*10000,0)/12000000,0)/100,0)</f>
        <v>0</v>
      </c>
      <c r="AQ66" s="24">
        <f>IF(AQ65&gt;0,ROUND(AQ65+AP66-AO66,2),0)</f>
        <v>0</v>
      </c>
      <c r="AR66" s="24">
        <f>IF(AQ65&gt;0,ROUND(AR65+ROUND(ROUND(AR65*100,0)*ROUND(AO$7*10000,0)/12000000,0)/100+0.02,2),0)</f>
        <v>0</v>
      </c>
      <c r="AS66" s="24">
        <f>IF(AU65&gt;0,IF(AND(ROUND(AU65+AT66-ROUND(AS$6+IF(AS$5=$C66,$E$5+$E66,0),2),2)&gt;0,ROUND(AU65+AT66-ROUND(AS$6+IF(AS$5=$C66,$E$5+$E66,0),2),2)&lt;=AV66,ROUND(AU65+AT66-ROUND(AS$6+IF(AS$5=$C66,$E$5+$E66,0),2),2)*10&lt;=ROUND(AS$6+IF(AS$5=$C66,$E$5+$E66,0),2)),ROUND(AU65+AT66,2),MIN(ROUND(AS$6+IF(AS$5=$C66,$E$5+$E66,0),2),ROUND(AU65+AT66,2))),0)</f>
        <v>0</v>
      </c>
      <c r="AT66" s="24">
        <f>IF(AU65&gt;0,ROUND(ROUND(AU65*100,0)*ROUND(AS$7*10000,0)/12000000,0)/100,0)</f>
        <v>0</v>
      </c>
      <c r="AU66" s="24">
        <f>IF(AU65&gt;0,ROUND(AU65+AT66-AS66,2),0)</f>
        <v>0</v>
      </c>
      <c r="AV66" s="24">
        <f>IF(AU65&gt;0,ROUND(AV65+ROUND(ROUND(AV65*100,0)*ROUND(AS$7*10000,0)/12000000,0)/100+0.02,2),0)</f>
        <v>0</v>
      </c>
    </row>
    <row r="67" spans="1:48" x14ac:dyDescent="0.25">
      <c r="A67" s="17" t="str">
        <f>IF(F67&gt;0,57,"")</f>
        <v/>
      </c>
      <c r="B67" s="18" t="str">
        <f>IF(F67&gt;0,EDATE($E$6,57),"")</f>
        <v/>
      </c>
      <c r="C67" s="21">
        <f>IF(H66&gt;0,MIN(IF(K66&gt;0,I$5,99),IF(O66&gt;0,M$5,99),IF(S66&gt;0,Q$5,99),IF(W66&gt;0,U$5,99),IF(AA66&gt;0,Y$5,99),IF(AE66&gt;0,AC$5,99),IF(AI66&gt;0,AG$5,99),IF(AM66&gt;0,AK$5,99),IF(AQ66&gt;0,AO$5,99),IF(AU66&gt;0,AS$5,99)),0)</f>
        <v>0</v>
      </c>
      <c r="D67" t="str">
        <f>IF(C67&gt;0,INDEX($I$4:$AV$4,1,MATCH(C67,$I$5:$AV$5,0)),"")</f>
        <v/>
      </c>
      <c r="E67" s="24">
        <f>ROUND(IF(AND(I$8&gt;0,K66=0),I$6,0)+IF(AND(M$8&gt;0,O66=0),M$6,0)+IF(AND(Q$8&gt;0,S66=0),Q$6,0)+IF(AND(U$8&gt;0,W66=0),U$6,0)+IF(AND(Y$8&gt;0,AA66=0),Y$6,0)+IF(AND(AC$8&gt;0,AE66=0),AC$6,0)+IF(AND(AG$8&gt;0,AI66=0),AG$6,0)+IF(AND(AK$8&gt;0,AM66=0),AK$6,0)+IF(AND(AO$8&gt;0,AQ66=0),AO$6,0)+IF(AND(AS$8&gt;0,AU66=0),AS$6,0),2)</f>
        <v>325</v>
      </c>
      <c r="F67" s="24">
        <f>ROUND(I67+M67+Q67+U67+Y67+AC67+AG67+AK67+AO67+AS67,2)</f>
        <v>0</v>
      </c>
      <c r="G67" s="24">
        <f>ROUND(J67+N67+R67+V67+Z67+AD67+AH67+AL67+AP67+AT67,2)</f>
        <v>0</v>
      </c>
      <c r="H67" s="24">
        <f>ROUND(K67+O67+S67+W67+AA67+AE67+AI67+AM67+AQ67+AU67,2)</f>
        <v>0</v>
      </c>
      <c r="I67" s="24">
        <f>IF(K66&gt;0,IF(AND(ROUND(K66+J67-ROUND(I$6+IF(I$5=$C67,$E$5+$E67,0),2),2)&gt;0,ROUND(K66+J67-ROUND(I$6+IF(I$5=$C67,$E$5+$E67,0),2),2)&lt;=L67,ROUND(K66+J67-ROUND(I$6+IF(I$5=$C67,$E$5+$E67,0),2),2)*10&lt;=ROUND(I$6+IF(I$5=$C67,$E$5+$E67,0),2)),ROUND(K66+J67,2),MIN(ROUND(I$6+IF(I$5=$C67,$E$5+$E67,0),2),ROUND(K66+J67,2))),0)</f>
        <v>0</v>
      </c>
      <c r="J67" s="24">
        <f>IF(K66&gt;0,ROUND(ROUND(K66*100,0)*ROUND(I$7*10000,0)/12000000,0)/100,0)</f>
        <v>0</v>
      </c>
      <c r="K67" s="24">
        <f>IF(K66&gt;0,ROUND(K66+J67-I67,2),0)</f>
        <v>0</v>
      </c>
      <c r="L67" s="24">
        <f>IF(K66&gt;0,ROUND(L66+ROUND(ROUND(L66*100,0)*ROUND(I$7*10000,0)/12000000,0)/100+0.02,2),0)</f>
        <v>0</v>
      </c>
      <c r="M67" s="24">
        <f>IF(O66&gt;0,IF(AND(ROUND(O66+N67-ROUND(M$6+IF(M$5=$C67,$E$5+$E67,0),2),2)&gt;0,ROUND(O66+N67-ROUND(M$6+IF(M$5=$C67,$E$5+$E67,0),2),2)&lt;=P67,ROUND(O66+N67-ROUND(M$6+IF(M$5=$C67,$E$5+$E67,0),2),2)*10&lt;=ROUND(M$6+IF(M$5=$C67,$E$5+$E67,0),2)),ROUND(O66+N67,2),MIN(ROUND(M$6+IF(M$5=$C67,$E$5+$E67,0),2),ROUND(O66+N67,2))),0)</f>
        <v>0</v>
      </c>
      <c r="N67" s="24">
        <f>IF(O66&gt;0,ROUND(ROUND(O66*100,0)*ROUND(M$7*10000,0)/12000000,0)/100,0)</f>
        <v>0</v>
      </c>
      <c r="O67" s="24">
        <f>IF(O66&gt;0,ROUND(O66+N67-M67,2),0)</f>
        <v>0</v>
      </c>
      <c r="P67" s="24">
        <f>IF(O66&gt;0,ROUND(P66+ROUND(ROUND(P66*100,0)*ROUND(M$7*10000,0)/12000000,0)/100+0.02,2),0)</f>
        <v>0</v>
      </c>
      <c r="Q67" s="24">
        <f>IF(S66&gt;0,IF(AND(ROUND(S66+R67-ROUND(Q$6+IF(Q$5=$C67,$E$5+$E67,0),2),2)&gt;0,ROUND(S66+R67-ROUND(Q$6+IF(Q$5=$C67,$E$5+$E67,0),2),2)&lt;=T67,ROUND(S66+R67-ROUND(Q$6+IF(Q$5=$C67,$E$5+$E67,0),2),2)*10&lt;=ROUND(Q$6+IF(Q$5=$C67,$E$5+$E67,0),2)),ROUND(S66+R67,2),MIN(ROUND(Q$6+IF(Q$5=$C67,$E$5+$E67,0),2),ROUND(S66+R67,2))),0)</f>
        <v>0</v>
      </c>
      <c r="R67" s="24">
        <f>IF(S66&gt;0,ROUND(ROUND(S66*100,0)*ROUND(Q$7*10000,0)/12000000,0)/100,0)</f>
        <v>0</v>
      </c>
      <c r="S67" s="24">
        <f>IF(S66&gt;0,ROUND(S66+R67-Q67,2),0)</f>
        <v>0</v>
      </c>
      <c r="T67" s="24">
        <f>IF(S66&gt;0,ROUND(T66+ROUND(ROUND(T66*100,0)*ROUND(Q$7*10000,0)/12000000,0)/100+0.02,2),0)</f>
        <v>0</v>
      </c>
      <c r="U67" s="24">
        <f>IF(W66&gt;0,IF(AND(ROUND(W66+V67-ROUND(U$6+IF(U$5=$C67,$E$5+$E67,0),2),2)&gt;0,ROUND(W66+V67-ROUND(U$6+IF(U$5=$C67,$E$5+$E67,0),2),2)&lt;=X67,ROUND(W66+V67-ROUND(U$6+IF(U$5=$C67,$E$5+$E67,0),2),2)*10&lt;=ROUND(U$6+IF(U$5=$C67,$E$5+$E67,0),2)),ROUND(W66+V67,2),MIN(ROUND(U$6+IF(U$5=$C67,$E$5+$E67,0),2),ROUND(W66+V67,2))),0)</f>
        <v>0</v>
      </c>
      <c r="V67" s="24">
        <f>IF(W66&gt;0,ROUND(ROUND(W66*100,0)*ROUND(U$7*10000,0)/12000000,0)/100,0)</f>
        <v>0</v>
      </c>
      <c r="W67" s="24">
        <f>IF(W66&gt;0,ROUND(W66+V67-U67,2),0)</f>
        <v>0</v>
      </c>
      <c r="X67" s="24">
        <f>IF(W66&gt;0,ROUND(X66+ROUND(ROUND(X66*100,0)*ROUND(U$7*10000,0)/12000000,0)/100+0.02,2),0)</f>
        <v>0</v>
      </c>
      <c r="Y67" s="24">
        <f>IF(AA66&gt;0,IF(AND(ROUND(AA66+Z67-ROUND(Y$6+IF(Y$5=$C67,$E$5+$E67,0),2),2)&gt;0,ROUND(AA66+Z67-ROUND(Y$6+IF(Y$5=$C67,$E$5+$E67,0),2),2)&lt;=AB67,ROUND(AA66+Z67-ROUND(Y$6+IF(Y$5=$C67,$E$5+$E67,0),2),2)*10&lt;=ROUND(Y$6+IF(Y$5=$C67,$E$5+$E67,0),2)),ROUND(AA66+Z67,2),MIN(ROUND(Y$6+IF(Y$5=$C67,$E$5+$E67,0),2),ROUND(AA66+Z67,2))),0)</f>
        <v>0</v>
      </c>
      <c r="Z67" s="24">
        <f>IF(AA66&gt;0,ROUND(ROUND(AA66*100,0)*ROUND(Y$7*10000,0)/12000000,0)/100,0)</f>
        <v>0</v>
      </c>
      <c r="AA67" s="24">
        <f>IF(AA66&gt;0,ROUND(AA66+Z67-Y67,2),0)</f>
        <v>0</v>
      </c>
      <c r="AB67" s="24">
        <f>IF(AA66&gt;0,ROUND(AB66+ROUND(ROUND(AB66*100,0)*ROUND(Y$7*10000,0)/12000000,0)/100+0.02,2),0)</f>
        <v>0</v>
      </c>
      <c r="AC67" s="24">
        <f>IF(AE66&gt;0,IF(AND(ROUND(AE66+AD67-ROUND(AC$6+IF(AC$5=$C67,$E$5+$E67,0),2),2)&gt;0,ROUND(AE66+AD67-ROUND(AC$6+IF(AC$5=$C67,$E$5+$E67,0),2),2)&lt;=AF67,ROUND(AE66+AD67-ROUND(AC$6+IF(AC$5=$C67,$E$5+$E67,0),2),2)*10&lt;=ROUND(AC$6+IF(AC$5=$C67,$E$5+$E67,0),2)),ROUND(AE66+AD67,2),MIN(ROUND(AC$6+IF(AC$5=$C67,$E$5+$E67,0),2),ROUND(AE66+AD67,2))),0)</f>
        <v>0</v>
      </c>
      <c r="AD67" s="24">
        <f>IF(AE66&gt;0,ROUND(ROUND(AE66*100,0)*ROUND(AC$7*10000,0)/12000000,0)/100,0)</f>
        <v>0</v>
      </c>
      <c r="AE67" s="24">
        <f>IF(AE66&gt;0,ROUND(AE66+AD67-AC67,2),0)</f>
        <v>0</v>
      </c>
      <c r="AF67" s="24">
        <f>IF(AE66&gt;0,ROUND(AF66+ROUND(ROUND(AF66*100,0)*ROUND(AC$7*10000,0)/12000000,0)/100+0.02,2),0)</f>
        <v>0</v>
      </c>
      <c r="AG67" s="24">
        <f>IF(AI66&gt;0,IF(AND(ROUND(AI66+AH67-ROUND(AG$6+IF(AG$5=$C67,$E$5+$E67,0),2),2)&gt;0,ROUND(AI66+AH67-ROUND(AG$6+IF(AG$5=$C67,$E$5+$E67,0),2),2)&lt;=AJ67,ROUND(AI66+AH67-ROUND(AG$6+IF(AG$5=$C67,$E$5+$E67,0),2),2)*10&lt;=ROUND(AG$6+IF(AG$5=$C67,$E$5+$E67,0),2)),ROUND(AI66+AH67,2),MIN(ROUND(AG$6+IF(AG$5=$C67,$E$5+$E67,0),2),ROUND(AI66+AH67,2))),0)</f>
        <v>0</v>
      </c>
      <c r="AH67" s="24">
        <f>IF(AI66&gt;0,ROUND(ROUND(AI66*100,0)*ROUND(AG$7*10000,0)/12000000,0)/100,0)</f>
        <v>0</v>
      </c>
      <c r="AI67" s="24">
        <f>IF(AI66&gt;0,ROUND(AI66+AH67-AG67,2),0)</f>
        <v>0</v>
      </c>
      <c r="AJ67" s="24">
        <f>IF(AI66&gt;0,ROUND(AJ66+ROUND(ROUND(AJ66*100,0)*ROUND(AG$7*10000,0)/12000000,0)/100+0.02,2),0)</f>
        <v>0</v>
      </c>
      <c r="AK67" s="24">
        <f>IF(AM66&gt;0,IF(AND(ROUND(AM66+AL67-ROUND(AK$6+IF(AK$5=$C67,$E$5+$E67,0),2),2)&gt;0,ROUND(AM66+AL67-ROUND(AK$6+IF(AK$5=$C67,$E$5+$E67,0),2),2)&lt;=AN67,ROUND(AM66+AL67-ROUND(AK$6+IF(AK$5=$C67,$E$5+$E67,0),2),2)*10&lt;=ROUND(AK$6+IF(AK$5=$C67,$E$5+$E67,0),2)),ROUND(AM66+AL67,2),MIN(ROUND(AK$6+IF(AK$5=$C67,$E$5+$E67,0),2),ROUND(AM66+AL67,2))),0)</f>
        <v>0</v>
      </c>
      <c r="AL67" s="24">
        <f>IF(AM66&gt;0,ROUND(ROUND(AM66*100,0)*ROUND(AK$7*10000,0)/12000000,0)/100,0)</f>
        <v>0</v>
      </c>
      <c r="AM67" s="24">
        <f>IF(AM66&gt;0,ROUND(AM66+AL67-AK67,2),0)</f>
        <v>0</v>
      </c>
      <c r="AN67" s="24">
        <f>IF(AM66&gt;0,ROUND(AN66+ROUND(ROUND(AN66*100,0)*ROUND(AK$7*10000,0)/12000000,0)/100+0.02,2),0)</f>
        <v>0</v>
      </c>
      <c r="AO67" s="24">
        <f>IF(AQ66&gt;0,IF(AND(ROUND(AQ66+AP67-ROUND(AO$6+IF(AO$5=$C67,$E$5+$E67,0),2),2)&gt;0,ROUND(AQ66+AP67-ROUND(AO$6+IF(AO$5=$C67,$E$5+$E67,0),2),2)&lt;=AR67,ROUND(AQ66+AP67-ROUND(AO$6+IF(AO$5=$C67,$E$5+$E67,0),2),2)*10&lt;=ROUND(AO$6+IF(AO$5=$C67,$E$5+$E67,0),2)),ROUND(AQ66+AP67,2),MIN(ROUND(AO$6+IF(AO$5=$C67,$E$5+$E67,0),2),ROUND(AQ66+AP67,2))),0)</f>
        <v>0</v>
      </c>
      <c r="AP67" s="24">
        <f>IF(AQ66&gt;0,ROUND(ROUND(AQ66*100,0)*ROUND(AO$7*10000,0)/12000000,0)/100,0)</f>
        <v>0</v>
      </c>
      <c r="AQ67" s="24">
        <f>IF(AQ66&gt;0,ROUND(AQ66+AP67-AO67,2),0)</f>
        <v>0</v>
      </c>
      <c r="AR67" s="24">
        <f>IF(AQ66&gt;0,ROUND(AR66+ROUND(ROUND(AR66*100,0)*ROUND(AO$7*10000,0)/12000000,0)/100+0.02,2),0)</f>
        <v>0</v>
      </c>
      <c r="AS67" s="24">
        <f>IF(AU66&gt;0,IF(AND(ROUND(AU66+AT67-ROUND(AS$6+IF(AS$5=$C67,$E$5+$E67,0),2),2)&gt;0,ROUND(AU66+AT67-ROUND(AS$6+IF(AS$5=$C67,$E$5+$E67,0),2),2)&lt;=AV67,ROUND(AU66+AT67-ROUND(AS$6+IF(AS$5=$C67,$E$5+$E67,0),2),2)*10&lt;=ROUND(AS$6+IF(AS$5=$C67,$E$5+$E67,0),2)),ROUND(AU66+AT67,2),MIN(ROUND(AS$6+IF(AS$5=$C67,$E$5+$E67,0),2),ROUND(AU66+AT67,2))),0)</f>
        <v>0</v>
      </c>
      <c r="AT67" s="24">
        <f>IF(AU66&gt;0,ROUND(ROUND(AU66*100,0)*ROUND(AS$7*10000,0)/12000000,0)/100,0)</f>
        <v>0</v>
      </c>
      <c r="AU67" s="24">
        <f>IF(AU66&gt;0,ROUND(AU66+AT67-AS67,2),0)</f>
        <v>0</v>
      </c>
      <c r="AV67" s="24">
        <f>IF(AU66&gt;0,ROUND(AV66+ROUND(ROUND(AV66*100,0)*ROUND(AS$7*10000,0)/12000000,0)/100+0.02,2),0)</f>
        <v>0</v>
      </c>
    </row>
    <row r="68" spans="1:48" x14ac:dyDescent="0.25">
      <c r="A68" s="17" t="str">
        <f>IF(F68&gt;0,58,"")</f>
        <v/>
      </c>
      <c r="B68" s="18" t="str">
        <f>IF(F68&gt;0,EDATE($E$6,58),"")</f>
        <v/>
      </c>
      <c r="C68" s="21">
        <f>IF(H67&gt;0,MIN(IF(K67&gt;0,I$5,99),IF(O67&gt;0,M$5,99),IF(S67&gt;0,Q$5,99),IF(W67&gt;0,U$5,99),IF(AA67&gt;0,Y$5,99),IF(AE67&gt;0,AC$5,99),IF(AI67&gt;0,AG$5,99),IF(AM67&gt;0,AK$5,99),IF(AQ67&gt;0,AO$5,99),IF(AU67&gt;0,AS$5,99)),0)</f>
        <v>0</v>
      </c>
      <c r="D68" t="str">
        <f>IF(C68&gt;0,INDEX($I$4:$AV$4,1,MATCH(C68,$I$5:$AV$5,0)),"")</f>
        <v/>
      </c>
      <c r="E68" s="24">
        <f>ROUND(IF(AND(I$8&gt;0,K67=0),I$6,0)+IF(AND(M$8&gt;0,O67=0),M$6,0)+IF(AND(Q$8&gt;0,S67=0),Q$6,0)+IF(AND(U$8&gt;0,W67=0),U$6,0)+IF(AND(Y$8&gt;0,AA67=0),Y$6,0)+IF(AND(AC$8&gt;0,AE67=0),AC$6,0)+IF(AND(AG$8&gt;0,AI67=0),AG$6,0)+IF(AND(AK$8&gt;0,AM67=0),AK$6,0)+IF(AND(AO$8&gt;0,AQ67=0),AO$6,0)+IF(AND(AS$8&gt;0,AU67=0),AS$6,0),2)</f>
        <v>325</v>
      </c>
      <c r="F68" s="24">
        <f>ROUND(I68+M68+Q68+U68+Y68+AC68+AG68+AK68+AO68+AS68,2)</f>
        <v>0</v>
      </c>
      <c r="G68" s="24">
        <f>ROUND(J68+N68+R68+V68+Z68+AD68+AH68+AL68+AP68+AT68,2)</f>
        <v>0</v>
      </c>
      <c r="H68" s="24">
        <f>ROUND(K68+O68+S68+W68+AA68+AE68+AI68+AM68+AQ68+AU68,2)</f>
        <v>0</v>
      </c>
      <c r="I68" s="24">
        <f>IF(K67&gt;0,IF(AND(ROUND(K67+J68-ROUND(I$6+IF(I$5=$C68,$E$5+$E68,0),2),2)&gt;0,ROUND(K67+J68-ROUND(I$6+IF(I$5=$C68,$E$5+$E68,0),2),2)&lt;=L68,ROUND(K67+J68-ROUND(I$6+IF(I$5=$C68,$E$5+$E68,0),2),2)*10&lt;=ROUND(I$6+IF(I$5=$C68,$E$5+$E68,0),2)),ROUND(K67+J68,2),MIN(ROUND(I$6+IF(I$5=$C68,$E$5+$E68,0),2),ROUND(K67+J68,2))),0)</f>
        <v>0</v>
      </c>
      <c r="J68" s="24">
        <f>IF(K67&gt;0,ROUND(ROUND(K67*100,0)*ROUND(I$7*10000,0)/12000000,0)/100,0)</f>
        <v>0</v>
      </c>
      <c r="K68" s="24">
        <f>IF(K67&gt;0,ROUND(K67+J68-I68,2),0)</f>
        <v>0</v>
      </c>
      <c r="L68" s="24">
        <f>IF(K67&gt;0,ROUND(L67+ROUND(ROUND(L67*100,0)*ROUND(I$7*10000,0)/12000000,0)/100+0.02,2),0)</f>
        <v>0</v>
      </c>
      <c r="M68" s="24">
        <f>IF(O67&gt;0,IF(AND(ROUND(O67+N68-ROUND(M$6+IF(M$5=$C68,$E$5+$E68,0),2),2)&gt;0,ROUND(O67+N68-ROUND(M$6+IF(M$5=$C68,$E$5+$E68,0),2),2)&lt;=P68,ROUND(O67+N68-ROUND(M$6+IF(M$5=$C68,$E$5+$E68,0),2),2)*10&lt;=ROUND(M$6+IF(M$5=$C68,$E$5+$E68,0),2)),ROUND(O67+N68,2),MIN(ROUND(M$6+IF(M$5=$C68,$E$5+$E68,0),2),ROUND(O67+N68,2))),0)</f>
        <v>0</v>
      </c>
      <c r="N68" s="24">
        <f>IF(O67&gt;0,ROUND(ROUND(O67*100,0)*ROUND(M$7*10000,0)/12000000,0)/100,0)</f>
        <v>0</v>
      </c>
      <c r="O68" s="24">
        <f>IF(O67&gt;0,ROUND(O67+N68-M68,2),0)</f>
        <v>0</v>
      </c>
      <c r="P68" s="24">
        <f>IF(O67&gt;0,ROUND(P67+ROUND(ROUND(P67*100,0)*ROUND(M$7*10000,0)/12000000,0)/100+0.02,2),0)</f>
        <v>0</v>
      </c>
      <c r="Q68" s="24">
        <f>IF(S67&gt;0,IF(AND(ROUND(S67+R68-ROUND(Q$6+IF(Q$5=$C68,$E$5+$E68,0),2),2)&gt;0,ROUND(S67+R68-ROUND(Q$6+IF(Q$5=$C68,$E$5+$E68,0),2),2)&lt;=T68,ROUND(S67+R68-ROUND(Q$6+IF(Q$5=$C68,$E$5+$E68,0),2),2)*10&lt;=ROUND(Q$6+IF(Q$5=$C68,$E$5+$E68,0),2)),ROUND(S67+R68,2),MIN(ROUND(Q$6+IF(Q$5=$C68,$E$5+$E68,0),2),ROUND(S67+R68,2))),0)</f>
        <v>0</v>
      </c>
      <c r="R68" s="24">
        <f>IF(S67&gt;0,ROUND(ROUND(S67*100,0)*ROUND(Q$7*10000,0)/12000000,0)/100,0)</f>
        <v>0</v>
      </c>
      <c r="S68" s="24">
        <f>IF(S67&gt;0,ROUND(S67+R68-Q68,2),0)</f>
        <v>0</v>
      </c>
      <c r="T68" s="24">
        <f>IF(S67&gt;0,ROUND(T67+ROUND(ROUND(T67*100,0)*ROUND(Q$7*10000,0)/12000000,0)/100+0.02,2),0)</f>
        <v>0</v>
      </c>
      <c r="U68" s="24">
        <f>IF(W67&gt;0,IF(AND(ROUND(W67+V68-ROUND(U$6+IF(U$5=$C68,$E$5+$E68,0),2),2)&gt;0,ROUND(W67+V68-ROUND(U$6+IF(U$5=$C68,$E$5+$E68,0),2),2)&lt;=X68,ROUND(W67+V68-ROUND(U$6+IF(U$5=$C68,$E$5+$E68,0),2),2)*10&lt;=ROUND(U$6+IF(U$5=$C68,$E$5+$E68,0),2)),ROUND(W67+V68,2),MIN(ROUND(U$6+IF(U$5=$C68,$E$5+$E68,0),2),ROUND(W67+V68,2))),0)</f>
        <v>0</v>
      </c>
      <c r="V68" s="24">
        <f>IF(W67&gt;0,ROUND(ROUND(W67*100,0)*ROUND(U$7*10000,0)/12000000,0)/100,0)</f>
        <v>0</v>
      </c>
      <c r="W68" s="24">
        <f>IF(W67&gt;0,ROUND(W67+V68-U68,2),0)</f>
        <v>0</v>
      </c>
      <c r="X68" s="24">
        <f>IF(W67&gt;0,ROUND(X67+ROUND(ROUND(X67*100,0)*ROUND(U$7*10000,0)/12000000,0)/100+0.02,2),0)</f>
        <v>0</v>
      </c>
      <c r="Y68" s="24">
        <f>IF(AA67&gt;0,IF(AND(ROUND(AA67+Z68-ROUND(Y$6+IF(Y$5=$C68,$E$5+$E68,0),2),2)&gt;0,ROUND(AA67+Z68-ROUND(Y$6+IF(Y$5=$C68,$E$5+$E68,0),2),2)&lt;=AB68,ROUND(AA67+Z68-ROUND(Y$6+IF(Y$5=$C68,$E$5+$E68,0),2),2)*10&lt;=ROUND(Y$6+IF(Y$5=$C68,$E$5+$E68,0),2)),ROUND(AA67+Z68,2),MIN(ROUND(Y$6+IF(Y$5=$C68,$E$5+$E68,0),2),ROUND(AA67+Z68,2))),0)</f>
        <v>0</v>
      </c>
      <c r="Z68" s="24">
        <f>IF(AA67&gt;0,ROUND(ROUND(AA67*100,0)*ROUND(Y$7*10000,0)/12000000,0)/100,0)</f>
        <v>0</v>
      </c>
      <c r="AA68" s="24">
        <f>IF(AA67&gt;0,ROUND(AA67+Z68-Y68,2),0)</f>
        <v>0</v>
      </c>
      <c r="AB68" s="24">
        <f>IF(AA67&gt;0,ROUND(AB67+ROUND(ROUND(AB67*100,0)*ROUND(Y$7*10000,0)/12000000,0)/100+0.02,2),0)</f>
        <v>0</v>
      </c>
      <c r="AC68" s="24">
        <f>IF(AE67&gt;0,IF(AND(ROUND(AE67+AD68-ROUND(AC$6+IF(AC$5=$C68,$E$5+$E68,0),2),2)&gt;0,ROUND(AE67+AD68-ROUND(AC$6+IF(AC$5=$C68,$E$5+$E68,0),2),2)&lt;=AF68,ROUND(AE67+AD68-ROUND(AC$6+IF(AC$5=$C68,$E$5+$E68,0),2),2)*10&lt;=ROUND(AC$6+IF(AC$5=$C68,$E$5+$E68,0),2)),ROUND(AE67+AD68,2),MIN(ROUND(AC$6+IF(AC$5=$C68,$E$5+$E68,0),2),ROUND(AE67+AD68,2))),0)</f>
        <v>0</v>
      </c>
      <c r="AD68" s="24">
        <f>IF(AE67&gt;0,ROUND(ROUND(AE67*100,0)*ROUND(AC$7*10000,0)/12000000,0)/100,0)</f>
        <v>0</v>
      </c>
      <c r="AE68" s="24">
        <f>IF(AE67&gt;0,ROUND(AE67+AD68-AC68,2),0)</f>
        <v>0</v>
      </c>
      <c r="AF68" s="24">
        <f>IF(AE67&gt;0,ROUND(AF67+ROUND(ROUND(AF67*100,0)*ROUND(AC$7*10000,0)/12000000,0)/100+0.02,2),0)</f>
        <v>0</v>
      </c>
      <c r="AG68" s="24">
        <f>IF(AI67&gt;0,IF(AND(ROUND(AI67+AH68-ROUND(AG$6+IF(AG$5=$C68,$E$5+$E68,0),2),2)&gt;0,ROUND(AI67+AH68-ROUND(AG$6+IF(AG$5=$C68,$E$5+$E68,0),2),2)&lt;=AJ68,ROUND(AI67+AH68-ROUND(AG$6+IF(AG$5=$C68,$E$5+$E68,0),2),2)*10&lt;=ROUND(AG$6+IF(AG$5=$C68,$E$5+$E68,0),2)),ROUND(AI67+AH68,2),MIN(ROUND(AG$6+IF(AG$5=$C68,$E$5+$E68,0),2),ROUND(AI67+AH68,2))),0)</f>
        <v>0</v>
      </c>
      <c r="AH68" s="24">
        <f>IF(AI67&gt;0,ROUND(ROUND(AI67*100,0)*ROUND(AG$7*10000,0)/12000000,0)/100,0)</f>
        <v>0</v>
      </c>
      <c r="AI68" s="24">
        <f>IF(AI67&gt;0,ROUND(AI67+AH68-AG68,2),0)</f>
        <v>0</v>
      </c>
      <c r="AJ68" s="24">
        <f>IF(AI67&gt;0,ROUND(AJ67+ROUND(ROUND(AJ67*100,0)*ROUND(AG$7*10000,0)/12000000,0)/100+0.02,2),0)</f>
        <v>0</v>
      </c>
      <c r="AK68" s="24">
        <f>IF(AM67&gt;0,IF(AND(ROUND(AM67+AL68-ROUND(AK$6+IF(AK$5=$C68,$E$5+$E68,0),2),2)&gt;0,ROUND(AM67+AL68-ROUND(AK$6+IF(AK$5=$C68,$E$5+$E68,0),2),2)&lt;=AN68,ROUND(AM67+AL68-ROUND(AK$6+IF(AK$5=$C68,$E$5+$E68,0),2),2)*10&lt;=ROUND(AK$6+IF(AK$5=$C68,$E$5+$E68,0),2)),ROUND(AM67+AL68,2),MIN(ROUND(AK$6+IF(AK$5=$C68,$E$5+$E68,0),2),ROUND(AM67+AL68,2))),0)</f>
        <v>0</v>
      </c>
      <c r="AL68" s="24">
        <f>IF(AM67&gt;0,ROUND(ROUND(AM67*100,0)*ROUND(AK$7*10000,0)/12000000,0)/100,0)</f>
        <v>0</v>
      </c>
      <c r="AM68" s="24">
        <f>IF(AM67&gt;0,ROUND(AM67+AL68-AK68,2),0)</f>
        <v>0</v>
      </c>
      <c r="AN68" s="24">
        <f>IF(AM67&gt;0,ROUND(AN67+ROUND(ROUND(AN67*100,0)*ROUND(AK$7*10000,0)/12000000,0)/100+0.02,2),0)</f>
        <v>0</v>
      </c>
      <c r="AO68" s="24">
        <f>IF(AQ67&gt;0,IF(AND(ROUND(AQ67+AP68-ROUND(AO$6+IF(AO$5=$C68,$E$5+$E68,0),2),2)&gt;0,ROUND(AQ67+AP68-ROUND(AO$6+IF(AO$5=$C68,$E$5+$E68,0),2),2)&lt;=AR68,ROUND(AQ67+AP68-ROUND(AO$6+IF(AO$5=$C68,$E$5+$E68,0),2),2)*10&lt;=ROUND(AO$6+IF(AO$5=$C68,$E$5+$E68,0),2)),ROUND(AQ67+AP68,2),MIN(ROUND(AO$6+IF(AO$5=$C68,$E$5+$E68,0),2),ROUND(AQ67+AP68,2))),0)</f>
        <v>0</v>
      </c>
      <c r="AP68" s="24">
        <f>IF(AQ67&gt;0,ROUND(ROUND(AQ67*100,0)*ROUND(AO$7*10000,0)/12000000,0)/100,0)</f>
        <v>0</v>
      </c>
      <c r="AQ68" s="24">
        <f>IF(AQ67&gt;0,ROUND(AQ67+AP68-AO68,2),0)</f>
        <v>0</v>
      </c>
      <c r="AR68" s="24">
        <f>IF(AQ67&gt;0,ROUND(AR67+ROUND(ROUND(AR67*100,0)*ROUND(AO$7*10000,0)/12000000,0)/100+0.02,2),0)</f>
        <v>0</v>
      </c>
      <c r="AS68" s="24">
        <f>IF(AU67&gt;0,IF(AND(ROUND(AU67+AT68-ROUND(AS$6+IF(AS$5=$C68,$E$5+$E68,0),2),2)&gt;0,ROUND(AU67+AT68-ROUND(AS$6+IF(AS$5=$C68,$E$5+$E68,0),2),2)&lt;=AV68,ROUND(AU67+AT68-ROUND(AS$6+IF(AS$5=$C68,$E$5+$E68,0),2),2)*10&lt;=ROUND(AS$6+IF(AS$5=$C68,$E$5+$E68,0),2)),ROUND(AU67+AT68,2),MIN(ROUND(AS$6+IF(AS$5=$C68,$E$5+$E68,0),2),ROUND(AU67+AT68,2))),0)</f>
        <v>0</v>
      </c>
      <c r="AT68" s="24">
        <f>IF(AU67&gt;0,ROUND(ROUND(AU67*100,0)*ROUND(AS$7*10000,0)/12000000,0)/100,0)</f>
        <v>0</v>
      </c>
      <c r="AU68" s="24">
        <f>IF(AU67&gt;0,ROUND(AU67+AT68-AS68,2),0)</f>
        <v>0</v>
      </c>
      <c r="AV68" s="24">
        <f>IF(AU67&gt;0,ROUND(AV67+ROUND(ROUND(AV67*100,0)*ROUND(AS$7*10000,0)/12000000,0)/100+0.02,2),0)</f>
        <v>0</v>
      </c>
    </row>
    <row r="69" spans="1:48" x14ac:dyDescent="0.25">
      <c r="A69" s="17" t="str">
        <f>IF(F69&gt;0,59,"")</f>
        <v/>
      </c>
      <c r="B69" s="18" t="str">
        <f>IF(F69&gt;0,EDATE($E$6,59),"")</f>
        <v/>
      </c>
      <c r="C69" s="21">
        <f>IF(H68&gt;0,MIN(IF(K68&gt;0,I$5,99),IF(O68&gt;0,M$5,99),IF(S68&gt;0,Q$5,99),IF(W68&gt;0,U$5,99),IF(AA68&gt;0,Y$5,99),IF(AE68&gt;0,AC$5,99),IF(AI68&gt;0,AG$5,99),IF(AM68&gt;0,AK$5,99),IF(AQ68&gt;0,AO$5,99),IF(AU68&gt;0,AS$5,99)),0)</f>
        <v>0</v>
      </c>
      <c r="D69" t="str">
        <f>IF(C69&gt;0,INDEX($I$4:$AV$4,1,MATCH(C69,$I$5:$AV$5,0)),"")</f>
        <v/>
      </c>
      <c r="E69" s="24">
        <f>ROUND(IF(AND(I$8&gt;0,K68=0),I$6,0)+IF(AND(M$8&gt;0,O68=0),M$6,0)+IF(AND(Q$8&gt;0,S68=0),Q$6,0)+IF(AND(U$8&gt;0,W68=0),U$6,0)+IF(AND(Y$8&gt;0,AA68=0),Y$6,0)+IF(AND(AC$8&gt;0,AE68=0),AC$6,0)+IF(AND(AG$8&gt;0,AI68=0),AG$6,0)+IF(AND(AK$8&gt;0,AM68=0),AK$6,0)+IF(AND(AO$8&gt;0,AQ68=0),AO$6,0)+IF(AND(AS$8&gt;0,AU68=0),AS$6,0),2)</f>
        <v>325</v>
      </c>
      <c r="F69" s="24">
        <f>ROUND(I69+M69+Q69+U69+Y69+AC69+AG69+AK69+AO69+AS69,2)</f>
        <v>0</v>
      </c>
      <c r="G69" s="24">
        <f>ROUND(J69+N69+R69+V69+Z69+AD69+AH69+AL69+AP69+AT69,2)</f>
        <v>0</v>
      </c>
      <c r="H69" s="24">
        <f>ROUND(K69+O69+S69+W69+AA69+AE69+AI69+AM69+AQ69+AU69,2)</f>
        <v>0</v>
      </c>
      <c r="I69" s="24">
        <f>IF(K68&gt;0,IF(AND(ROUND(K68+J69-ROUND(I$6+IF(I$5=$C69,$E$5+$E69,0),2),2)&gt;0,ROUND(K68+J69-ROUND(I$6+IF(I$5=$C69,$E$5+$E69,0),2),2)&lt;=L69,ROUND(K68+J69-ROUND(I$6+IF(I$5=$C69,$E$5+$E69,0),2),2)*10&lt;=ROUND(I$6+IF(I$5=$C69,$E$5+$E69,0),2)),ROUND(K68+J69,2),MIN(ROUND(I$6+IF(I$5=$C69,$E$5+$E69,0),2),ROUND(K68+J69,2))),0)</f>
        <v>0</v>
      </c>
      <c r="J69" s="24">
        <f>IF(K68&gt;0,ROUND(ROUND(K68*100,0)*ROUND(I$7*10000,0)/12000000,0)/100,0)</f>
        <v>0</v>
      </c>
      <c r="K69" s="24">
        <f>IF(K68&gt;0,ROUND(K68+J69-I69,2),0)</f>
        <v>0</v>
      </c>
      <c r="L69" s="24">
        <f>IF(K68&gt;0,ROUND(L68+ROUND(ROUND(L68*100,0)*ROUND(I$7*10000,0)/12000000,0)/100+0.02,2),0)</f>
        <v>0</v>
      </c>
      <c r="M69" s="24">
        <f>IF(O68&gt;0,IF(AND(ROUND(O68+N69-ROUND(M$6+IF(M$5=$C69,$E$5+$E69,0),2),2)&gt;0,ROUND(O68+N69-ROUND(M$6+IF(M$5=$C69,$E$5+$E69,0),2),2)&lt;=P69,ROUND(O68+N69-ROUND(M$6+IF(M$5=$C69,$E$5+$E69,0),2),2)*10&lt;=ROUND(M$6+IF(M$5=$C69,$E$5+$E69,0),2)),ROUND(O68+N69,2),MIN(ROUND(M$6+IF(M$5=$C69,$E$5+$E69,0),2),ROUND(O68+N69,2))),0)</f>
        <v>0</v>
      </c>
      <c r="N69" s="24">
        <f>IF(O68&gt;0,ROUND(ROUND(O68*100,0)*ROUND(M$7*10000,0)/12000000,0)/100,0)</f>
        <v>0</v>
      </c>
      <c r="O69" s="24">
        <f>IF(O68&gt;0,ROUND(O68+N69-M69,2),0)</f>
        <v>0</v>
      </c>
      <c r="P69" s="24">
        <f>IF(O68&gt;0,ROUND(P68+ROUND(ROUND(P68*100,0)*ROUND(M$7*10000,0)/12000000,0)/100+0.02,2),0)</f>
        <v>0</v>
      </c>
      <c r="Q69" s="24">
        <f>IF(S68&gt;0,IF(AND(ROUND(S68+R69-ROUND(Q$6+IF(Q$5=$C69,$E$5+$E69,0),2),2)&gt;0,ROUND(S68+R69-ROUND(Q$6+IF(Q$5=$C69,$E$5+$E69,0),2),2)&lt;=T69,ROUND(S68+R69-ROUND(Q$6+IF(Q$5=$C69,$E$5+$E69,0),2),2)*10&lt;=ROUND(Q$6+IF(Q$5=$C69,$E$5+$E69,0),2)),ROUND(S68+R69,2),MIN(ROUND(Q$6+IF(Q$5=$C69,$E$5+$E69,0),2),ROUND(S68+R69,2))),0)</f>
        <v>0</v>
      </c>
      <c r="R69" s="24">
        <f>IF(S68&gt;0,ROUND(ROUND(S68*100,0)*ROUND(Q$7*10000,0)/12000000,0)/100,0)</f>
        <v>0</v>
      </c>
      <c r="S69" s="24">
        <f>IF(S68&gt;0,ROUND(S68+R69-Q69,2),0)</f>
        <v>0</v>
      </c>
      <c r="T69" s="24">
        <f>IF(S68&gt;0,ROUND(T68+ROUND(ROUND(T68*100,0)*ROUND(Q$7*10000,0)/12000000,0)/100+0.02,2),0)</f>
        <v>0</v>
      </c>
      <c r="U69" s="24">
        <f>IF(W68&gt;0,IF(AND(ROUND(W68+V69-ROUND(U$6+IF(U$5=$C69,$E$5+$E69,0),2),2)&gt;0,ROUND(W68+V69-ROUND(U$6+IF(U$5=$C69,$E$5+$E69,0),2),2)&lt;=X69,ROUND(W68+V69-ROUND(U$6+IF(U$5=$C69,$E$5+$E69,0),2),2)*10&lt;=ROUND(U$6+IF(U$5=$C69,$E$5+$E69,0),2)),ROUND(W68+V69,2),MIN(ROUND(U$6+IF(U$5=$C69,$E$5+$E69,0),2),ROUND(W68+V69,2))),0)</f>
        <v>0</v>
      </c>
      <c r="V69" s="24">
        <f>IF(W68&gt;0,ROUND(ROUND(W68*100,0)*ROUND(U$7*10000,0)/12000000,0)/100,0)</f>
        <v>0</v>
      </c>
      <c r="W69" s="24">
        <f>IF(W68&gt;0,ROUND(W68+V69-U69,2),0)</f>
        <v>0</v>
      </c>
      <c r="X69" s="24">
        <f>IF(W68&gt;0,ROUND(X68+ROUND(ROUND(X68*100,0)*ROUND(U$7*10000,0)/12000000,0)/100+0.02,2),0)</f>
        <v>0</v>
      </c>
      <c r="Y69" s="24">
        <f>IF(AA68&gt;0,IF(AND(ROUND(AA68+Z69-ROUND(Y$6+IF(Y$5=$C69,$E$5+$E69,0),2),2)&gt;0,ROUND(AA68+Z69-ROUND(Y$6+IF(Y$5=$C69,$E$5+$E69,0),2),2)&lt;=AB69,ROUND(AA68+Z69-ROUND(Y$6+IF(Y$5=$C69,$E$5+$E69,0),2),2)*10&lt;=ROUND(Y$6+IF(Y$5=$C69,$E$5+$E69,0),2)),ROUND(AA68+Z69,2),MIN(ROUND(Y$6+IF(Y$5=$C69,$E$5+$E69,0),2),ROUND(AA68+Z69,2))),0)</f>
        <v>0</v>
      </c>
      <c r="Z69" s="24">
        <f>IF(AA68&gt;0,ROUND(ROUND(AA68*100,0)*ROUND(Y$7*10000,0)/12000000,0)/100,0)</f>
        <v>0</v>
      </c>
      <c r="AA69" s="24">
        <f>IF(AA68&gt;0,ROUND(AA68+Z69-Y69,2),0)</f>
        <v>0</v>
      </c>
      <c r="AB69" s="24">
        <f>IF(AA68&gt;0,ROUND(AB68+ROUND(ROUND(AB68*100,0)*ROUND(Y$7*10000,0)/12000000,0)/100+0.02,2),0)</f>
        <v>0</v>
      </c>
      <c r="AC69" s="24">
        <f>IF(AE68&gt;0,IF(AND(ROUND(AE68+AD69-ROUND(AC$6+IF(AC$5=$C69,$E$5+$E69,0),2),2)&gt;0,ROUND(AE68+AD69-ROUND(AC$6+IF(AC$5=$C69,$E$5+$E69,0),2),2)&lt;=AF69,ROUND(AE68+AD69-ROUND(AC$6+IF(AC$5=$C69,$E$5+$E69,0),2),2)*10&lt;=ROUND(AC$6+IF(AC$5=$C69,$E$5+$E69,0),2)),ROUND(AE68+AD69,2),MIN(ROUND(AC$6+IF(AC$5=$C69,$E$5+$E69,0),2),ROUND(AE68+AD69,2))),0)</f>
        <v>0</v>
      </c>
      <c r="AD69" s="24">
        <f>IF(AE68&gt;0,ROUND(ROUND(AE68*100,0)*ROUND(AC$7*10000,0)/12000000,0)/100,0)</f>
        <v>0</v>
      </c>
      <c r="AE69" s="24">
        <f>IF(AE68&gt;0,ROUND(AE68+AD69-AC69,2),0)</f>
        <v>0</v>
      </c>
      <c r="AF69" s="24">
        <f>IF(AE68&gt;0,ROUND(AF68+ROUND(ROUND(AF68*100,0)*ROUND(AC$7*10000,0)/12000000,0)/100+0.02,2),0)</f>
        <v>0</v>
      </c>
      <c r="AG69" s="24">
        <f>IF(AI68&gt;0,IF(AND(ROUND(AI68+AH69-ROUND(AG$6+IF(AG$5=$C69,$E$5+$E69,0),2),2)&gt;0,ROUND(AI68+AH69-ROUND(AG$6+IF(AG$5=$C69,$E$5+$E69,0),2),2)&lt;=AJ69,ROUND(AI68+AH69-ROUND(AG$6+IF(AG$5=$C69,$E$5+$E69,0),2),2)*10&lt;=ROUND(AG$6+IF(AG$5=$C69,$E$5+$E69,0),2)),ROUND(AI68+AH69,2),MIN(ROUND(AG$6+IF(AG$5=$C69,$E$5+$E69,0),2),ROUND(AI68+AH69,2))),0)</f>
        <v>0</v>
      </c>
      <c r="AH69" s="24">
        <f>IF(AI68&gt;0,ROUND(ROUND(AI68*100,0)*ROUND(AG$7*10000,0)/12000000,0)/100,0)</f>
        <v>0</v>
      </c>
      <c r="AI69" s="24">
        <f>IF(AI68&gt;0,ROUND(AI68+AH69-AG69,2),0)</f>
        <v>0</v>
      </c>
      <c r="AJ69" s="24">
        <f>IF(AI68&gt;0,ROUND(AJ68+ROUND(ROUND(AJ68*100,0)*ROUND(AG$7*10000,0)/12000000,0)/100+0.02,2),0)</f>
        <v>0</v>
      </c>
      <c r="AK69" s="24">
        <f>IF(AM68&gt;0,IF(AND(ROUND(AM68+AL69-ROUND(AK$6+IF(AK$5=$C69,$E$5+$E69,0),2),2)&gt;0,ROUND(AM68+AL69-ROUND(AK$6+IF(AK$5=$C69,$E$5+$E69,0),2),2)&lt;=AN69,ROUND(AM68+AL69-ROUND(AK$6+IF(AK$5=$C69,$E$5+$E69,0),2),2)*10&lt;=ROUND(AK$6+IF(AK$5=$C69,$E$5+$E69,0),2)),ROUND(AM68+AL69,2),MIN(ROUND(AK$6+IF(AK$5=$C69,$E$5+$E69,0),2),ROUND(AM68+AL69,2))),0)</f>
        <v>0</v>
      </c>
      <c r="AL69" s="24">
        <f>IF(AM68&gt;0,ROUND(ROUND(AM68*100,0)*ROUND(AK$7*10000,0)/12000000,0)/100,0)</f>
        <v>0</v>
      </c>
      <c r="AM69" s="24">
        <f>IF(AM68&gt;0,ROUND(AM68+AL69-AK69,2),0)</f>
        <v>0</v>
      </c>
      <c r="AN69" s="24">
        <f>IF(AM68&gt;0,ROUND(AN68+ROUND(ROUND(AN68*100,0)*ROUND(AK$7*10000,0)/12000000,0)/100+0.02,2),0)</f>
        <v>0</v>
      </c>
      <c r="AO69" s="24">
        <f>IF(AQ68&gt;0,IF(AND(ROUND(AQ68+AP69-ROUND(AO$6+IF(AO$5=$C69,$E$5+$E69,0),2),2)&gt;0,ROUND(AQ68+AP69-ROUND(AO$6+IF(AO$5=$C69,$E$5+$E69,0),2),2)&lt;=AR69,ROUND(AQ68+AP69-ROUND(AO$6+IF(AO$5=$C69,$E$5+$E69,0),2),2)*10&lt;=ROUND(AO$6+IF(AO$5=$C69,$E$5+$E69,0),2)),ROUND(AQ68+AP69,2),MIN(ROUND(AO$6+IF(AO$5=$C69,$E$5+$E69,0),2),ROUND(AQ68+AP69,2))),0)</f>
        <v>0</v>
      </c>
      <c r="AP69" s="24">
        <f>IF(AQ68&gt;0,ROUND(ROUND(AQ68*100,0)*ROUND(AO$7*10000,0)/12000000,0)/100,0)</f>
        <v>0</v>
      </c>
      <c r="AQ69" s="24">
        <f>IF(AQ68&gt;0,ROUND(AQ68+AP69-AO69,2),0)</f>
        <v>0</v>
      </c>
      <c r="AR69" s="24">
        <f>IF(AQ68&gt;0,ROUND(AR68+ROUND(ROUND(AR68*100,0)*ROUND(AO$7*10000,0)/12000000,0)/100+0.02,2),0)</f>
        <v>0</v>
      </c>
      <c r="AS69" s="24">
        <f>IF(AU68&gt;0,IF(AND(ROUND(AU68+AT69-ROUND(AS$6+IF(AS$5=$C69,$E$5+$E69,0),2),2)&gt;0,ROUND(AU68+AT69-ROUND(AS$6+IF(AS$5=$C69,$E$5+$E69,0),2),2)&lt;=AV69,ROUND(AU68+AT69-ROUND(AS$6+IF(AS$5=$C69,$E$5+$E69,0),2),2)*10&lt;=ROUND(AS$6+IF(AS$5=$C69,$E$5+$E69,0),2)),ROUND(AU68+AT69,2),MIN(ROUND(AS$6+IF(AS$5=$C69,$E$5+$E69,0),2),ROUND(AU68+AT69,2))),0)</f>
        <v>0</v>
      </c>
      <c r="AT69" s="24">
        <f>IF(AU68&gt;0,ROUND(ROUND(AU68*100,0)*ROUND(AS$7*10000,0)/12000000,0)/100,0)</f>
        <v>0</v>
      </c>
      <c r="AU69" s="24">
        <f>IF(AU68&gt;0,ROUND(AU68+AT69-AS69,2),0)</f>
        <v>0</v>
      </c>
      <c r="AV69" s="24">
        <f>IF(AU68&gt;0,ROUND(AV68+ROUND(ROUND(AV68*100,0)*ROUND(AS$7*10000,0)/12000000,0)/100+0.02,2),0)</f>
        <v>0</v>
      </c>
    </row>
    <row r="70" spans="1:48" x14ac:dyDescent="0.25">
      <c r="A70" s="17" t="str">
        <f>IF(F70&gt;0,60,"")</f>
        <v/>
      </c>
      <c r="B70" s="18" t="str">
        <f>IF(F70&gt;0,EDATE($E$6,60),"")</f>
        <v/>
      </c>
      <c r="C70" s="21">
        <f>IF(H69&gt;0,MIN(IF(K69&gt;0,I$5,99),IF(O69&gt;0,M$5,99),IF(S69&gt;0,Q$5,99),IF(W69&gt;0,U$5,99),IF(AA69&gt;0,Y$5,99),IF(AE69&gt;0,AC$5,99),IF(AI69&gt;0,AG$5,99),IF(AM69&gt;0,AK$5,99),IF(AQ69&gt;0,AO$5,99),IF(AU69&gt;0,AS$5,99)),0)</f>
        <v>0</v>
      </c>
      <c r="D70" t="str">
        <f>IF(C70&gt;0,INDEX($I$4:$AV$4,1,MATCH(C70,$I$5:$AV$5,0)),"")</f>
        <v/>
      </c>
      <c r="E70" s="24">
        <f>ROUND(IF(AND(I$8&gt;0,K69=0),I$6,0)+IF(AND(M$8&gt;0,O69=0),M$6,0)+IF(AND(Q$8&gt;0,S69=0),Q$6,0)+IF(AND(U$8&gt;0,W69=0),U$6,0)+IF(AND(Y$8&gt;0,AA69=0),Y$6,0)+IF(AND(AC$8&gt;0,AE69=0),AC$6,0)+IF(AND(AG$8&gt;0,AI69=0),AG$6,0)+IF(AND(AK$8&gt;0,AM69=0),AK$6,0)+IF(AND(AO$8&gt;0,AQ69=0),AO$6,0)+IF(AND(AS$8&gt;0,AU69=0),AS$6,0),2)</f>
        <v>325</v>
      </c>
      <c r="F70" s="24">
        <f>ROUND(I70+M70+Q70+U70+Y70+AC70+AG70+AK70+AO70+AS70,2)</f>
        <v>0</v>
      </c>
      <c r="G70" s="24">
        <f>ROUND(J70+N70+R70+V70+Z70+AD70+AH70+AL70+AP70+AT70,2)</f>
        <v>0</v>
      </c>
      <c r="H70" s="24">
        <f>ROUND(K70+O70+S70+W70+AA70+AE70+AI70+AM70+AQ70+AU70,2)</f>
        <v>0</v>
      </c>
      <c r="I70" s="24">
        <f>IF(K69&gt;0,IF(AND(ROUND(K69+J70-ROUND(I$6+IF(I$5=$C70,$E$5+$E70,0),2),2)&gt;0,ROUND(K69+J70-ROUND(I$6+IF(I$5=$C70,$E$5+$E70,0),2),2)&lt;=L70,ROUND(K69+J70-ROUND(I$6+IF(I$5=$C70,$E$5+$E70,0),2),2)*10&lt;=ROUND(I$6+IF(I$5=$C70,$E$5+$E70,0),2)),ROUND(K69+J70,2),MIN(ROUND(I$6+IF(I$5=$C70,$E$5+$E70,0),2),ROUND(K69+J70,2))),0)</f>
        <v>0</v>
      </c>
      <c r="J70" s="24">
        <f>IF(K69&gt;0,ROUND(ROUND(K69*100,0)*ROUND(I$7*10000,0)/12000000,0)/100,0)</f>
        <v>0</v>
      </c>
      <c r="K70" s="24">
        <f>IF(K69&gt;0,ROUND(K69+J70-I70,2),0)</f>
        <v>0</v>
      </c>
      <c r="L70" s="24">
        <f>IF(K69&gt;0,ROUND(L69+ROUND(ROUND(L69*100,0)*ROUND(I$7*10000,0)/12000000,0)/100+0.02,2),0)</f>
        <v>0</v>
      </c>
      <c r="M70" s="24">
        <f>IF(O69&gt;0,IF(AND(ROUND(O69+N70-ROUND(M$6+IF(M$5=$C70,$E$5+$E70,0),2),2)&gt;0,ROUND(O69+N70-ROUND(M$6+IF(M$5=$C70,$E$5+$E70,0),2),2)&lt;=P70,ROUND(O69+N70-ROUND(M$6+IF(M$5=$C70,$E$5+$E70,0),2),2)*10&lt;=ROUND(M$6+IF(M$5=$C70,$E$5+$E70,0),2)),ROUND(O69+N70,2),MIN(ROUND(M$6+IF(M$5=$C70,$E$5+$E70,0),2),ROUND(O69+N70,2))),0)</f>
        <v>0</v>
      </c>
      <c r="N70" s="24">
        <f>IF(O69&gt;0,ROUND(ROUND(O69*100,0)*ROUND(M$7*10000,0)/12000000,0)/100,0)</f>
        <v>0</v>
      </c>
      <c r="O70" s="24">
        <f>IF(O69&gt;0,ROUND(O69+N70-M70,2),0)</f>
        <v>0</v>
      </c>
      <c r="P70" s="24">
        <f>IF(O69&gt;0,ROUND(P69+ROUND(ROUND(P69*100,0)*ROUND(M$7*10000,0)/12000000,0)/100+0.02,2),0)</f>
        <v>0</v>
      </c>
      <c r="Q70" s="24">
        <f>IF(S69&gt;0,IF(AND(ROUND(S69+R70-ROUND(Q$6+IF(Q$5=$C70,$E$5+$E70,0),2),2)&gt;0,ROUND(S69+R70-ROUND(Q$6+IF(Q$5=$C70,$E$5+$E70,0),2),2)&lt;=T70,ROUND(S69+R70-ROUND(Q$6+IF(Q$5=$C70,$E$5+$E70,0),2),2)*10&lt;=ROUND(Q$6+IF(Q$5=$C70,$E$5+$E70,0),2)),ROUND(S69+R70,2),MIN(ROUND(Q$6+IF(Q$5=$C70,$E$5+$E70,0),2),ROUND(S69+R70,2))),0)</f>
        <v>0</v>
      </c>
      <c r="R70" s="24">
        <f>IF(S69&gt;0,ROUND(ROUND(S69*100,0)*ROUND(Q$7*10000,0)/12000000,0)/100,0)</f>
        <v>0</v>
      </c>
      <c r="S70" s="24">
        <f>IF(S69&gt;0,ROUND(S69+R70-Q70,2),0)</f>
        <v>0</v>
      </c>
      <c r="T70" s="24">
        <f>IF(S69&gt;0,ROUND(T69+ROUND(ROUND(T69*100,0)*ROUND(Q$7*10000,0)/12000000,0)/100+0.02,2),0)</f>
        <v>0</v>
      </c>
      <c r="U70" s="24">
        <f>IF(W69&gt;0,IF(AND(ROUND(W69+V70-ROUND(U$6+IF(U$5=$C70,$E$5+$E70,0),2),2)&gt;0,ROUND(W69+V70-ROUND(U$6+IF(U$5=$C70,$E$5+$E70,0),2),2)&lt;=X70,ROUND(W69+V70-ROUND(U$6+IF(U$5=$C70,$E$5+$E70,0),2),2)*10&lt;=ROUND(U$6+IF(U$5=$C70,$E$5+$E70,0),2)),ROUND(W69+V70,2),MIN(ROUND(U$6+IF(U$5=$C70,$E$5+$E70,0),2),ROUND(W69+V70,2))),0)</f>
        <v>0</v>
      </c>
      <c r="V70" s="24">
        <f>IF(W69&gt;0,ROUND(ROUND(W69*100,0)*ROUND(U$7*10000,0)/12000000,0)/100,0)</f>
        <v>0</v>
      </c>
      <c r="W70" s="24">
        <f>IF(W69&gt;0,ROUND(W69+V70-U70,2),0)</f>
        <v>0</v>
      </c>
      <c r="X70" s="24">
        <f>IF(W69&gt;0,ROUND(X69+ROUND(ROUND(X69*100,0)*ROUND(U$7*10000,0)/12000000,0)/100+0.02,2),0)</f>
        <v>0</v>
      </c>
      <c r="Y70" s="24">
        <f>IF(AA69&gt;0,IF(AND(ROUND(AA69+Z70-ROUND(Y$6+IF(Y$5=$C70,$E$5+$E70,0),2),2)&gt;0,ROUND(AA69+Z70-ROUND(Y$6+IF(Y$5=$C70,$E$5+$E70,0),2),2)&lt;=AB70,ROUND(AA69+Z70-ROUND(Y$6+IF(Y$5=$C70,$E$5+$E70,0),2),2)*10&lt;=ROUND(Y$6+IF(Y$5=$C70,$E$5+$E70,0),2)),ROUND(AA69+Z70,2),MIN(ROUND(Y$6+IF(Y$5=$C70,$E$5+$E70,0),2),ROUND(AA69+Z70,2))),0)</f>
        <v>0</v>
      </c>
      <c r="Z70" s="24">
        <f>IF(AA69&gt;0,ROUND(ROUND(AA69*100,0)*ROUND(Y$7*10000,0)/12000000,0)/100,0)</f>
        <v>0</v>
      </c>
      <c r="AA70" s="24">
        <f>IF(AA69&gt;0,ROUND(AA69+Z70-Y70,2),0)</f>
        <v>0</v>
      </c>
      <c r="AB70" s="24">
        <f>IF(AA69&gt;0,ROUND(AB69+ROUND(ROUND(AB69*100,0)*ROUND(Y$7*10000,0)/12000000,0)/100+0.02,2),0)</f>
        <v>0</v>
      </c>
      <c r="AC70" s="24">
        <f>IF(AE69&gt;0,IF(AND(ROUND(AE69+AD70-ROUND(AC$6+IF(AC$5=$C70,$E$5+$E70,0),2),2)&gt;0,ROUND(AE69+AD70-ROUND(AC$6+IF(AC$5=$C70,$E$5+$E70,0),2),2)&lt;=AF70,ROUND(AE69+AD70-ROUND(AC$6+IF(AC$5=$C70,$E$5+$E70,0),2),2)*10&lt;=ROUND(AC$6+IF(AC$5=$C70,$E$5+$E70,0),2)),ROUND(AE69+AD70,2),MIN(ROUND(AC$6+IF(AC$5=$C70,$E$5+$E70,0),2),ROUND(AE69+AD70,2))),0)</f>
        <v>0</v>
      </c>
      <c r="AD70" s="24">
        <f>IF(AE69&gt;0,ROUND(ROUND(AE69*100,0)*ROUND(AC$7*10000,0)/12000000,0)/100,0)</f>
        <v>0</v>
      </c>
      <c r="AE70" s="24">
        <f>IF(AE69&gt;0,ROUND(AE69+AD70-AC70,2),0)</f>
        <v>0</v>
      </c>
      <c r="AF70" s="24">
        <f>IF(AE69&gt;0,ROUND(AF69+ROUND(ROUND(AF69*100,0)*ROUND(AC$7*10000,0)/12000000,0)/100+0.02,2),0)</f>
        <v>0</v>
      </c>
      <c r="AG70" s="24">
        <f>IF(AI69&gt;0,IF(AND(ROUND(AI69+AH70-ROUND(AG$6+IF(AG$5=$C70,$E$5+$E70,0),2),2)&gt;0,ROUND(AI69+AH70-ROUND(AG$6+IF(AG$5=$C70,$E$5+$E70,0),2),2)&lt;=AJ70,ROUND(AI69+AH70-ROUND(AG$6+IF(AG$5=$C70,$E$5+$E70,0),2),2)*10&lt;=ROUND(AG$6+IF(AG$5=$C70,$E$5+$E70,0),2)),ROUND(AI69+AH70,2),MIN(ROUND(AG$6+IF(AG$5=$C70,$E$5+$E70,0),2),ROUND(AI69+AH70,2))),0)</f>
        <v>0</v>
      </c>
      <c r="AH70" s="24">
        <f>IF(AI69&gt;0,ROUND(ROUND(AI69*100,0)*ROUND(AG$7*10000,0)/12000000,0)/100,0)</f>
        <v>0</v>
      </c>
      <c r="AI70" s="24">
        <f>IF(AI69&gt;0,ROUND(AI69+AH70-AG70,2),0)</f>
        <v>0</v>
      </c>
      <c r="AJ70" s="24">
        <f>IF(AI69&gt;0,ROUND(AJ69+ROUND(ROUND(AJ69*100,0)*ROUND(AG$7*10000,0)/12000000,0)/100+0.02,2),0)</f>
        <v>0</v>
      </c>
      <c r="AK70" s="24">
        <f>IF(AM69&gt;0,IF(AND(ROUND(AM69+AL70-ROUND(AK$6+IF(AK$5=$C70,$E$5+$E70,0),2),2)&gt;0,ROUND(AM69+AL70-ROUND(AK$6+IF(AK$5=$C70,$E$5+$E70,0),2),2)&lt;=AN70,ROUND(AM69+AL70-ROUND(AK$6+IF(AK$5=$C70,$E$5+$E70,0),2),2)*10&lt;=ROUND(AK$6+IF(AK$5=$C70,$E$5+$E70,0),2)),ROUND(AM69+AL70,2),MIN(ROUND(AK$6+IF(AK$5=$C70,$E$5+$E70,0),2),ROUND(AM69+AL70,2))),0)</f>
        <v>0</v>
      </c>
      <c r="AL70" s="24">
        <f>IF(AM69&gt;0,ROUND(ROUND(AM69*100,0)*ROUND(AK$7*10000,0)/12000000,0)/100,0)</f>
        <v>0</v>
      </c>
      <c r="AM70" s="24">
        <f>IF(AM69&gt;0,ROUND(AM69+AL70-AK70,2),0)</f>
        <v>0</v>
      </c>
      <c r="AN70" s="24">
        <f>IF(AM69&gt;0,ROUND(AN69+ROUND(ROUND(AN69*100,0)*ROUND(AK$7*10000,0)/12000000,0)/100+0.02,2),0)</f>
        <v>0</v>
      </c>
      <c r="AO70" s="24">
        <f>IF(AQ69&gt;0,IF(AND(ROUND(AQ69+AP70-ROUND(AO$6+IF(AO$5=$C70,$E$5+$E70,0),2),2)&gt;0,ROUND(AQ69+AP70-ROUND(AO$6+IF(AO$5=$C70,$E$5+$E70,0),2),2)&lt;=AR70,ROUND(AQ69+AP70-ROUND(AO$6+IF(AO$5=$C70,$E$5+$E70,0),2),2)*10&lt;=ROUND(AO$6+IF(AO$5=$C70,$E$5+$E70,0),2)),ROUND(AQ69+AP70,2),MIN(ROUND(AO$6+IF(AO$5=$C70,$E$5+$E70,0),2),ROUND(AQ69+AP70,2))),0)</f>
        <v>0</v>
      </c>
      <c r="AP70" s="24">
        <f>IF(AQ69&gt;0,ROUND(ROUND(AQ69*100,0)*ROUND(AO$7*10000,0)/12000000,0)/100,0)</f>
        <v>0</v>
      </c>
      <c r="AQ70" s="24">
        <f>IF(AQ69&gt;0,ROUND(AQ69+AP70-AO70,2),0)</f>
        <v>0</v>
      </c>
      <c r="AR70" s="24">
        <f>IF(AQ69&gt;0,ROUND(AR69+ROUND(ROUND(AR69*100,0)*ROUND(AO$7*10000,0)/12000000,0)/100+0.02,2),0)</f>
        <v>0</v>
      </c>
      <c r="AS70" s="24">
        <f>IF(AU69&gt;0,IF(AND(ROUND(AU69+AT70-ROUND(AS$6+IF(AS$5=$C70,$E$5+$E70,0),2),2)&gt;0,ROUND(AU69+AT70-ROUND(AS$6+IF(AS$5=$C70,$E$5+$E70,0),2),2)&lt;=AV70,ROUND(AU69+AT70-ROUND(AS$6+IF(AS$5=$C70,$E$5+$E70,0),2),2)*10&lt;=ROUND(AS$6+IF(AS$5=$C70,$E$5+$E70,0),2)),ROUND(AU69+AT70,2),MIN(ROUND(AS$6+IF(AS$5=$C70,$E$5+$E70,0),2),ROUND(AU69+AT70,2))),0)</f>
        <v>0</v>
      </c>
      <c r="AT70" s="24">
        <f>IF(AU69&gt;0,ROUND(ROUND(AU69*100,0)*ROUND(AS$7*10000,0)/12000000,0)/100,0)</f>
        <v>0</v>
      </c>
      <c r="AU70" s="24">
        <f>IF(AU69&gt;0,ROUND(AU69+AT70-AS70,2),0)</f>
        <v>0</v>
      </c>
      <c r="AV70" s="24">
        <f>IF(AU69&gt;0,ROUND(AV69+ROUND(ROUND(AV69*100,0)*ROUND(AS$7*10000,0)/12000000,0)/100+0.02,2),0)</f>
        <v>0</v>
      </c>
    </row>
    <row r="71" spans="1:48" x14ac:dyDescent="0.25">
      <c r="A71" s="17" t="str">
        <f>IF(F71&gt;0,61,"")</f>
        <v/>
      </c>
      <c r="B71" s="18" t="str">
        <f>IF(F71&gt;0,EDATE($E$6,61),"")</f>
        <v/>
      </c>
      <c r="C71" s="21">
        <f>IF(H70&gt;0,MIN(IF(K70&gt;0,I$5,99),IF(O70&gt;0,M$5,99),IF(S70&gt;0,Q$5,99),IF(W70&gt;0,U$5,99),IF(AA70&gt;0,Y$5,99),IF(AE70&gt;0,AC$5,99),IF(AI70&gt;0,AG$5,99),IF(AM70&gt;0,AK$5,99),IF(AQ70&gt;0,AO$5,99),IF(AU70&gt;0,AS$5,99)),0)</f>
        <v>0</v>
      </c>
      <c r="D71" t="str">
        <f>IF(C71&gt;0,INDEX($I$4:$AV$4,1,MATCH(C71,$I$5:$AV$5,0)),"")</f>
        <v/>
      </c>
      <c r="E71" s="24">
        <f>ROUND(IF(AND(I$8&gt;0,K70=0),I$6,0)+IF(AND(M$8&gt;0,O70=0),M$6,0)+IF(AND(Q$8&gt;0,S70=0),Q$6,0)+IF(AND(U$8&gt;0,W70=0),U$6,0)+IF(AND(Y$8&gt;0,AA70=0),Y$6,0)+IF(AND(AC$8&gt;0,AE70=0),AC$6,0)+IF(AND(AG$8&gt;0,AI70=0),AG$6,0)+IF(AND(AK$8&gt;0,AM70=0),AK$6,0)+IF(AND(AO$8&gt;0,AQ70=0),AO$6,0)+IF(AND(AS$8&gt;0,AU70=0),AS$6,0),2)</f>
        <v>325</v>
      </c>
      <c r="F71" s="24">
        <f>ROUND(I71+M71+Q71+U71+Y71+AC71+AG71+AK71+AO71+AS71,2)</f>
        <v>0</v>
      </c>
      <c r="G71" s="24">
        <f>ROUND(J71+N71+R71+V71+Z71+AD71+AH71+AL71+AP71+AT71,2)</f>
        <v>0</v>
      </c>
      <c r="H71" s="24">
        <f>ROUND(K71+O71+S71+W71+AA71+AE71+AI71+AM71+AQ71+AU71,2)</f>
        <v>0</v>
      </c>
      <c r="I71" s="24">
        <f>IF(K70&gt;0,IF(AND(ROUND(K70+J71-ROUND(I$6+IF(I$5=$C71,$E$5+$E71,0),2),2)&gt;0,ROUND(K70+J71-ROUND(I$6+IF(I$5=$C71,$E$5+$E71,0),2),2)&lt;=L71,ROUND(K70+J71-ROUND(I$6+IF(I$5=$C71,$E$5+$E71,0),2),2)*10&lt;=ROUND(I$6+IF(I$5=$C71,$E$5+$E71,0),2)),ROUND(K70+J71,2),MIN(ROUND(I$6+IF(I$5=$C71,$E$5+$E71,0),2),ROUND(K70+J71,2))),0)</f>
        <v>0</v>
      </c>
      <c r="J71" s="24">
        <f>IF(K70&gt;0,ROUND(ROUND(K70*100,0)*ROUND(I$7*10000,0)/12000000,0)/100,0)</f>
        <v>0</v>
      </c>
      <c r="K71" s="24">
        <f>IF(K70&gt;0,ROUND(K70+J71-I71,2),0)</f>
        <v>0</v>
      </c>
      <c r="L71" s="24">
        <f>IF(K70&gt;0,ROUND(L70+ROUND(ROUND(L70*100,0)*ROUND(I$7*10000,0)/12000000,0)/100+0.02,2),0)</f>
        <v>0</v>
      </c>
      <c r="M71" s="24">
        <f>IF(O70&gt;0,IF(AND(ROUND(O70+N71-ROUND(M$6+IF(M$5=$C71,$E$5+$E71,0),2),2)&gt;0,ROUND(O70+N71-ROUND(M$6+IF(M$5=$C71,$E$5+$E71,0),2),2)&lt;=P71,ROUND(O70+N71-ROUND(M$6+IF(M$5=$C71,$E$5+$E71,0),2),2)*10&lt;=ROUND(M$6+IF(M$5=$C71,$E$5+$E71,0),2)),ROUND(O70+N71,2),MIN(ROUND(M$6+IF(M$5=$C71,$E$5+$E71,0),2),ROUND(O70+N71,2))),0)</f>
        <v>0</v>
      </c>
      <c r="N71" s="24">
        <f>IF(O70&gt;0,ROUND(ROUND(O70*100,0)*ROUND(M$7*10000,0)/12000000,0)/100,0)</f>
        <v>0</v>
      </c>
      <c r="O71" s="24">
        <f>IF(O70&gt;0,ROUND(O70+N71-M71,2),0)</f>
        <v>0</v>
      </c>
      <c r="P71" s="24">
        <f>IF(O70&gt;0,ROUND(P70+ROUND(ROUND(P70*100,0)*ROUND(M$7*10000,0)/12000000,0)/100+0.02,2),0)</f>
        <v>0</v>
      </c>
      <c r="Q71" s="24">
        <f>IF(S70&gt;0,IF(AND(ROUND(S70+R71-ROUND(Q$6+IF(Q$5=$C71,$E$5+$E71,0),2),2)&gt;0,ROUND(S70+R71-ROUND(Q$6+IF(Q$5=$C71,$E$5+$E71,0),2),2)&lt;=T71,ROUND(S70+R71-ROUND(Q$6+IF(Q$5=$C71,$E$5+$E71,0),2),2)*10&lt;=ROUND(Q$6+IF(Q$5=$C71,$E$5+$E71,0),2)),ROUND(S70+R71,2),MIN(ROUND(Q$6+IF(Q$5=$C71,$E$5+$E71,0),2),ROUND(S70+R71,2))),0)</f>
        <v>0</v>
      </c>
      <c r="R71" s="24">
        <f>IF(S70&gt;0,ROUND(ROUND(S70*100,0)*ROUND(Q$7*10000,0)/12000000,0)/100,0)</f>
        <v>0</v>
      </c>
      <c r="S71" s="24">
        <f>IF(S70&gt;0,ROUND(S70+R71-Q71,2),0)</f>
        <v>0</v>
      </c>
      <c r="T71" s="24">
        <f>IF(S70&gt;0,ROUND(T70+ROUND(ROUND(T70*100,0)*ROUND(Q$7*10000,0)/12000000,0)/100+0.02,2),0)</f>
        <v>0</v>
      </c>
      <c r="U71" s="24">
        <f>IF(W70&gt;0,IF(AND(ROUND(W70+V71-ROUND(U$6+IF(U$5=$C71,$E$5+$E71,0),2),2)&gt;0,ROUND(W70+V71-ROUND(U$6+IF(U$5=$C71,$E$5+$E71,0),2),2)&lt;=X71,ROUND(W70+V71-ROUND(U$6+IF(U$5=$C71,$E$5+$E71,0),2),2)*10&lt;=ROUND(U$6+IF(U$5=$C71,$E$5+$E71,0),2)),ROUND(W70+V71,2),MIN(ROUND(U$6+IF(U$5=$C71,$E$5+$E71,0),2),ROUND(W70+V71,2))),0)</f>
        <v>0</v>
      </c>
      <c r="V71" s="24">
        <f>IF(W70&gt;0,ROUND(ROUND(W70*100,0)*ROUND(U$7*10000,0)/12000000,0)/100,0)</f>
        <v>0</v>
      </c>
      <c r="W71" s="24">
        <f>IF(W70&gt;0,ROUND(W70+V71-U71,2),0)</f>
        <v>0</v>
      </c>
      <c r="X71" s="24">
        <f>IF(W70&gt;0,ROUND(X70+ROUND(ROUND(X70*100,0)*ROUND(U$7*10000,0)/12000000,0)/100+0.02,2),0)</f>
        <v>0</v>
      </c>
      <c r="Y71" s="24">
        <f>IF(AA70&gt;0,IF(AND(ROUND(AA70+Z71-ROUND(Y$6+IF(Y$5=$C71,$E$5+$E71,0),2),2)&gt;0,ROUND(AA70+Z71-ROUND(Y$6+IF(Y$5=$C71,$E$5+$E71,0),2),2)&lt;=AB71,ROUND(AA70+Z71-ROUND(Y$6+IF(Y$5=$C71,$E$5+$E71,0),2),2)*10&lt;=ROUND(Y$6+IF(Y$5=$C71,$E$5+$E71,0),2)),ROUND(AA70+Z71,2),MIN(ROUND(Y$6+IF(Y$5=$C71,$E$5+$E71,0),2),ROUND(AA70+Z71,2))),0)</f>
        <v>0</v>
      </c>
      <c r="Z71" s="24">
        <f>IF(AA70&gt;0,ROUND(ROUND(AA70*100,0)*ROUND(Y$7*10000,0)/12000000,0)/100,0)</f>
        <v>0</v>
      </c>
      <c r="AA71" s="24">
        <f>IF(AA70&gt;0,ROUND(AA70+Z71-Y71,2),0)</f>
        <v>0</v>
      </c>
      <c r="AB71" s="24">
        <f>IF(AA70&gt;0,ROUND(AB70+ROUND(ROUND(AB70*100,0)*ROUND(Y$7*10000,0)/12000000,0)/100+0.02,2),0)</f>
        <v>0</v>
      </c>
      <c r="AC71" s="24">
        <f>IF(AE70&gt;0,IF(AND(ROUND(AE70+AD71-ROUND(AC$6+IF(AC$5=$C71,$E$5+$E71,0),2),2)&gt;0,ROUND(AE70+AD71-ROUND(AC$6+IF(AC$5=$C71,$E$5+$E71,0),2),2)&lt;=AF71,ROUND(AE70+AD71-ROUND(AC$6+IF(AC$5=$C71,$E$5+$E71,0),2),2)*10&lt;=ROUND(AC$6+IF(AC$5=$C71,$E$5+$E71,0),2)),ROUND(AE70+AD71,2),MIN(ROUND(AC$6+IF(AC$5=$C71,$E$5+$E71,0),2),ROUND(AE70+AD71,2))),0)</f>
        <v>0</v>
      </c>
      <c r="AD71" s="24">
        <f>IF(AE70&gt;0,ROUND(ROUND(AE70*100,0)*ROUND(AC$7*10000,0)/12000000,0)/100,0)</f>
        <v>0</v>
      </c>
      <c r="AE71" s="24">
        <f>IF(AE70&gt;0,ROUND(AE70+AD71-AC71,2),0)</f>
        <v>0</v>
      </c>
      <c r="AF71" s="24">
        <f>IF(AE70&gt;0,ROUND(AF70+ROUND(ROUND(AF70*100,0)*ROUND(AC$7*10000,0)/12000000,0)/100+0.02,2),0)</f>
        <v>0</v>
      </c>
      <c r="AG71" s="24">
        <f>IF(AI70&gt;0,IF(AND(ROUND(AI70+AH71-ROUND(AG$6+IF(AG$5=$C71,$E$5+$E71,0),2),2)&gt;0,ROUND(AI70+AH71-ROUND(AG$6+IF(AG$5=$C71,$E$5+$E71,0),2),2)&lt;=AJ71,ROUND(AI70+AH71-ROUND(AG$6+IF(AG$5=$C71,$E$5+$E71,0),2),2)*10&lt;=ROUND(AG$6+IF(AG$5=$C71,$E$5+$E71,0),2)),ROUND(AI70+AH71,2),MIN(ROUND(AG$6+IF(AG$5=$C71,$E$5+$E71,0),2),ROUND(AI70+AH71,2))),0)</f>
        <v>0</v>
      </c>
      <c r="AH71" s="24">
        <f>IF(AI70&gt;0,ROUND(ROUND(AI70*100,0)*ROUND(AG$7*10000,0)/12000000,0)/100,0)</f>
        <v>0</v>
      </c>
      <c r="AI71" s="24">
        <f>IF(AI70&gt;0,ROUND(AI70+AH71-AG71,2),0)</f>
        <v>0</v>
      </c>
      <c r="AJ71" s="24">
        <f>IF(AI70&gt;0,ROUND(AJ70+ROUND(ROUND(AJ70*100,0)*ROUND(AG$7*10000,0)/12000000,0)/100+0.02,2),0)</f>
        <v>0</v>
      </c>
      <c r="AK71" s="24">
        <f>IF(AM70&gt;0,IF(AND(ROUND(AM70+AL71-ROUND(AK$6+IF(AK$5=$C71,$E$5+$E71,0),2),2)&gt;0,ROUND(AM70+AL71-ROUND(AK$6+IF(AK$5=$C71,$E$5+$E71,0),2),2)&lt;=AN71,ROUND(AM70+AL71-ROUND(AK$6+IF(AK$5=$C71,$E$5+$E71,0),2),2)*10&lt;=ROUND(AK$6+IF(AK$5=$C71,$E$5+$E71,0),2)),ROUND(AM70+AL71,2),MIN(ROUND(AK$6+IF(AK$5=$C71,$E$5+$E71,0),2),ROUND(AM70+AL71,2))),0)</f>
        <v>0</v>
      </c>
      <c r="AL71" s="24">
        <f>IF(AM70&gt;0,ROUND(ROUND(AM70*100,0)*ROUND(AK$7*10000,0)/12000000,0)/100,0)</f>
        <v>0</v>
      </c>
      <c r="AM71" s="24">
        <f>IF(AM70&gt;0,ROUND(AM70+AL71-AK71,2),0)</f>
        <v>0</v>
      </c>
      <c r="AN71" s="24">
        <f>IF(AM70&gt;0,ROUND(AN70+ROUND(ROUND(AN70*100,0)*ROUND(AK$7*10000,0)/12000000,0)/100+0.02,2),0)</f>
        <v>0</v>
      </c>
      <c r="AO71" s="24">
        <f>IF(AQ70&gt;0,IF(AND(ROUND(AQ70+AP71-ROUND(AO$6+IF(AO$5=$C71,$E$5+$E71,0),2),2)&gt;0,ROUND(AQ70+AP71-ROUND(AO$6+IF(AO$5=$C71,$E$5+$E71,0),2),2)&lt;=AR71,ROUND(AQ70+AP71-ROUND(AO$6+IF(AO$5=$C71,$E$5+$E71,0),2),2)*10&lt;=ROUND(AO$6+IF(AO$5=$C71,$E$5+$E71,0),2)),ROUND(AQ70+AP71,2),MIN(ROUND(AO$6+IF(AO$5=$C71,$E$5+$E71,0),2),ROUND(AQ70+AP71,2))),0)</f>
        <v>0</v>
      </c>
      <c r="AP71" s="24">
        <f>IF(AQ70&gt;0,ROUND(ROUND(AQ70*100,0)*ROUND(AO$7*10000,0)/12000000,0)/100,0)</f>
        <v>0</v>
      </c>
      <c r="AQ71" s="24">
        <f>IF(AQ70&gt;0,ROUND(AQ70+AP71-AO71,2),0)</f>
        <v>0</v>
      </c>
      <c r="AR71" s="24">
        <f>IF(AQ70&gt;0,ROUND(AR70+ROUND(ROUND(AR70*100,0)*ROUND(AO$7*10000,0)/12000000,0)/100+0.02,2),0)</f>
        <v>0</v>
      </c>
      <c r="AS71" s="24">
        <f>IF(AU70&gt;0,IF(AND(ROUND(AU70+AT71-ROUND(AS$6+IF(AS$5=$C71,$E$5+$E71,0),2),2)&gt;0,ROUND(AU70+AT71-ROUND(AS$6+IF(AS$5=$C71,$E$5+$E71,0),2),2)&lt;=AV71,ROUND(AU70+AT71-ROUND(AS$6+IF(AS$5=$C71,$E$5+$E71,0),2),2)*10&lt;=ROUND(AS$6+IF(AS$5=$C71,$E$5+$E71,0),2)),ROUND(AU70+AT71,2),MIN(ROUND(AS$6+IF(AS$5=$C71,$E$5+$E71,0),2),ROUND(AU70+AT71,2))),0)</f>
        <v>0</v>
      </c>
      <c r="AT71" s="24">
        <f>IF(AU70&gt;0,ROUND(ROUND(AU70*100,0)*ROUND(AS$7*10000,0)/12000000,0)/100,0)</f>
        <v>0</v>
      </c>
      <c r="AU71" s="24">
        <f>IF(AU70&gt;0,ROUND(AU70+AT71-AS71,2),0)</f>
        <v>0</v>
      </c>
      <c r="AV71" s="24">
        <f>IF(AU70&gt;0,ROUND(AV70+ROUND(ROUND(AV70*100,0)*ROUND(AS$7*10000,0)/12000000,0)/100+0.02,2),0)</f>
        <v>0</v>
      </c>
    </row>
    <row r="72" spans="1:48" x14ac:dyDescent="0.25">
      <c r="A72" s="17" t="str">
        <f>IF(F72&gt;0,62,"")</f>
        <v/>
      </c>
      <c r="B72" s="18" t="str">
        <f>IF(F72&gt;0,EDATE($E$6,62),"")</f>
        <v/>
      </c>
      <c r="C72" s="21">
        <f>IF(H71&gt;0,MIN(IF(K71&gt;0,I$5,99),IF(O71&gt;0,M$5,99),IF(S71&gt;0,Q$5,99),IF(W71&gt;0,U$5,99),IF(AA71&gt;0,Y$5,99),IF(AE71&gt;0,AC$5,99),IF(AI71&gt;0,AG$5,99),IF(AM71&gt;0,AK$5,99),IF(AQ71&gt;0,AO$5,99),IF(AU71&gt;0,AS$5,99)),0)</f>
        <v>0</v>
      </c>
      <c r="D72" t="str">
        <f>IF(C72&gt;0,INDEX($I$4:$AV$4,1,MATCH(C72,$I$5:$AV$5,0)),"")</f>
        <v/>
      </c>
      <c r="E72" s="24">
        <f>ROUND(IF(AND(I$8&gt;0,K71=0),I$6,0)+IF(AND(M$8&gt;0,O71=0),M$6,0)+IF(AND(Q$8&gt;0,S71=0),Q$6,0)+IF(AND(U$8&gt;0,W71=0),U$6,0)+IF(AND(Y$8&gt;0,AA71=0),Y$6,0)+IF(AND(AC$8&gt;0,AE71=0),AC$6,0)+IF(AND(AG$8&gt;0,AI71=0),AG$6,0)+IF(AND(AK$8&gt;0,AM71=0),AK$6,0)+IF(AND(AO$8&gt;0,AQ71=0),AO$6,0)+IF(AND(AS$8&gt;0,AU71=0),AS$6,0),2)</f>
        <v>325</v>
      </c>
      <c r="F72" s="24">
        <f>ROUND(I72+M72+Q72+U72+Y72+AC72+AG72+AK72+AO72+AS72,2)</f>
        <v>0</v>
      </c>
      <c r="G72" s="24">
        <f>ROUND(J72+N72+R72+V72+Z72+AD72+AH72+AL72+AP72+AT72,2)</f>
        <v>0</v>
      </c>
      <c r="H72" s="24">
        <f>ROUND(K72+O72+S72+W72+AA72+AE72+AI72+AM72+AQ72+AU72,2)</f>
        <v>0</v>
      </c>
      <c r="I72" s="24">
        <f>IF(K71&gt;0,IF(AND(ROUND(K71+J72-ROUND(I$6+IF(I$5=$C72,$E$5+$E72,0),2),2)&gt;0,ROUND(K71+J72-ROUND(I$6+IF(I$5=$C72,$E$5+$E72,0),2),2)&lt;=L72,ROUND(K71+J72-ROUND(I$6+IF(I$5=$C72,$E$5+$E72,0),2),2)*10&lt;=ROUND(I$6+IF(I$5=$C72,$E$5+$E72,0),2)),ROUND(K71+J72,2),MIN(ROUND(I$6+IF(I$5=$C72,$E$5+$E72,0),2),ROUND(K71+J72,2))),0)</f>
        <v>0</v>
      </c>
      <c r="J72" s="24">
        <f>IF(K71&gt;0,ROUND(ROUND(K71*100,0)*ROUND(I$7*10000,0)/12000000,0)/100,0)</f>
        <v>0</v>
      </c>
      <c r="K72" s="24">
        <f>IF(K71&gt;0,ROUND(K71+J72-I72,2),0)</f>
        <v>0</v>
      </c>
      <c r="L72" s="24">
        <f>IF(K71&gt;0,ROUND(L71+ROUND(ROUND(L71*100,0)*ROUND(I$7*10000,0)/12000000,0)/100+0.02,2),0)</f>
        <v>0</v>
      </c>
      <c r="M72" s="24">
        <f>IF(O71&gt;0,IF(AND(ROUND(O71+N72-ROUND(M$6+IF(M$5=$C72,$E$5+$E72,0),2),2)&gt;0,ROUND(O71+N72-ROUND(M$6+IF(M$5=$C72,$E$5+$E72,0),2),2)&lt;=P72,ROUND(O71+N72-ROUND(M$6+IF(M$5=$C72,$E$5+$E72,0),2),2)*10&lt;=ROUND(M$6+IF(M$5=$C72,$E$5+$E72,0),2)),ROUND(O71+N72,2),MIN(ROUND(M$6+IF(M$5=$C72,$E$5+$E72,0),2),ROUND(O71+N72,2))),0)</f>
        <v>0</v>
      </c>
      <c r="N72" s="24">
        <f>IF(O71&gt;0,ROUND(ROUND(O71*100,0)*ROUND(M$7*10000,0)/12000000,0)/100,0)</f>
        <v>0</v>
      </c>
      <c r="O72" s="24">
        <f>IF(O71&gt;0,ROUND(O71+N72-M72,2),0)</f>
        <v>0</v>
      </c>
      <c r="P72" s="24">
        <f>IF(O71&gt;0,ROUND(P71+ROUND(ROUND(P71*100,0)*ROUND(M$7*10000,0)/12000000,0)/100+0.02,2),0)</f>
        <v>0</v>
      </c>
      <c r="Q72" s="24">
        <f>IF(S71&gt;0,IF(AND(ROUND(S71+R72-ROUND(Q$6+IF(Q$5=$C72,$E$5+$E72,0),2),2)&gt;0,ROUND(S71+R72-ROUND(Q$6+IF(Q$5=$C72,$E$5+$E72,0),2),2)&lt;=T72,ROUND(S71+R72-ROUND(Q$6+IF(Q$5=$C72,$E$5+$E72,0),2),2)*10&lt;=ROUND(Q$6+IF(Q$5=$C72,$E$5+$E72,0),2)),ROUND(S71+R72,2),MIN(ROUND(Q$6+IF(Q$5=$C72,$E$5+$E72,0),2),ROUND(S71+R72,2))),0)</f>
        <v>0</v>
      </c>
      <c r="R72" s="24">
        <f>IF(S71&gt;0,ROUND(ROUND(S71*100,0)*ROUND(Q$7*10000,0)/12000000,0)/100,0)</f>
        <v>0</v>
      </c>
      <c r="S72" s="24">
        <f>IF(S71&gt;0,ROUND(S71+R72-Q72,2),0)</f>
        <v>0</v>
      </c>
      <c r="T72" s="24">
        <f>IF(S71&gt;0,ROUND(T71+ROUND(ROUND(T71*100,0)*ROUND(Q$7*10000,0)/12000000,0)/100+0.02,2),0)</f>
        <v>0</v>
      </c>
      <c r="U72" s="24">
        <f>IF(W71&gt;0,IF(AND(ROUND(W71+V72-ROUND(U$6+IF(U$5=$C72,$E$5+$E72,0),2),2)&gt;0,ROUND(W71+V72-ROUND(U$6+IF(U$5=$C72,$E$5+$E72,0),2),2)&lt;=X72,ROUND(W71+V72-ROUND(U$6+IF(U$5=$C72,$E$5+$E72,0),2),2)*10&lt;=ROUND(U$6+IF(U$5=$C72,$E$5+$E72,0),2)),ROUND(W71+V72,2),MIN(ROUND(U$6+IF(U$5=$C72,$E$5+$E72,0),2),ROUND(W71+V72,2))),0)</f>
        <v>0</v>
      </c>
      <c r="V72" s="24">
        <f>IF(W71&gt;0,ROUND(ROUND(W71*100,0)*ROUND(U$7*10000,0)/12000000,0)/100,0)</f>
        <v>0</v>
      </c>
      <c r="W72" s="24">
        <f>IF(W71&gt;0,ROUND(W71+V72-U72,2),0)</f>
        <v>0</v>
      </c>
      <c r="X72" s="24">
        <f>IF(W71&gt;0,ROUND(X71+ROUND(ROUND(X71*100,0)*ROUND(U$7*10000,0)/12000000,0)/100+0.02,2),0)</f>
        <v>0</v>
      </c>
      <c r="Y72" s="24">
        <f>IF(AA71&gt;0,IF(AND(ROUND(AA71+Z72-ROUND(Y$6+IF(Y$5=$C72,$E$5+$E72,0),2),2)&gt;0,ROUND(AA71+Z72-ROUND(Y$6+IF(Y$5=$C72,$E$5+$E72,0),2),2)&lt;=AB72,ROUND(AA71+Z72-ROUND(Y$6+IF(Y$5=$C72,$E$5+$E72,0),2),2)*10&lt;=ROUND(Y$6+IF(Y$5=$C72,$E$5+$E72,0),2)),ROUND(AA71+Z72,2),MIN(ROUND(Y$6+IF(Y$5=$C72,$E$5+$E72,0),2),ROUND(AA71+Z72,2))),0)</f>
        <v>0</v>
      </c>
      <c r="Z72" s="24">
        <f>IF(AA71&gt;0,ROUND(ROUND(AA71*100,0)*ROUND(Y$7*10000,0)/12000000,0)/100,0)</f>
        <v>0</v>
      </c>
      <c r="AA72" s="24">
        <f>IF(AA71&gt;0,ROUND(AA71+Z72-Y72,2),0)</f>
        <v>0</v>
      </c>
      <c r="AB72" s="24">
        <f>IF(AA71&gt;0,ROUND(AB71+ROUND(ROUND(AB71*100,0)*ROUND(Y$7*10000,0)/12000000,0)/100+0.02,2),0)</f>
        <v>0</v>
      </c>
      <c r="AC72" s="24">
        <f>IF(AE71&gt;0,IF(AND(ROUND(AE71+AD72-ROUND(AC$6+IF(AC$5=$C72,$E$5+$E72,0),2),2)&gt;0,ROUND(AE71+AD72-ROUND(AC$6+IF(AC$5=$C72,$E$5+$E72,0),2),2)&lt;=AF72,ROUND(AE71+AD72-ROUND(AC$6+IF(AC$5=$C72,$E$5+$E72,0),2),2)*10&lt;=ROUND(AC$6+IF(AC$5=$C72,$E$5+$E72,0),2)),ROUND(AE71+AD72,2),MIN(ROUND(AC$6+IF(AC$5=$C72,$E$5+$E72,0),2),ROUND(AE71+AD72,2))),0)</f>
        <v>0</v>
      </c>
      <c r="AD72" s="24">
        <f>IF(AE71&gt;0,ROUND(ROUND(AE71*100,0)*ROUND(AC$7*10000,0)/12000000,0)/100,0)</f>
        <v>0</v>
      </c>
      <c r="AE72" s="24">
        <f>IF(AE71&gt;0,ROUND(AE71+AD72-AC72,2),0)</f>
        <v>0</v>
      </c>
      <c r="AF72" s="24">
        <f>IF(AE71&gt;0,ROUND(AF71+ROUND(ROUND(AF71*100,0)*ROUND(AC$7*10000,0)/12000000,0)/100+0.02,2),0)</f>
        <v>0</v>
      </c>
      <c r="AG72" s="24">
        <f>IF(AI71&gt;0,IF(AND(ROUND(AI71+AH72-ROUND(AG$6+IF(AG$5=$C72,$E$5+$E72,0),2),2)&gt;0,ROUND(AI71+AH72-ROUND(AG$6+IF(AG$5=$C72,$E$5+$E72,0),2),2)&lt;=AJ72,ROUND(AI71+AH72-ROUND(AG$6+IF(AG$5=$C72,$E$5+$E72,0),2),2)*10&lt;=ROUND(AG$6+IF(AG$5=$C72,$E$5+$E72,0),2)),ROUND(AI71+AH72,2),MIN(ROUND(AG$6+IF(AG$5=$C72,$E$5+$E72,0),2),ROUND(AI71+AH72,2))),0)</f>
        <v>0</v>
      </c>
      <c r="AH72" s="24">
        <f>IF(AI71&gt;0,ROUND(ROUND(AI71*100,0)*ROUND(AG$7*10000,0)/12000000,0)/100,0)</f>
        <v>0</v>
      </c>
      <c r="AI72" s="24">
        <f>IF(AI71&gt;0,ROUND(AI71+AH72-AG72,2),0)</f>
        <v>0</v>
      </c>
      <c r="AJ72" s="24">
        <f>IF(AI71&gt;0,ROUND(AJ71+ROUND(ROUND(AJ71*100,0)*ROUND(AG$7*10000,0)/12000000,0)/100+0.02,2),0)</f>
        <v>0</v>
      </c>
      <c r="AK72" s="24">
        <f>IF(AM71&gt;0,IF(AND(ROUND(AM71+AL72-ROUND(AK$6+IF(AK$5=$C72,$E$5+$E72,0),2),2)&gt;0,ROUND(AM71+AL72-ROUND(AK$6+IF(AK$5=$C72,$E$5+$E72,0),2),2)&lt;=AN72,ROUND(AM71+AL72-ROUND(AK$6+IF(AK$5=$C72,$E$5+$E72,0),2),2)*10&lt;=ROUND(AK$6+IF(AK$5=$C72,$E$5+$E72,0),2)),ROUND(AM71+AL72,2),MIN(ROUND(AK$6+IF(AK$5=$C72,$E$5+$E72,0),2),ROUND(AM71+AL72,2))),0)</f>
        <v>0</v>
      </c>
      <c r="AL72" s="24">
        <f>IF(AM71&gt;0,ROUND(ROUND(AM71*100,0)*ROUND(AK$7*10000,0)/12000000,0)/100,0)</f>
        <v>0</v>
      </c>
      <c r="AM72" s="24">
        <f>IF(AM71&gt;0,ROUND(AM71+AL72-AK72,2),0)</f>
        <v>0</v>
      </c>
      <c r="AN72" s="24">
        <f>IF(AM71&gt;0,ROUND(AN71+ROUND(ROUND(AN71*100,0)*ROUND(AK$7*10000,0)/12000000,0)/100+0.02,2),0)</f>
        <v>0</v>
      </c>
      <c r="AO72" s="24">
        <f>IF(AQ71&gt;0,IF(AND(ROUND(AQ71+AP72-ROUND(AO$6+IF(AO$5=$C72,$E$5+$E72,0),2),2)&gt;0,ROUND(AQ71+AP72-ROUND(AO$6+IF(AO$5=$C72,$E$5+$E72,0),2),2)&lt;=AR72,ROUND(AQ71+AP72-ROUND(AO$6+IF(AO$5=$C72,$E$5+$E72,0),2),2)*10&lt;=ROUND(AO$6+IF(AO$5=$C72,$E$5+$E72,0),2)),ROUND(AQ71+AP72,2),MIN(ROUND(AO$6+IF(AO$5=$C72,$E$5+$E72,0),2),ROUND(AQ71+AP72,2))),0)</f>
        <v>0</v>
      </c>
      <c r="AP72" s="24">
        <f>IF(AQ71&gt;0,ROUND(ROUND(AQ71*100,0)*ROUND(AO$7*10000,0)/12000000,0)/100,0)</f>
        <v>0</v>
      </c>
      <c r="AQ72" s="24">
        <f>IF(AQ71&gt;0,ROUND(AQ71+AP72-AO72,2),0)</f>
        <v>0</v>
      </c>
      <c r="AR72" s="24">
        <f>IF(AQ71&gt;0,ROUND(AR71+ROUND(ROUND(AR71*100,0)*ROUND(AO$7*10000,0)/12000000,0)/100+0.02,2),0)</f>
        <v>0</v>
      </c>
      <c r="AS72" s="24">
        <f>IF(AU71&gt;0,IF(AND(ROUND(AU71+AT72-ROUND(AS$6+IF(AS$5=$C72,$E$5+$E72,0),2),2)&gt;0,ROUND(AU71+AT72-ROUND(AS$6+IF(AS$5=$C72,$E$5+$E72,0),2),2)&lt;=AV72,ROUND(AU71+AT72-ROUND(AS$6+IF(AS$5=$C72,$E$5+$E72,0),2),2)*10&lt;=ROUND(AS$6+IF(AS$5=$C72,$E$5+$E72,0),2)),ROUND(AU71+AT72,2),MIN(ROUND(AS$6+IF(AS$5=$C72,$E$5+$E72,0),2),ROUND(AU71+AT72,2))),0)</f>
        <v>0</v>
      </c>
      <c r="AT72" s="24">
        <f>IF(AU71&gt;0,ROUND(ROUND(AU71*100,0)*ROUND(AS$7*10000,0)/12000000,0)/100,0)</f>
        <v>0</v>
      </c>
      <c r="AU72" s="24">
        <f>IF(AU71&gt;0,ROUND(AU71+AT72-AS72,2),0)</f>
        <v>0</v>
      </c>
      <c r="AV72" s="24">
        <f>IF(AU71&gt;0,ROUND(AV71+ROUND(ROUND(AV71*100,0)*ROUND(AS$7*10000,0)/12000000,0)/100+0.02,2),0)</f>
        <v>0</v>
      </c>
    </row>
    <row r="73" spans="1:48" x14ac:dyDescent="0.25">
      <c r="A73" s="17" t="str">
        <f>IF(F73&gt;0,63,"")</f>
        <v/>
      </c>
      <c r="B73" s="18" t="str">
        <f>IF(F73&gt;0,EDATE($E$6,63),"")</f>
        <v/>
      </c>
      <c r="C73" s="21">
        <f>IF(H72&gt;0,MIN(IF(K72&gt;0,I$5,99),IF(O72&gt;0,M$5,99),IF(S72&gt;0,Q$5,99),IF(W72&gt;0,U$5,99),IF(AA72&gt;0,Y$5,99),IF(AE72&gt;0,AC$5,99),IF(AI72&gt;0,AG$5,99),IF(AM72&gt;0,AK$5,99),IF(AQ72&gt;0,AO$5,99),IF(AU72&gt;0,AS$5,99)),0)</f>
        <v>0</v>
      </c>
      <c r="D73" t="str">
        <f>IF(C73&gt;0,INDEX($I$4:$AV$4,1,MATCH(C73,$I$5:$AV$5,0)),"")</f>
        <v/>
      </c>
      <c r="E73" s="24">
        <f>ROUND(IF(AND(I$8&gt;0,K72=0),I$6,0)+IF(AND(M$8&gt;0,O72=0),M$6,0)+IF(AND(Q$8&gt;0,S72=0),Q$6,0)+IF(AND(U$8&gt;0,W72=0),U$6,0)+IF(AND(Y$8&gt;0,AA72=0),Y$6,0)+IF(AND(AC$8&gt;0,AE72=0),AC$6,0)+IF(AND(AG$8&gt;0,AI72=0),AG$6,0)+IF(AND(AK$8&gt;0,AM72=0),AK$6,0)+IF(AND(AO$8&gt;0,AQ72=0),AO$6,0)+IF(AND(AS$8&gt;0,AU72=0),AS$6,0),2)</f>
        <v>325</v>
      </c>
      <c r="F73" s="24">
        <f>ROUND(I73+M73+Q73+U73+Y73+AC73+AG73+AK73+AO73+AS73,2)</f>
        <v>0</v>
      </c>
      <c r="G73" s="24">
        <f>ROUND(J73+N73+R73+V73+Z73+AD73+AH73+AL73+AP73+AT73,2)</f>
        <v>0</v>
      </c>
      <c r="H73" s="24">
        <f>ROUND(K73+O73+S73+W73+AA73+AE73+AI73+AM73+AQ73+AU73,2)</f>
        <v>0</v>
      </c>
      <c r="I73" s="24">
        <f>IF(K72&gt;0,IF(AND(ROUND(K72+J73-ROUND(I$6+IF(I$5=$C73,$E$5+$E73,0),2),2)&gt;0,ROUND(K72+J73-ROUND(I$6+IF(I$5=$C73,$E$5+$E73,0),2),2)&lt;=L73,ROUND(K72+J73-ROUND(I$6+IF(I$5=$C73,$E$5+$E73,0),2),2)*10&lt;=ROUND(I$6+IF(I$5=$C73,$E$5+$E73,0),2)),ROUND(K72+J73,2),MIN(ROUND(I$6+IF(I$5=$C73,$E$5+$E73,0),2),ROUND(K72+J73,2))),0)</f>
        <v>0</v>
      </c>
      <c r="J73" s="24">
        <f>IF(K72&gt;0,ROUND(ROUND(K72*100,0)*ROUND(I$7*10000,0)/12000000,0)/100,0)</f>
        <v>0</v>
      </c>
      <c r="K73" s="24">
        <f>IF(K72&gt;0,ROUND(K72+J73-I73,2),0)</f>
        <v>0</v>
      </c>
      <c r="L73" s="24">
        <f>IF(K72&gt;0,ROUND(L72+ROUND(ROUND(L72*100,0)*ROUND(I$7*10000,0)/12000000,0)/100+0.02,2),0)</f>
        <v>0</v>
      </c>
      <c r="M73" s="24">
        <f>IF(O72&gt;0,IF(AND(ROUND(O72+N73-ROUND(M$6+IF(M$5=$C73,$E$5+$E73,0),2),2)&gt;0,ROUND(O72+N73-ROUND(M$6+IF(M$5=$C73,$E$5+$E73,0),2),2)&lt;=P73,ROUND(O72+N73-ROUND(M$6+IF(M$5=$C73,$E$5+$E73,0),2),2)*10&lt;=ROUND(M$6+IF(M$5=$C73,$E$5+$E73,0),2)),ROUND(O72+N73,2),MIN(ROUND(M$6+IF(M$5=$C73,$E$5+$E73,0),2),ROUND(O72+N73,2))),0)</f>
        <v>0</v>
      </c>
      <c r="N73" s="24">
        <f>IF(O72&gt;0,ROUND(ROUND(O72*100,0)*ROUND(M$7*10000,0)/12000000,0)/100,0)</f>
        <v>0</v>
      </c>
      <c r="O73" s="24">
        <f>IF(O72&gt;0,ROUND(O72+N73-M73,2),0)</f>
        <v>0</v>
      </c>
      <c r="P73" s="24">
        <f>IF(O72&gt;0,ROUND(P72+ROUND(ROUND(P72*100,0)*ROUND(M$7*10000,0)/12000000,0)/100+0.02,2),0)</f>
        <v>0</v>
      </c>
      <c r="Q73" s="24">
        <f>IF(S72&gt;0,IF(AND(ROUND(S72+R73-ROUND(Q$6+IF(Q$5=$C73,$E$5+$E73,0),2),2)&gt;0,ROUND(S72+R73-ROUND(Q$6+IF(Q$5=$C73,$E$5+$E73,0),2),2)&lt;=T73,ROUND(S72+R73-ROUND(Q$6+IF(Q$5=$C73,$E$5+$E73,0),2),2)*10&lt;=ROUND(Q$6+IF(Q$5=$C73,$E$5+$E73,0),2)),ROUND(S72+R73,2),MIN(ROUND(Q$6+IF(Q$5=$C73,$E$5+$E73,0),2),ROUND(S72+R73,2))),0)</f>
        <v>0</v>
      </c>
      <c r="R73" s="24">
        <f>IF(S72&gt;0,ROUND(ROUND(S72*100,0)*ROUND(Q$7*10000,0)/12000000,0)/100,0)</f>
        <v>0</v>
      </c>
      <c r="S73" s="24">
        <f>IF(S72&gt;0,ROUND(S72+R73-Q73,2),0)</f>
        <v>0</v>
      </c>
      <c r="T73" s="24">
        <f>IF(S72&gt;0,ROUND(T72+ROUND(ROUND(T72*100,0)*ROUND(Q$7*10000,0)/12000000,0)/100+0.02,2),0)</f>
        <v>0</v>
      </c>
      <c r="U73" s="24">
        <f>IF(W72&gt;0,IF(AND(ROUND(W72+V73-ROUND(U$6+IF(U$5=$C73,$E$5+$E73,0),2),2)&gt;0,ROUND(W72+V73-ROUND(U$6+IF(U$5=$C73,$E$5+$E73,0),2),2)&lt;=X73,ROUND(W72+V73-ROUND(U$6+IF(U$5=$C73,$E$5+$E73,0),2),2)*10&lt;=ROUND(U$6+IF(U$5=$C73,$E$5+$E73,0),2)),ROUND(W72+V73,2),MIN(ROUND(U$6+IF(U$5=$C73,$E$5+$E73,0),2),ROUND(W72+V73,2))),0)</f>
        <v>0</v>
      </c>
      <c r="V73" s="24">
        <f>IF(W72&gt;0,ROUND(ROUND(W72*100,0)*ROUND(U$7*10000,0)/12000000,0)/100,0)</f>
        <v>0</v>
      </c>
      <c r="W73" s="24">
        <f>IF(W72&gt;0,ROUND(W72+V73-U73,2),0)</f>
        <v>0</v>
      </c>
      <c r="X73" s="24">
        <f>IF(W72&gt;0,ROUND(X72+ROUND(ROUND(X72*100,0)*ROUND(U$7*10000,0)/12000000,0)/100+0.02,2),0)</f>
        <v>0</v>
      </c>
      <c r="Y73" s="24">
        <f>IF(AA72&gt;0,IF(AND(ROUND(AA72+Z73-ROUND(Y$6+IF(Y$5=$C73,$E$5+$E73,0),2),2)&gt;0,ROUND(AA72+Z73-ROUND(Y$6+IF(Y$5=$C73,$E$5+$E73,0),2),2)&lt;=AB73,ROUND(AA72+Z73-ROUND(Y$6+IF(Y$5=$C73,$E$5+$E73,0),2),2)*10&lt;=ROUND(Y$6+IF(Y$5=$C73,$E$5+$E73,0),2)),ROUND(AA72+Z73,2),MIN(ROUND(Y$6+IF(Y$5=$C73,$E$5+$E73,0),2),ROUND(AA72+Z73,2))),0)</f>
        <v>0</v>
      </c>
      <c r="Z73" s="24">
        <f>IF(AA72&gt;0,ROUND(ROUND(AA72*100,0)*ROUND(Y$7*10000,0)/12000000,0)/100,0)</f>
        <v>0</v>
      </c>
      <c r="AA73" s="24">
        <f>IF(AA72&gt;0,ROUND(AA72+Z73-Y73,2),0)</f>
        <v>0</v>
      </c>
      <c r="AB73" s="24">
        <f>IF(AA72&gt;0,ROUND(AB72+ROUND(ROUND(AB72*100,0)*ROUND(Y$7*10000,0)/12000000,0)/100+0.02,2),0)</f>
        <v>0</v>
      </c>
      <c r="AC73" s="24">
        <f>IF(AE72&gt;0,IF(AND(ROUND(AE72+AD73-ROUND(AC$6+IF(AC$5=$C73,$E$5+$E73,0),2),2)&gt;0,ROUND(AE72+AD73-ROUND(AC$6+IF(AC$5=$C73,$E$5+$E73,0),2),2)&lt;=AF73,ROUND(AE72+AD73-ROUND(AC$6+IF(AC$5=$C73,$E$5+$E73,0),2),2)*10&lt;=ROUND(AC$6+IF(AC$5=$C73,$E$5+$E73,0),2)),ROUND(AE72+AD73,2),MIN(ROUND(AC$6+IF(AC$5=$C73,$E$5+$E73,0),2),ROUND(AE72+AD73,2))),0)</f>
        <v>0</v>
      </c>
      <c r="AD73" s="24">
        <f>IF(AE72&gt;0,ROUND(ROUND(AE72*100,0)*ROUND(AC$7*10000,0)/12000000,0)/100,0)</f>
        <v>0</v>
      </c>
      <c r="AE73" s="24">
        <f>IF(AE72&gt;0,ROUND(AE72+AD73-AC73,2),0)</f>
        <v>0</v>
      </c>
      <c r="AF73" s="24">
        <f>IF(AE72&gt;0,ROUND(AF72+ROUND(ROUND(AF72*100,0)*ROUND(AC$7*10000,0)/12000000,0)/100+0.02,2),0)</f>
        <v>0</v>
      </c>
      <c r="AG73" s="24">
        <f>IF(AI72&gt;0,IF(AND(ROUND(AI72+AH73-ROUND(AG$6+IF(AG$5=$C73,$E$5+$E73,0),2),2)&gt;0,ROUND(AI72+AH73-ROUND(AG$6+IF(AG$5=$C73,$E$5+$E73,0),2),2)&lt;=AJ73,ROUND(AI72+AH73-ROUND(AG$6+IF(AG$5=$C73,$E$5+$E73,0),2),2)*10&lt;=ROUND(AG$6+IF(AG$5=$C73,$E$5+$E73,0),2)),ROUND(AI72+AH73,2),MIN(ROUND(AG$6+IF(AG$5=$C73,$E$5+$E73,0),2),ROUND(AI72+AH73,2))),0)</f>
        <v>0</v>
      </c>
      <c r="AH73" s="24">
        <f>IF(AI72&gt;0,ROUND(ROUND(AI72*100,0)*ROUND(AG$7*10000,0)/12000000,0)/100,0)</f>
        <v>0</v>
      </c>
      <c r="AI73" s="24">
        <f>IF(AI72&gt;0,ROUND(AI72+AH73-AG73,2),0)</f>
        <v>0</v>
      </c>
      <c r="AJ73" s="24">
        <f>IF(AI72&gt;0,ROUND(AJ72+ROUND(ROUND(AJ72*100,0)*ROUND(AG$7*10000,0)/12000000,0)/100+0.02,2),0)</f>
        <v>0</v>
      </c>
      <c r="AK73" s="24">
        <f>IF(AM72&gt;0,IF(AND(ROUND(AM72+AL73-ROUND(AK$6+IF(AK$5=$C73,$E$5+$E73,0),2),2)&gt;0,ROUND(AM72+AL73-ROUND(AK$6+IF(AK$5=$C73,$E$5+$E73,0),2),2)&lt;=AN73,ROUND(AM72+AL73-ROUND(AK$6+IF(AK$5=$C73,$E$5+$E73,0),2),2)*10&lt;=ROUND(AK$6+IF(AK$5=$C73,$E$5+$E73,0),2)),ROUND(AM72+AL73,2),MIN(ROUND(AK$6+IF(AK$5=$C73,$E$5+$E73,0),2),ROUND(AM72+AL73,2))),0)</f>
        <v>0</v>
      </c>
      <c r="AL73" s="24">
        <f>IF(AM72&gt;0,ROUND(ROUND(AM72*100,0)*ROUND(AK$7*10000,0)/12000000,0)/100,0)</f>
        <v>0</v>
      </c>
      <c r="AM73" s="24">
        <f>IF(AM72&gt;0,ROUND(AM72+AL73-AK73,2),0)</f>
        <v>0</v>
      </c>
      <c r="AN73" s="24">
        <f>IF(AM72&gt;0,ROUND(AN72+ROUND(ROUND(AN72*100,0)*ROUND(AK$7*10000,0)/12000000,0)/100+0.02,2),0)</f>
        <v>0</v>
      </c>
      <c r="AO73" s="24">
        <f>IF(AQ72&gt;0,IF(AND(ROUND(AQ72+AP73-ROUND(AO$6+IF(AO$5=$C73,$E$5+$E73,0),2),2)&gt;0,ROUND(AQ72+AP73-ROUND(AO$6+IF(AO$5=$C73,$E$5+$E73,0),2),2)&lt;=AR73,ROUND(AQ72+AP73-ROUND(AO$6+IF(AO$5=$C73,$E$5+$E73,0),2),2)*10&lt;=ROUND(AO$6+IF(AO$5=$C73,$E$5+$E73,0),2)),ROUND(AQ72+AP73,2),MIN(ROUND(AO$6+IF(AO$5=$C73,$E$5+$E73,0),2),ROUND(AQ72+AP73,2))),0)</f>
        <v>0</v>
      </c>
      <c r="AP73" s="24">
        <f>IF(AQ72&gt;0,ROUND(ROUND(AQ72*100,0)*ROUND(AO$7*10000,0)/12000000,0)/100,0)</f>
        <v>0</v>
      </c>
      <c r="AQ73" s="24">
        <f>IF(AQ72&gt;0,ROUND(AQ72+AP73-AO73,2),0)</f>
        <v>0</v>
      </c>
      <c r="AR73" s="24">
        <f>IF(AQ72&gt;0,ROUND(AR72+ROUND(ROUND(AR72*100,0)*ROUND(AO$7*10000,0)/12000000,0)/100+0.02,2),0)</f>
        <v>0</v>
      </c>
      <c r="AS73" s="24">
        <f>IF(AU72&gt;0,IF(AND(ROUND(AU72+AT73-ROUND(AS$6+IF(AS$5=$C73,$E$5+$E73,0),2),2)&gt;0,ROUND(AU72+AT73-ROUND(AS$6+IF(AS$5=$C73,$E$5+$E73,0),2),2)&lt;=AV73,ROUND(AU72+AT73-ROUND(AS$6+IF(AS$5=$C73,$E$5+$E73,0),2),2)*10&lt;=ROUND(AS$6+IF(AS$5=$C73,$E$5+$E73,0),2)),ROUND(AU72+AT73,2),MIN(ROUND(AS$6+IF(AS$5=$C73,$E$5+$E73,0),2),ROUND(AU72+AT73,2))),0)</f>
        <v>0</v>
      </c>
      <c r="AT73" s="24">
        <f>IF(AU72&gt;0,ROUND(ROUND(AU72*100,0)*ROUND(AS$7*10000,0)/12000000,0)/100,0)</f>
        <v>0</v>
      </c>
      <c r="AU73" s="24">
        <f>IF(AU72&gt;0,ROUND(AU72+AT73-AS73,2),0)</f>
        <v>0</v>
      </c>
      <c r="AV73" s="24">
        <f>IF(AU72&gt;0,ROUND(AV72+ROUND(ROUND(AV72*100,0)*ROUND(AS$7*10000,0)/12000000,0)/100+0.02,2),0)</f>
        <v>0</v>
      </c>
    </row>
    <row r="74" spans="1:48" x14ac:dyDescent="0.25">
      <c r="A74" s="17" t="str">
        <f>IF(F74&gt;0,64,"")</f>
        <v/>
      </c>
      <c r="B74" s="18" t="str">
        <f>IF(F74&gt;0,EDATE($E$6,64),"")</f>
        <v/>
      </c>
      <c r="C74" s="21">
        <f>IF(H73&gt;0,MIN(IF(K73&gt;0,I$5,99),IF(O73&gt;0,M$5,99),IF(S73&gt;0,Q$5,99),IF(W73&gt;0,U$5,99),IF(AA73&gt;0,Y$5,99),IF(AE73&gt;0,AC$5,99),IF(AI73&gt;0,AG$5,99),IF(AM73&gt;0,AK$5,99),IF(AQ73&gt;0,AO$5,99),IF(AU73&gt;0,AS$5,99)),0)</f>
        <v>0</v>
      </c>
      <c r="D74" t="str">
        <f>IF(C74&gt;0,INDEX($I$4:$AV$4,1,MATCH(C74,$I$5:$AV$5,0)),"")</f>
        <v/>
      </c>
      <c r="E74" s="24">
        <f>ROUND(IF(AND(I$8&gt;0,K73=0),I$6,0)+IF(AND(M$8&gt;0,O73=0),M$6,0)+IF(AND(Q$8&gt;0,S73=0),Q$6,0)+IF(AND(U$8&gt;0,W73=0),U$6,0)+IF(AND(Y$8&gt;0,AA73=0),Y$6,0)+IF(AND(AC$8&gt;0,AE73=0),AC$6,0)+IF(AND(AG$8&gt;0,AI73=0),AG$6,0)+IF(AND(AK$8&gt;0,AM73=0),AK$6,0)+IF(AND(AO$8&gt;0,AQ73=0),AO$6,0)+IF(AND(AS$8&gt;0,AU73=0),AS$6,0),2)</f>
        <v>325</v>
      </c>
      <c r="F74" s="24">
        <f>ROUND(I74+M74+Q74+U74+Y74+AC74+AG74+AK74+AO74+AS74,2)</f>
        <v>0</v>
      </c>
      <c r="G74" s="24">
        <f>ROUND(J74+N74+R74+V74+Z74+AD74+AH74+AL74+AP74+AT74,2)</f>
        <v>0</v>
      </c>
      <c r="H74" s="24">
        <f>ROUND(K74+O74+S74+W74+AA74+AE74+AI74+AM74+AQ74+AU74,2)</f>
        <v>0</v>
      </c>
      <c r="I74" s="24">
        <f>IF(K73&gt;0,IF(AND(ROUND(K73+J74-ROUND(I$6+IF(I$5=$C74,$E$5+$E74,0),2),2)&gt;0,ROUND(K73+J74-ROUND(I$6+IF(I$5=$C74,$E$5+$E74,0),2),2)&lt;=L74,ROUND(K73+J74-ROUND(I$6+IF(I$5=$C74,$E$5+$E74,0),2),2)*10&lt;=ROUND(I$6+IF(I$5=$C74,$E$5+$E74,0),2)),ROUND(K73+J74,2),MIN(ROUND(I$6+IF(I$5=$C74,$E$5+$E74,0),2),ROUND(K73+J74,2))),0)</f>
        <v>0</v>
      </c>
      <c r="J74" s="24">
        <f>IF(K73&gt;0,ROUND(ROUND(K73*100,0)*ROUND(I$7*10000,0)/12000000,0)/100,0)</f>
        <v>0</v>
      </c>
      <c r="K74" s="24">
        <f>IF(K73&gt;0,ROUND(K73+J74-I74,2),0)</f>
        <v>0</v>
      </c>
      <c r="L74" s="24">
        <f>IF(K73&gt;0,ROUND(L73+ROUND(ROUND(L73*100,0)*ROUND(I$7*10000,0)/12000000,0)/100+0.02,2),0)</f>
        <v>0</v>
      </c>
      <c r="M74" s="24">
        <f>IF(O73&gt;0,IF(AND(ROUND(O73+N74-ROUND(M$6+IF(M$5=$C74,$E$5+$E74,0),2),2)&gt;0,ROUND(O73+N74-ROUND(M$6+IF(M$5=$C74,$E$5+$E74,0),2),2)&lt;=P74,ROUND(O73+N74-ROUND(M$6+IF(M$5=$C74,$E$5+$E74,0),2),2)*10&lt;=ROUND(M$6+IF(M$5=$C74,$E$5+$E74,0),2)),ROUND(O73+N74,2),MIN(ROUND(M$6+IF(M$5=$C74,$E$5+$E74,0),2),ROUND(O73+N74,2))),0)</f>
        <v>0</v>
      </c>
      <c r="N74" s="24">
        <f>IF(O73&gt;0,ROUND(ROUND(O73*100,0)*ROUND(M$7*10000,0)/12000000,0)/100,0)</f>
        <v>0</v>
      </c>
      <c r="O74" s="24">
        <f>IF(O73&gt;0,ROUND(O73+N74-M74,2),0)</f>
        <v>0</v>
      </c>
      <c r="P74" s="24">
        <f>IF(O73&gt;0,ROUND(P73+ROUND(ROUND(P73*100,0)*ROUND(M$7*10000,0)/12000000,0)/100+0.02,2),0)</f>
        <v>0</v>
      </c>
      <c r="Q74" s="24">
        <f>IF(S73&gt;0,IF(AND(ROUND(S73+R74-ROUND(Q$6+IF(Q$5=$C74,$E$5+$E74,0),2),2)&gt;0,ROUND(S73+R74-ROUND(Q$6+IF(Q$5=$C74,$E$5+$E74,0),2),2)&lt;=T74,ROUND(S73+R74-ROUND(Q$6+IF(Q$5=$C74,$E$5+$E74,0),2),2)*10&lt;=ROUND(Q$6+IF(Q$5=$C74,$E$5+$E74,0),2)),ROUND(S73+R74,2),MIN(ROUND(Q$6+IF(Q$5=$C74,$E$5+$E74,0),2),ROUND(S73+R74,2))),0)</f>
        <v>0</v>
      </c>
      <c r="R74" s="24">
        <f>IF(S73&gt;0,ROUND(ROUND(S73*100,0)*ROUND(Q$7*10000,0)/12000000,0)/100,0)</f>
        <v>0</v>
      </c>
      <c r="S74" s="24">
        <f>IF(S73&gt;0,ROUND(S73+R74-Q74,2),0)</f>
        <v>0</v>
      </c>
      <c r="T74" s="24">
        <f>IF(S73&gt;0,ROUND(T73+ROUND(ROUND(T73*100,0)*ROUND(Q$7*10000,0)/12000000,0)/100+0.02,2),0)</f>
        <v>0</v>
      </c>
      <c r="U74" s="24">
        <f>IF(W73&gt;0,IF(AND(ROUND(W73+V74-ROUND(U$6+IF(U$5=$C74,$E$5+$E74,0),2),2)&gt;0,ROUND(W73+V74-ROUND(U$6+IF(U$5=$C74,$E$5+$E74,0),2),2)&lt;=X74,ROUND(W73+V74-ROUND(U$6+IF(U$5=$C74,$E$5+$E74,0),2),2)*10&lt;=ROUND(U$6+IF(U$5=$C74,$E$5+$E74,0),2)),ROUND(W73+V74,2),MIN(ROUND(U$6+IF(U$5=$C74,$E$5+$E74,0),2),ROUND(W73+V74,2))),0)</f>
        <v>0</v>
      </c>
      <c r="V74" s="24">
        <f>IF(W73&gt;0,ROUND(ROUND(W73*100,0)*ROUND(U$7*10000,0)/12000000,0)/100,0)</f>
        <v>0</v>
      </c>
      <c r="W74" s="24">
        <f>IF(W73&gt;0,ROUND(W73+V74-U74,2),0)</f>
        <v>0</v>
      </c>
      <c r="X74" s="24">
        <f>IF(W73&gt;0,ROUND(X73+ROUND(ROUND(X73*100,0)*ROUND(U$7*10000,0)/12000000,0)/100+0.02,2),0)</f>
        <v>0</v>
      </c>
      <c r="Y74" s="24">
        <f>IF(AA73&gt;0,IF(AND(ROUND(AA73+Z74-ROUND(Y$6+IF(Y$5=$C74,$E$5+$E74,0),2),2)&gt;0,ROUND(AA73+Z74-ROUND(Y$6+IF(Y$5=$C74,$E$5+$E74,0),2),2)&lt;=AB74,ROUND(AA73+Z74-ROUND(Y$6+IF(Y$5=$C74,$E$5+$E74,0),2),2)*10&lt;=ROUND(Y$6+IF(Y$5=$C74,$E$5+$E74,0),2)),ROUND(AA73+Z74,2),MIN(ROUND(Y$6+IF(Y$5=$C74,$E$5+$E74,0),2),ROUND(AA73+Z74,2))),0)</f>
        <v>0</v>
      </c>
      <c r="Z74" s="24">
        <f>IF(AA73&gt;0,ROUND(ROUND(AA73*100,0)*ROUND(Y$7*10000,0)/12000000,0)/100,0)</f>
        <v>0</v>
      </c>
      <c r="AA74" s="24">
        <f>IF(AA73&gt;0,ROUND(AA73+Z74-Y74,2),0)</f>
        <v>0</v>
      </c>
      <c r="AB74" s="24">
        <f>IF(AA73&gt;0,ROUND(AB73+ROUND(ROUND(AB73*100,0)*ROUND(Y$7*10000,0)/12000000,0)/100+0.02,2),0)</f>
        <v>0</v>
      </c>
      <c r="AC74" s="24">
        <f>IF(AE73&gt;0,IF(AND(ROUND(AE73+AD74-ROUND(AC$6+IF(AC$5=$C74,$E$5+$E74,0),2),2)&gt;0,ROUND(AE73+AD74-ROUND(AC$6+IF(AC$5=$C74,$E$5+$E74,0),2),2)&lt;=AF74,ROUND(AE73+AD74-ROUND(AC$6+IF(AC$5=$C74,$E$5+$E74,0),2),2)*10&lt;=ROUND(AC$6+IF(AC$5=$C74,$E$5+$E74,0),2)),ROUND(AE73+AD74,2),MIN(ROUND(AC$6+IF(AC$5=$C74,$E$5+$E74,0),2),ROUND(AE73+AD74,2))),0)</f>
        <v>0</v>
      </c>
      <c r="AD74" s="24">
        <f>IF(AE73&gt;0,ROUND(ROUND(AE73*100,0)*ROUND(AC$7*10000,0)/12000000,0)/100,0)</f>
        <v>0</v>
      </c>
      <c r="AE74" s="24">
        <f>IF(AE73&gt;0,ROUND(AE73+AD74-AC74,2),0)</f>
        <v>0</v>
      </c>
      <c r="AF74" s="24">
        <f>IF(AE73&gt;0,ROUND(AF73+ROUND(ROUND(AF73*100,0)*ROUND(AC$7*10000,0)/12000000,0)/100+0.02,2),0)</f>
        <v>0</v>
      </c>
      <c r="AG74" s="24">
        <f>IF(AI73&gt;0,IF(AND(ROUND(AI73+AH74-ROUND(AG$6+IF(AG$5=$C74,$E$5+$E74,0),2),2)&gt;0,ROUND(AI73+AH74-ROUND(AG$6+IF(AG$5=$C74,$E$5+$E74,0),2),2)&lt;=AJ74,ROUND(AI73+AH74-ROUND(AG$6+IF(AG$5=$C74,$E$5+$E74,0),2),2)*10&lt;=ROUND(AG$6+IF(AG$5=$C74,$E$5+$E74,0),2)),ROUND(AI73+AH74,2),MIN(ROUND(AG$6+IF(AG$5=$C74,$E$5+$E74,0),2),ROUND(AI73+AH74,2))),0)</f>
        <v>0</v>
      </c>
      <c r="AH74" s="24">
        <f>IF(AI73&gt;0,ROUND(ROUND(AI73*100,0)*ROUND(AG$7*10000,0)/12000000,0)/100,0)</f>
        <v>0</v>
      </c>
      <c r="AI74" s="24">
        <f>IF(AI73&gt;0,ROUND(AI73+AH74-AG74,2),0)</f>
        <v>0</v>
      </c>
      <c r="AJ74" s="24">
        <f>IF(AI73&gt;0,ROUND(AJ73+ROUND(ROUND(AJ73*100,0)*ROUND(AG$7*10000,0)/12000000,0)/100+0.02,2),0)</f>
        <v>0</v>
      </c>
      <c r="AK74" s="24">
        <f>IF(AM73&gt;0,IF(AND(ROUND(AM73+AL74-ROUND(AK$6+IF(AK$5=$C74,$E$5+$E74,0),2),2)&gt;0,ROUND(AM73+AL74-ROUND(AK$6+IF(AK$5=$C74,$E$5+$E74,0),2),2)&lt;=AN74,ROUND(AM73+AL74-ROUND(AK$6+IF(AK$5=$C74,$E$5+$E74,0),2),2)*10&lt;=ROUND(AK$6+IF(AK$5=$C74,$E$5+$E74,0),2)),ROUND(AM73+AL74,2),MIN(ROUND(AK$6+IF(AK$5=$C74,$E$5+$E74,0),2),ROUND(AM73+AL74,2))),0)</f>
        <v>0</v>
      </c>
      <c r="AL74" s="24">
        <f>IF(AM73&gt;0,ROUND(ROUND(AM73*100,0)*ROUND(AK$7*10000,0)/12000000,0)/100,0)</f>
        <v>0</v>
      </c>
      <c r="AM74" s="24">
        <f>IF(AM73&gt;0,ROUND(AM73+AL74-AK74,2),0)</f>
        <v>0</v>
      </c>
      <c r="AN74" s="24">
        <f>IF(AM73&gt;0,ROUND(AN73+ROUND(ROUND(AN73*100,0)*ROUND(AK$7*10000,0)/12000000,0)/100+0.02,2),0)</f>
        <v>0</v>
      </c>
      <c r="AO74" s="24">
        <f>IF(AQ73&gt;0,IF(AND(ROUND(AQ73+AP74-ROUND(AO$6+IF(AO$5=$C74,$E$5+$E74,0),2),2)&gt;0,ROUND(AQ73+AP74-ROUND(AO$6+IF(AO$5=$C74,$E$5+$E74,0),2),2)&lt;=AR74,ROUND(AQ73+AP74-ROUND(AO$6+IF(AO$5=$C74,$E$5+$E74,0),2),2)*10&lt;=ROUND(AO$6+IF(AO$5=$C74,$E$5+$E74,0),2)),ROUND(AQ73+AP74,2),MIN(ROUND(AO$6+IF(AO$5=$C74,$E$5+$E74,0),2),ROUND(AQ73+AP74,2))),0)</f>
        <v>0</v>
      </c>
      <c r="AP74" s="24">
        <f>IF(AQ73&gt;0,ROUND(ROUND(AQ73*100,0)*ROUND(AO$7*10000,0)/12000000,0)/100,0)</f>
        <v>0</v>
      </c>
      <c r="AQ74" s="24">
        <f>IF(AQ73&gt;0,ROUND(AQ73+AP74-AO74,2),0)</f>
        <v>0</v>
      </c>
      <c r="AR74" s="24">
        <f>IF(AQ73&gt;0,ROUND(AR73+ROUND(ROUND(AR73*100,0)*ROUND(AO$7*10000,0)/12000000,0)/100+0.02,2),0)</f>
        <v>0</v>
      </c>
      <c r="AS74" s="24">
        <f>IF(AU73&gt;0,IF(AND(ROUND(AU73+AT74-ROUND(AS$6+IF(AS$5=$C74,$E$5+$E74,0),2),2)&gt;0,ROUND(AU73+AT74-ROUND(AS$6+IF(AS$5=$C74,$E$5+$E74,0),2),2)&lt;=AV74,ROUND(AU73+AT74-ROUND(AS$6+IF(AS$5=$C74,$E$5+$E74,0),2),2)*10&lt;=ROUND(AS$6+IF(AS$5=$C74,$E$5+$E74,0),2)),ROUND(AU73+AT74,2),MIN(ROUND(AS$6+IF(AS$5=$C74,$E$5+$E74,0),2),ROUND(AU73+AT74,2))),0)</f>
        <v>0</v>
      </c>
      <c r="AT74" s="24">
        <f>IF(AU73&gt;0,ROUND(ROUND(AU73*100,0)*ROUND(AS$7*10000,0)/12000000,0)/100,0)</f>
        <v>0</v>
      </c>
      <c r="AU74" s="24">
        <f>IF(AU73&gt;0,ROUND(AU73+AT74-AS74,2),0)</f>
        <v>0</v>
      </c>
      <c r="AV74" s="24">
        <f>IF(AU73&gt;0,ROUND(AV73+ROUND(ROUND(AV73*100,0)*ROUND(AS$7*10000,0)/12000000,0)/100+0.02,2),0)</f>
        <v>0</v>
      </c>
    </row>
    <row r="75" spans="1:48" x14ac:dyDescent="0.25">
      <c r="A75" s="17" t="str">
        <f>IF(F75&gt;0,65,"")</f>
        <v/>
      </c>
      <c r="B75" s="18" t="str">
        <f>IF(F75&gt;0,EDATE($E$6,65),"")</f>
        <v/>
      </c>
      <c r="C75" s="21">
        <f>IF(H74&gt;0,MIN(IF(K74&gt;0,I$5,99),IF(O74&gt;0,M$5,99),IF(S74&gt;0,Q$5,99),IF(W74&gt;0,U$5,99),IF(AA74&gt;0,Y$5,99),IF(AE74&gt;0,AC$5,99),IF(AI74&gt;0,AG$5,99),IF(AM74&gt;0,AK$5,99),IF(AQ74&gt;0,AO$5,99),IF(AU74&gt;0,AS$5,99)),0)</f>
        <v>0</v>
      </c>
      <c r="D75" t="str">
        <f>IF(C75&gt;0,INDEX($I$4:$AV$4,1,MATCH(C75,$I$5:$AV$5,0)),"")</f>
        <v/>
      </c>
      <c r="E75" s="24">
        <f>ROUND(IF(AND(I$8&gt;0,K74=0),I$6,0)+IF(AND(M$8&gt;0,O74=0),M$6,0)+IF(AND(Q$8&gt;0,S74=0),Q$6,0)+IF(AND(U$8&gt;0,W74=0),U$6,0)+IF(AND(Y$8&gt;0,AA74=0),Y$6,0)+IF(AND(AC$8&gt;0,AE74=0),AC$6,0)+IF(AND(AG$8&gt;0,AI74=0),AG$6,0)+IF(AND(AK$8&gt;0,AM74=0),AK$6,0)+IF(AND(AO$8&gt;0,AQ74=0),AO$6,0)+IF(AND(AS$8&gt;0,AU74=0),AS$6,0),2)</f>
        <v>325</v>
      </c>
      <c r="F75" s="24">
        <f>ROUND(I75+M75+Q75+U75+Y75+AC75+AG75+AK75+AO75+AS75,2)</f>
        <v>0</v>
      </c>
      <c r="G75" s="24">
        <f>ROUND(J75+N75+R75+V75+Z75+AD75+AH75+AL75+AP75+AT75,2)</f>
        <v>0</v>
      </c>
      <c r="H75" s="24">
        <f>ROUND(K75+O75+S75+W75+AA75+AE75+AI75+AM75+AQ75+AU75,2)</f>
        <v>0</v>
      </c>
      <c r="I75" s="24">
        <f>IF(K74&gt;0,IF(AND(ROUND(K74+J75-ROUND(I$6+IF(I$5=$C75,$E$5+$E75,0),2),2)&gt;0,ROUND(K74+J75-ROUND(I$6+IF(I$5=$C75,$E$5+$E75,0),2),2)&lt;=L75,ROUND(K74+J75-ROUND(I$6+IF(I$5=$C75,$E$5+$E75,0),2),2)*10&lt;=ROUND(I$6+IF(I$5=$C75,$E$5+$E75,0),2)),ROUND(K74+J75,2),MIN(ROUND(I$6+IF(I$5=$C75,$E$5+$E75,0),2),ROUND(K74+J75,2))),0)</f>
        <v>0</v>
      </c>
      <c r="J75" s="24">
        <f>IF(K74&gt;0,ROUND(ROUND(K74*100,0)*ROUND(I$7*10000,0)/12000000,0)/100,0)</f>
        <v>0</v>
      </c>
      <c r="K75" s="24">
        <f>IF(K74&gt;0,ROUND(K74+J75-I75,2),0)</f>
        <v>0</v>
      </c>
      <c r="L75" s="24">
        <f>IF(K74&gt;0,ROUND(L74+ROUND(ROUND(L74*100,0)*ROUND(I$7*10000,0)/12000000,0)/100+0.02,2),0)</f>
        <v>0</v>
      </c>
      <c r="M75" s="24">
        <f>IF(O74&gt;0,IF(AND(ROUND(O74+N75-ROUND(M$6+IF(M$5=$C75,$E$5+$E75,0),2),2)&gt;0,ROUND(O74+N75-ROUND(M$6+IF(M$5=$C75,$E$5+$E75,0),2),2)&lt;=P75,ROUND(O74+N75-ROUND(M$6+IF(M$5=$C75,$E$5+$E75,0),2),2)*10&lt;=ROUND(M$6+IF(M$5=$C75,$E$5+$E75,0),2)),ROUND(O74+N75,2),MIN(ROUND(M$6+IF(M$5=$C75,$E$5+$E75,0),2),ROUND(O74+N75,2))),0)</f>
        <v>0</v>
      </c>
      <c r="N75" s="24">
        <f>IF(O74&gt;0,ROUND(ROUND(O74*100,0)*ROUND(M$7*10000,0)/12000000,0)/100,0)</f>
        <v>0</v>
      </c>
      <c r="O75" s="24">
        <f>IF(O74&gt;0,ROUND(O74+N75-M75,2),0)</f>
        <v>0</v>
      </c>
      <c r="P75" s="24">
        <f>IF(O74&gt;0,ROUND(P74+ROUND(ROUND(P74*100,0)*ROUND(M$7*10000,0)/12000000,0)/100+0.02,2),0)</f>
        <v>0</v>
      </c>
      <c r="Q75" s="24">
        <f>IF(S74&gt;0,IF(AND(ROUND(S74+R75-ROUND(Q$6+IF(Q$5=$C75,$E$5+$E75,0),2),2)&gt;0,ROUND(S74+R75-ROUND(Q$6+IF(Q$5=$C75,$E$5+$E75,0),2),2)&lt;=T75,ROUND(S74+R75-ROUND(Q$6+IF(Q$5=$C75,$E$5+$E75,0),2),2)*10&lt;=ROUND(Q$6+IF(Q$5=$C75,$E$5+$E75,0),2)),ROUND(S74+R75,2),MIN(ROUND(Q$6+IF(Q$5=$C75,$E$5+$E75,0),2),ROUND(S74+R75,2))),0)</f>
        <v>0</v>
      </c>
      <c r="R75" s="24">
        <f>IF(S74&gt;0,ROUND(ROUND(S74*100,0)*ROUND(Q$7*10000,0)/12000000,0)/100,0)</f>
        <v>0</v>
      </c>
      <c r="S75" s="24">
        <f>IF(S74&gt;0,ROUND(S74+R75-Q75,2),0)</f>
        <v>0</v>
      </c>
      <c r="T75" s="24">
        <f>IF(S74&gt;0,ROUND(T74+ROUND(ROUND(T74*100,0)*ROUND(Q$7*10000,0)/12000000,0)/100+0.02,2),0)</f>
        <v>0</v>
      </c>
      <c r="U75" s="24">
        <f>IF(W74&gt;0,IF(AND(ROUND(W74+V75-ROUND(U$6+IF(U$5=$C75,$E$5+$E75,0),2),2)&gt;0,ROUND(W74+V75-ROUND(U$6+IF(U$5=$C75,$E$5+$E75,0),2),2)&lt;=X75,ROUND(W74+V75-ROUND(U$6+IF(U$5=$C75,$E$5+$E75,0),2),2)*10&lt;=ROUND(U$6+IF(U$5=$C75,$E$5+$E75,0),2)),ROUND(W74+V75,2),MIN(ROUND(U$6+IF(U$5=$C75,$E$5+$E75,0),2),ROUND(W74+V75,2))),0)</f>
        <v>0</v>
      </c>
      <c r="V75" s="24">
        <f>IF(W74&gt;0,ROUND(ROUND(W74*100,0)*ROUND(U$7*10000,0)/12000000,0)/100,0)</f>
        <v>0</v>
      </c>
      <c r="W75" s="24">
        <f>IF(W74&gt;0,ROUND(W74+V75-U75,2),0)</f>
        <v>0</v>
      </c>
      <c r="X75" s="24">
        <f>IF(W74&gt;0,ROUND(X74+ROUND(ROUND(X74*100,0)*ROUND(U$7*10000,0)/12000000,0)/100+0.02,2),0)</f>
        <v>0</v>
      </c>
      <c r="Y75" s="24">
        <f>IF(AA74&gt;0,IF(AND(ROUND(AA74+Z75-ROUND(Y$6+IF(Y$5=$C75,$E$5+$E75,0),2),2)&gt;0,ROUND(AA74+Z75-ROUND(Y$6+IF(Y$5=$C75,$E$5+$E75,0),2),2)&lt;=AB75,ROUND(AA74+Z75-ROUND(Y$6+IF(Y$5=$C75,$E$5+$E75,0),2),2)*10&lt;=ROUND(Y$6+IF(Y$5=$C75,$E$5+$E75,0),2)),ROUND(AA74+Z75,2),MIN(ROUND(Y$6+IF(Y$5=$C75,$E$5+$E75,0),2),ROUND(AA74+Z75,2))),0)</f>
        <v>0</v>
      </c>
      <c r="Z75" s="24">
        <f>IF(AA74&gt;0,ROUND(ROUND(AA74*100,0)*ROUND(Y$7*10000,0)/12000000,0)/100,0)</f>
        <v>0</v>
      </c>
      <c r="AA75" s="24">
        <f>IF(AA74&gt;0,ROUND(AA74+Z75-Y75,2),0)</f>
        <v>0</v>
      </c>
      <c r="AB75" s="24">
        <f>IF(AA74&gt;0,ROUND(AB74+ROUND(ROUND(AB74*100,0)*ROUND(Y$7*10000,0)/12000000,0)/100+0.02,2),0)</f>
        <v>0</v>
      </c>
      <c r="AC75" s="24">
        <f>IF(AE74&gt;0,IF(AND(ROUND(AE74+AD75-ROUND(AC$6+IF(AC$5=$C75,$E$5+$E75,0),2),2)&gt;0,ROUND(AE74+AD75-ROUND(AC$6+IF(AC$5=$C75,$E$5+$E75,0),2),2)&lt;=AF75,ROUND(AE74+AD75-ROUND(AC$6+IF(AC$5=$C75,$E$5+$E75,0),2),2)*10&lt;=ROUND(AC$6+IF(AC$5=$C75,$E$5+$E75,0),2)),ROUND(AE74+AD75,2),MIN(ROUND(AC$6+IF(AC$5=$C75,$E$5+$E75,0),2),ROUND(AE74+AD75,2))),0)</f>
        <v>0</v>
      </c>
      <c r="AD75" s="24">
        <f>IF(AE74&gt;0,ROUND(ROUND(AE74*100,0)*ROUND(AC$7*10000,0)/12000000,0)/100,0)</f>
        <v>0</v>
      </c>
      <c r="AE75" s="24">
        <f>IF(AE74&gt;0,ROUND(AE74+AD75-AC75,2),0)</f>
        <v>0</v>
      </c>
      <c r="AF75" s="24">
        <f>IF(AE74&gt;0,ROUND(AF74+ROUND(ROUND(AF74*100,0)*ROUND(AC$7*10000,0)/12000000,0)/100+0.02,2),0)</f>
        <v>0</v>
      </c>
      <c r="AG75" s="24">
        <f>IF(AI74&gt;0,IF(AND(ROUND(AI74+AH75-ROUND(AG$6+IF(AG$5=$C75,$E$5+$E75,0),2),2)&gt;0,ROUND(AI74+AH75-ROUND(AG$6+IF(AG$5=$C75,$E$5+$E75,0),2),2)&lt;=AJ75,ROUND(AI74+AH75-ROUND(AG$6+IF(AG$5=$C75,$E$5+$E75,0),2),2)*10&lt;=ROUND(AG$6+IF(AG$5=$C75,$E$5+$E75,0),2)),ROUND(AI74+AH75,2),MIN(ROUND(AG$6+IF(AG$5=$C75,$E$5+$E75,0),2),ROUND(AI74+AH75,2))),0)</f>
        <v>0</v>
      </c>
      <c r="AH75" s="24">
        <f>IF(AI74&gt;0,ROUND(ROUND(AI74*100,0)*ROUND(AG$7*10000,0)/12000000,0)/100,0)</f>
        <v>0</v>
      </c>
      <c r="AI75" s="24">
        <f>IF(AI74&gt;0,ROUND(AI74+AH75-AG75,2),0)</f>
        <v>0</v>
      </c>
      <c r="AJ75" s="24">
        <f>IF(AI74&gt;0,ROUND(AJ74+ROUND(ROUND(AJ74*100,0)*ROUND(AG$7*10000,0)/12000000,0)/100+0.02,2),0)</f>
        <v>0</v>
      </c>
      <c r="AK75" s="24">
        <f>IF(AM74&gt;0,IF(AND(ROUND(AM74+AL75-ROUND(AK$6+IF(AK$5=$C75,$E$5+$E75,0),2),2)&gt;0,ROUND(AM74+AL75-ROUND(AK$6+IF(AK$5=$C75,$E$5+$E75,0),2),2)&lt;=AN75,ROUND(AM74+AL75-ROUND(AK$6+IF(AK$5=$C75,$E$5+$E75,0),2),2)*10&lt;=ROUND(AK$6+IF(AK$5=$C75,$E$5+$E75,0),2)),ROUND(AM74+AL75,2),MIN(ROUND(AK$6+IF(AK$5=$C75,$E$5+$E75,0),2),ROUND(AM74+AL75,2))),0)</f>
        <v>0</v>
      </c>
      <c r="AL75" s="24">
        <f>IF(AM74&gt;0,ROUND(ROUND(AM74*100,0)*ROUND(AK$7*10000,0)/12000000,0)/100,0)</f>
        <v>0</v>
      </c>
      <c r="AM75" s="24">
        <f>IF(AM74&gt;0,ROUND(AM74+AL75-AK75,2),0)</f>
        <v>0</v>
      </c>
      <c r="AN75" s="24">
        <f>IF(AM74&gt;0,ROUND(AN74+ROUND(ROUND(AN74*100,0)*ROUND(AK$7*10000,0)/12000000,0)/100+0.02,2),0)</f>
        <v>0</v>
      </c>
      <c r="AO75" s="24">
        <f>IF(AQ74&gt;0,IF(AND(ROUND(AQ74+AP75-ROUND(AO$6+IF(AO$5=$C75,$E$5+$E75,0),2),2)&gt;0,ROUND(AQ74+AP75-ROUND(AO$6+IF(AO$5=$C75,$E$5+$E75,0),2),2)&lt;=AR75,ROUND(AQ74+AP75-ROUND(AO$6+IF(AO$5=$C75,$E$5+$E75,0),2),2)*10&lt;=ROUND(AO$6+IF(AO$5=$C75,$E$5+$E75,0),2)),ROUND(AQ74+AP75,2),MIN(ROUND(AO$6+IF(AO$5=$C75,$E$5+$E75,0),2),ROUND(AQ74+AP75,2))),0)</f>
        <v>0</v>
      </c>
      <c r="AP75" s="24">
        <f>IF(AQ74&gt;0,ROUND(ROUND(AQ74*100,0)*ROUND(AO$7*10000,0)/12000000,0)/100,0)</f>
        <v>0</v>
      </c>
      <c r="AQ75" s="24">
        <f>IF(AQ74&gt;0,ROUND(AQ74+AP75-AO75,2),0)</f>
        <v>0</v>
      </c>
      <c r="AR75" s="24">
        <f>IF(AQ74&gt;0,ROUND(AR74+ROUND(ROUND(AR74*100,0)*ROUND(AO$7*10000,0)/12000000,0)/100+0.02,2),0)</f>
        <v>0</v>
      </c>
      <c r="AS75" s="24">
        <f>IF(AU74&gt;0,IF(AND(ROUND(AU74+AT75-ROUND(AS$6+IF(AS$5=$C75,$E$5+$E75,0),2),2)&gt;0,ROUND(AU74+AT75-ROUND(AS$6+IF(AS$5=$C75,$E$5+$E75,0),2),2)&lt;=AV75,ROUND(AU74+AT75-ROUND(AS$6+IF(AS$5=$C75,$E$5+$E75,0),2),2)*10&lt;=ROUND(AS$6+IF(AS$5=$C75,$E$5+$E75,0),2)),ROUND(AU74+AT75,2),MIN(ROUND(AS$6+IF(AS$5=$C75,$E$5+$E75,0),2),ROUND(AU74+AT75,2))),0)</f>
        <v>0</v>
      </c>
      <c r="AT75" s="24">
        <f>IF(AU74&gt;0,ROUND(ROUND(AU74*100,0)*ROUND(AS$7*10000,0)/12000000,0)/100,0)</f>
        <v>0</v>
      </c>
      <c r="AU75" s="24">
        <f>IF(AU74&gt;0,ROUND(AU74+AT75-AS75,2),0)</f>
        <v>0</v>
      </c>
      <c r="AV75" s="24">
        <f>IF(AU74&gt;0,ROUND(AV74+ROUND(ROUND(AV74*100,0)*ROUND(AS$7*10000,0)/12000000,0)/100+0.02,2),0)</f>
        <v>0</v>
      </c>
    </row>
    <row r="76" spans="1:48" x14ac:dyDescent="0.25">
      <c r="A76" s="17" t="str">
        <f>IF(F76&gt;0,66,"")</f>
        <v/>
      </c>
      <c r="B76" s="18" t="str">
        <f>IF(F76&gt;0,EDATE($E$6,66),"")</f>
        <v/>
      </c>
      <c r="C76" s="21">
        <f>IF(H75&gt;0,MIN(IF(K75&gt;0,I$5,99),IF(O75&gt;0,M$5,99),IF(S75&gt;0,Q$5,99),IF(W75&gt;0,U$5,99),IF(AA75&gt;0,Y$5,99),IF(AE75&gt;0,AC$5,99),IF(AI75&gt;0,AG$5,99),IF(AM75&gt;0,AK$5,99),IF(AQ75&gt;0,AO$5,99),IF(AU75&gt;0,AS$5,99)),0)</f>
        <v>0</v>
      </c>
      <c r="D76" t="str">
        <f>IF(C76&gt;0,INDEX($I$4:$AV$4,1,MATCH(C76,$I$5:$AV$5,0)),"")</f>
        <v/>
      </c>
      <c r="E76" s="24">
        <f>ROUND(IF(AND(I$8&gt;0,K75=0),I$6,0)+IF(AND(M$8&gt;0,O75=0),M$6,0)+IF(AND(Q$8&gt;0,S75=0),Q$6,0)+IF(AND(U$8&gt;0,W75=0),U$6,0)+IF(AND(Y$8&gt;0,AA75=0),Y$6,0)+IF(AND(AC$8&gt;0,AE75=0),AC$6,0)+IF(AND(AG$8&gt;0,AI75=0),AG$6,0)+IF(AND(AK$8&gt;0,AM75=0),AK$6,0)+IF(AND(AO$8&gt;0,AQ75=0),AO$6,0)+IF(AND(AS$8&gt;0,AU75=0),AS$6,0),2)</f>
        <v>325</v>
      </c>
      <c r="F76" s="24">
        <f>ROUND(I76+M76+Q76+U76+Y76+AC76+AG76+AK76+AO76+AS76,2)</f>
        <v>0</v>
      </c>
      <c r="G76" s="24">
        <f>ROUND(J76+N76+R76+V76+Z76+AD76+AH76+AL76+AP76+AT76,2)</f>
        <v>0</v>
      </c>
      <c r="H76" s="24">
        <f>ROUND(K76+O76+S76+W76+AA76+AE76+AI76+AM76+AQ76+AU76,2)</f>
        <v>0</v>
      </c>
      <c r="I76" s="24">
        <f>IF(K75&gt;0,IF(AND(ROUND(K75+J76-ROUND(I$6+IF(I$5=$C76,$E$5+$E76,0),2),2)&gt;0,ROUND(K75+J76-ROUND(I$6+IF(I$5=$C76,$E$5+$E76,0),2),2)&lt;=L76,ROUND(K75+J76-ROUND(I$6+IF(I$5=$C76,$E$5+$E76,0),2),2)*10&lt;=ROUND(I$6+IF(I$5=$C76,$E$5+$E76,0),2)),ROUND(K75+J76,2),MIN(ROUND(I$6+IF(I$5=$C76,$E$5+$E76,0),2),ROUND(K75+J76,2))),0)</f>
        <v>0</v>
      </c>
      <c r="J76" s="24">
        <f>IF(K75&gt;0,ROUND(ROUND(K75*100,0)*ROUND(I$7*10000,0)/12000000,0)/100,0)</f>
        <v>0</v>
      </c>
      <c r="K76" s="24">
        <f>IF(K75&gt;0,ROUND(K75+J76-I76,2),0)</f>
        <v>0</v>
      </c>
      <c r="L76" s="24">
        <f>IF(K75&gt;0,ROUND(L75+ROUND(ROUND(L75*100,0)*ROUND(I$7*10000,0)/12000000,0)/100+0.02,2),0)</f>
        <v>0</v>
      </c>
      <c r="M76" s="24">
        <f>IF(O75&gt;0,IF(AND(ROUND(O75+N76-ROUND(M$6+IF(M$5=$C76,$E$5+$E76,0),2),2)&gt;0,ROUND(O75+N76-ROUND(M$6+IF(M$5=$C76,$E$5+$E76,0),2),2)&lt;=P76,ROUND(O75+N76-ROUND(M$6+IF(M$5=$C76,$E$5+$E76,0),2),2)*10&lt;=ROUND(M$6+IF(M$5=$C76,$E$5+$E76,0),2)),ROUND(O75+N76,2),MIN(ROUND(M$6+IF(M$5=$C76,$E$5+$E76,0),2),ROUND(O75+N76,2))),0)</f>
        <v>0</v>
      </c>
      <c r="N76" s="24">
        <f>IF(O75&gt;0,ROUND(ROUND(O75*100,0)*ROUND(M$7*10000,0)/12000000,0)/100,0)</f>
        <v>0</v>
      </c>
      <c r="O76" s="24">
        <f>IF(O75&gt;0,ROUND(O75+N76-M76,2),0)</f>
        <v>0</v>
      </c>
      <c r="P76" s="24">
        <f>IF(O75&gt;0,ROUND(P75+ROUND(ROUND(P75*100,0)*ROUND(M$7*10000,0)/12000000,0)/100+0.02,2),0)</f>
        <v>0</v>
      </c>
      <c r="Q76" s="24">
        <f>IF(S75&gt;0,IF(AND(ROUND(S75+R76-ROUND(Q$6+IF(Q$5=$C76,$E$5+$E76,0),2),2)&gt;0,ROUND(S75+R76-ROUND(Q$6+IF(Q$5=$C76,$E$5+$E76,0),2),2)&lt;=T76,ROUND(S75+R76-ROUND(Q$6+IF(Q$5=$C76,$E$5+$E76,0),2),2)*10&lt;=ROUND(Q$6+IF(Q$5=$C76,$E$5+$E76,0),2)),ROUND(S75+R76,2),MIN(ROUND(Q$6+IF(Q$5=$C76,$E$5+$E76,0),2),ROUND(S75+R76,2))),0)</f>
        <v>0</v>
      </c>
      <c r="R76" s="24">
        <f>IF(S75&gt;0,ROUND(ROUND(S75*100,0)*ROUND(Q$7*10000,0)/12000000,0)/100,0)</f>
        <v>0</v>
      </c>
      <c r="S76" s="24">
        <f>IF(S75&gt;0,ROUND(S75+R76-Q76,2),0)</f>
        <v>0</v>
      </c>
      <c r="T76" s="24">
        <f>IF(S75&gt;0,ROUND(T75+ROUND(ROUND(T75*100,0)*ROUND(Q$7*10000,0)/12000000,0)/100+0.02,2),0)</f>
        <v>0</v>
      </c>
      <c r="U76" s="24">
        <f>IF(W75&gt;0,IF(AND(ROUND(W75+V76-ROUND(U$6+IF(U$5=$C76,$E$5+$E76,0),2),2)&gt;0,ROUND(W75+V76-ROUND(U$6+IF(U$5=$C76,$E$5+$E76,0),2),2)&lt;=X76,ROUND(W75+V76-ROUND(U$6+IF(U$5=$C76,$E$5+$E76,0),2),2)*10&lt;=ROUND(U$6+IF(U$5=$C76,$E$5+$E76,0),2)),ROUND(W75+V76,2),MIN(ROUND(U$6+IF(U$5=$C76,$E$5+$E76,0),2),ROUND(W75+V76,2))),0)</f>
        <v>0</v>
      </c>
      <c r="V76" s="24">
        <f>IF(W75&gt;0,ROUND(ROUND(W75*100,0)*ROUND(U$7*10000,0)/12000000,0)/100,0)</f>
        <v>0</v>
      </c>
      <c r="W76" s="24">
        <f>IF(W75&gt;0,ROUND(W75+V76-U76,2),0)</f>
        <v>0</v>
      </c>
      <c r="X76" s="24">
        <f>IF(W75&gt;0,ROUND(X75+ROUND(ROUND(X75*100,0)*ROUND(U$7*10000,0)/12000000,0)/100+0.02,2),0)</f>
        <v>0</v>
      </c>
      <c r="Y76" s="24">
        <f>IF(AA75&gt;0,IF(AND(ROUND(AA75+Z76-ROUND(Y$6+IF(Y$5=$C76,$E$5+$E76,0),2),2)&gt;0,ROUND(AA75+Z76-ROUND(Y$6+IF(Y$5=$C76,$E$5+$E76,0),2),2)&lt;=AB76,ROUND(AA75+Z76-ROUND(Y$6+IF(Y$5=$C76,$E$5+$E76,0),2),2)*10&lt;=ROUND(Y$6+IF(Y$5=$C76,$E$5+$E76,0),2)),ROUND(AA75+Z76,2),MIN(ROUND(Y$6+IF(Y$5=$C76,$E$5+$E76,0),2),ROUND(AA75+Z76,2))),0)</f>
        <v>0</v>
      </c>
      <c r="Z76" s="24">
        <f>IF(AA75&gt;0,ROUND(ROUND(AA75*100,0)*ROUND(Y$7*10000,0)/12000000,0)/100,0)</f>
        <v>0</v>
      </c>
      <c r="AA76" s="24">
        <f>IF(AA75&gt;0,ROUND(AA75+Z76-Y76,2),0)</f>
        <v>0</v>
      </c>
      <c r="AB76" s="24">
        <f>IF(AA75&gt;0,ROUND(AB75+ROUND(ROUND(AB75*100,0)*ROUND(Y$7*10000,0)/12000000,0)/100+0.02,2),0)</f>
        <v>0</v>
      </c>
      <c r="AC76" s="24">
        <f>IF(AE75&gt;0,IF(AND(ROUND(AE75+AD76-ROUND(AC$6+IF(AC$5=$C76,$E$5+$E76,0),2),2)&gt;0,ROUND(AE75+AD76-ROUND(AC$6+IF(AC$5=$C76,$E$5+$E76,0),2),2)&lt;=AF76,ROUND(AE75+AD76-ROUND(AC$6+IF(AC$5=$C76,$E$5+$E76,0),2),2)*10&lt;=ROUND(AC$6+IF(AC$5=$C76,$E$5+$E76,0),2)),ROUND(AE75+AD76,2),MIN(ROUND(AC$6+IF(AC$5=$C76,$E$5+$E76,0),2),ROUND(AE75+AD76,2))),0)</f>
        <v>0</v>
      </c>
      <c r="AD76" s="24">
        <f>IF(AE75&gt;0,ROUND(ROUND(AE75*100,0)*ROUND(AC$7*10000,0)/12000000,0)/100,0)</f>
        <v>0</v>
      </c>
      <c r="AE76" s="24">
        <f>IF(AE75&gt;0,ROUND(AE75+AD76-AC76,2),0)</f>
        <v>0</v>
      </c>
      <c r="AF76" s="24">
        <f>IF(AE75&gt;0,ROUND(AF75+ROUND(ROUND(AF75*100,0)*ROUND(AC$7*10000,0)/12000000,0)/100+0.02,2),0)</f>
        <v>0</v>
      </c>
      <c r="AG76" s="24">
        <f>IF(AI75&gt;0,IF(AND(ROUND(AI75+AH76-ROUND(AG$6+IF(AG$5=$C76,$E$5+$E76,0),2),2)&gt;0,ROUND(AI75+AH76-ROUND(AG$6+IF(AG$5=$C76,$E$5+$E76,0),2),2)&lt;=AJ76,ROUND(AI75+AH76-ROUND(AG$6+IF(AG$5=$C76,$E$5+$E76,0),2),2)*10&lt;=ROUND(AG$6+IF(AG$5=$C76,$E$5+$E76,0),2)),ROUND(AI75+AH76,2),MIN(ROUND(AG$6+IF(AG$5=$C76,$E$5+$E76,0),2),ROUND(AI75+AH76,2))),0)</f>
        <v>0</v>
      </c>
      <c r="AH76" s="24">
        <f>IF(AI75&gt;0,ROUND(ROUND(AI75*100,0)*ROUND(AG$7*10000,0)/12000000,0)/100,0)</f>
        <v>0</v>
      </c>
      <c r="AI76" s="24">
        <f>IF(AI75&gt;0,ROUND(AI75+AH76-AG76,2),0)</f>
        <v>0</v>
      </c>
      <c r="AJ76" s="24">
        <f>IF(AI75&gt;0,ROUND(AJ75+ROUND(ROUND(AJ75*100,0)*ROUND(AG$7*10000,0)/12000000,0)/100+0.02,2),0)</f>
        <v>0</v>
      </c>
      <c r="AK76" s="24">
        <f>IF(AM75&gt;0,IF(AND(ROUND(AM75+AL76-ROUND(AK$6+IF(AK$5=$C76,$E$5+$E76,0),2),2)&gt;0,ROUND(AM75+AL76-ROUND(AK$6+IF(AK$5=$C76,$E$5+$E76,0),2),2)&lt;=AN76,ROUND(AM75+AL76-ROUND(AK$6+IF(AK$5=$C76,$E$5+$E76,0),2),2)*10&lt;=ROUND(AK$6+IF(AK$5=$C76,$E$5+$E76,0),2)),ROUND(AM75+AL76,2),MIN(ROUND(AK$6+IF(AK$5=$C76,$E$5+$E76,0),2),ROUND(AM75+AL76,2))),0)</f>
        <v>0</v>
      </c>
      <c r="AL76" s="24">
        <f>IF(AM75&gt;0,ROUND(ROUND(AM75*100,0)*ROUND(AK$7*10000,0)/12000000,0)/100,0)</f>
        <v>0</v>
      </c>
      <c r="AM76" s="24">
        <f>IF(AM75&gt;0,ROUND(AM75+AL76-AK76,2),0)</f>
        <v>0</v>
      </c>
      <c r="AN76" s="24">
        <f>IF(AM75&gt;0,ROUND(AN75+ROUND(ROUND(AN75*100,0)*ROUND(AK$7*10000,0)/12000000,0)/100+0.02,2),0)</f>
        <v>0</v>
      </c>
      <c r="AO76" s="24">
        <f>IF(AQ75&gt;0,IF(AND(ROUND(AQ75+AP76-ROUND(AO$6+IF(AO$5=$C76,$E$5+$E76,0),2),2)&gt;0,ROUND(AQ75+AP76-ROUND(AO$6+IF(AO$5=$C76,$E$5+$E76,0),2),2)&lt;=AR76,ROUND(AQ75+AP76-ROUND(AO$6+IF(AO$5=$C76,$E$5+$E76,0),2),2)*10&lt;=ROUND(AO$6+IF(AO$5=$C76,$E$5+$E76,0),2)),ROUND(AQ75+AP76,2),MIN(ROUND(AO$6+IF(AO$5=$C76,$E$5+$E76,0),2),ROUND(AQ75+AP76,2))),0)</f>
        <v>0</v>
      </c>
      <c r="AP76" s="24">
        <f>IF(AQ75&gt;0,ROUND(ROUND(AQ75*100,0)*ROUND(AO$7*10000,0)/12000000,0)/100,0)</f>
        <v>0</v>
      </c>
      <c r="AQ76" s="24">
        <f>IF(AQ75&gt;0,ROUND(AQ75+AP76-AO76,2),0)</f>
        <v>0</v>
      </c>
      <c r="AR76" s="24">
        <f>IF(AQ75&gt;0,ROUND(AR75+ROUND(ROUND(AR75*100,0)*ROUND(AO$7*10000,0)/12000000,0)/100+0.02,2),0)</f>
        <v>0</v>
      </c>
      <c r="AS76" s="24">
        <f>IF(AU75&gt;0,IF(AND(ROUND(AU75+AT76-ROUND(AS$6+IF(AS$5=$C76,$E$5+$E76,0),2),2)&gt;0,ROUND(AU75+AT76-ROUND(AS$6+IF(AS$5=$C76,$E$5+$E76,0),2),2)&lt;=AV76,ROUND(AU75+AT76-ROUND(AS$6+IF(AS$5=$C76,$E$5+$E76,0),2),2)*10&lt;=ROUND(AS$6+IF(AS$5=$C76,$E$5+$E76,0),2)),ROUND(AU75+AT76,2),MIN(ROUND(AS$6+IF(AS$5=$C76,$E$5+$E76,0),2),ROUND(AU75+AT76,2))),0)</f>
        <v>0</v>
      </c>
      <c r="AT76" s="24">
        <f>IF(AU75&gt;0,ROUND(ROUND(AU75*100,0)*ROUND(AS$7*10000,0)/12000000,0)/100,0)</f>
        <v>0</v>
      </c>
      <c r="AU76" s="24">
        <f>IF(AU75&gt;0,ROUND(AU75+AT76-AS76,2),0)</f>
        <v>0</v>
      </c>
      <c r="AV76" s="24">
        <f>IF(AU75&gt;0,ROUND(AV75+ROUND(ROUND(AV75*100,0)*ROUND(AS$7*10000,0)/12000000,0)/100+0.02,2),0)</f>
        <v>0</v>
      </c>
    </row>
    <row r="77" spans="1:48" x14ac:dyDescent="0.25">
      <c r="A77" s="17" t="str">
        <f>IF(F77&gt;0,67,"")</f>
        <v/>
      </c>
      <c r="B77" s="18" t="str">
        <f>IF(F77&gt;0,EDATE($E$6,67),"")</f>
        <v/>
      </c>
      <c r="C77" s="21">
        <f>IF(H76&gt;0,MIN(IF(K76&gt;0,I$5,99),IF(O76&gt;0,M$5,99),IF(S76&gt;0,Q$5,99),IF(W76&gt;0,U$5,99),IF(AA76&gt;0,Y$5,99),IF(AE76&gt;0,AC$5,99),IF(AI76&gt;0,AG$5,99),IF(AM76&gt;0,AK$5,99),IF(AQ76&gt;0,AO$5,99),IF(AU76&gt;0,AS$5,99)),0)</f>
        <v>0</v>
      </c>
      <c r="D77" t="str">
        <f>IF(C77&gt;0,INDEX($I$4:$AV$4,1,MATCH(C77,$I$5:$AV$5,0)),"")</f>
        <v/>
      </c>
      <c r="E77" s="24">
        <f>ROUND(IF(AND(I$8&gt;0,K76=0),I$6,0)+IF(AND(M$8&gt;0,O76=0),M$6,0)+IF(AND(Q$8&gt;0,S76=0),Q$6,0)+IF(AND(U$8&gt;0,W76=0),U$6,0)+IF(AND(Y$8&gt;0,AA76=0),Y$6,0)+IF(AND(AC$8&gt;0,AE76=0),AC$6,0)+IF(AND(AG$8&gt;0,AI76=0),AG$6,0)+IF(AND(AK$8&gt;0,AM76=0),AK$6,0)+IF(AND(AO$8&gt;0,AQ76=0),AO$6,0)+IF(AND(AS$8&gt;0,AU76=0),AS$6,0),2)</f>
        <v>325</v>
      </c>
      <c r="F77" s="24">
        <f>ROUND(I77+M77+Q77+U77+Y77+AC77+AG77+AK77+AO77+AS77,2)</f>
        <v>0</v>
      </c>
      <c r="G77" s="24">
        <f>ROUND(J77+N77+R77+V77+Z77+AD77+AH77+AL77+AP77+AT77,2)</f>
        <v>0</v>
      </c>
      <c r="H77" s="24">
        <f>ROUND(K77+O77+S77+W77+AA77+AE77+AI77+AM77+AQ77+AU77,2)</f>
        <v>0</v>
      </c>
      <c r="I77" s="24">
        <f>IF(K76&gt;0,IF(AND(ROUND(K76+J77-ROUND(I$6+IF(I$5=$C77,$E$5+$E77,0),2),2)&gt;0,ROUND(K76+J77-ROUND(I$6+IF(I$5=$C77,$E$5+$E77,0),2),2)&lt;=L77,ROUND(K76+J77-ROUND(I$6+IF(I$5=$C77,$E$5+$E77,0),2),2)*10&lt;=ROUND(I$6+IF(I$5=$C77,$E$5+$E77,0),2)),ROUND(K76+J77,2),MIN(ROUND(I$6+IF(I$5=$C77,$E$5+$E77,0),2),ROUND(K76+J77,2))),0)</f>
        <v>0</v>
      </c>
      <c r="J77" s="24">
        <f>IF(K76&gt;0,ROUND(ROUND(K76*100,0)*ROUND(I$7*10000,0)/12000000,0)/100,0)</f>
        <v>0</v>
      </c>
      <c r="K77" s="24">
        <f>IF(K76&gt;0,ROUND(K76+J77-I77,2),0)</f>
        <v>0</v>
      </c>
      <c r="L77" s="24">
        <f>IF(K76&gt;0,ROUND(L76+ROUND(ROUND(L76*100,0)*ROUND(I$7*10000,0)/12000000,0)/100+0.02,2),0)</f>
        <v>0</v>
      </c>
      <c r="M77" s="24">
        <f>IF(O76&gt;0,IF(AND(ROUND(O76+N77-ROUND(M$6+IF(M$5=$C77,$E$5+$E77,0),2),2)&gt;0,ROUND(O76+N77-ROUND(M$6+IF(M$5=$C77,$E$5+$E77,0),2),2)&lt;=P77,ROUND(O76+N77-ROUND(M$6+IF(M$5=$C77,$E$5+$E77,0),2),2)*10&lt;=ROUND(M$6+IF(M$5=$C77,$E$5+$E77,0),2)),ROUND(O76+N77,2),MIN(ROUND(M$6+IF(M$5=$C77,$E$5+$E77,0),2),ROUND(O76+N77,2))),0)</f>
        <v>0</v>
      </c>
      <c r="N77" s="24">
        <f>IF(O76&gt;0,ROUND(ROUND(O76*100,0)*ROUND(M$7*10000,0)/12000000,0)/100,0)</f>
        <v>0</v>
      </c>
      <c r="O77" s="24">
        <f>IF(O76&gt;0,ROUND(O76+N77-M77,2),0)</f>
        <v>0</v>
      </c>
      <c r="P77" s="24">
        <f>IF(O76&gt;0,ROUND(P76+ROUND(ROUND(P76*100,0)*ROUND(M$7*10000,0)/12000000,0)/100+0.02,2),0)</f>
        <v>0</v>
      </c>
      <c r="Q77" s="24">
        <f>IF(S76&gt;0,IF(AND(ROUND(S76+R77-ROUND(Q$6+IF(Q$5=$C77,$E$5+$E77,0),2),2)&gt;0,ROUND(S76+R77-ROUND(Q$6+IF(Q$5=$C77,$E$5+$E77,0),2),2)&lt;=T77,ROUND(S76+R77-ROUND(Q$6+IF(Q$5=$C77,$E$5+$E77,0),2),2)*10&lt;=ROUND(Q$6+IF(Q$5=$C77,$E$5+$E77,0),2)),ROUND(S76+R77,2),MIN(ROUND(Q$6+IF(Q$5=$C77,$E$5+$E77,0),2),ROUND(S76+R77,2))),0)</f>
        <v>0</v>
      </c>
      <c r="R77" s="24">
        <f>IF(S76&gt;0,ROUND(ROUND(S76*100,0)*ROUND(Q$7*10000,0)/12000000,0)/100,0)</f>
        <v>0</v>
      </c>
      <c r="S77" s="24">
        <f>IF(S76&gt;0,ROUND(S76+R77-Q77,2),0)</f>
        <v>0</v>
      </c>
      <c r="T77" s="24">
        <f>IF(S76&gt;0,ROUND(T76+ROUND(ROUND(T76*100,0)*ROUND(Q$7*10000,0)/12000000,0)/100+0.02,2),0)</f>
        <v>0</v>
      </c>
      <c r="U77" s="24">
        <f>IF(W76&gt;0,IF(AND(ROUND(W76+V77-ROUND(U$6+IF(U$5=$C77,$E$5+$E77,0),2),2)&gt;0,ROUND(W76+V77-ROUND(U$6+IF(U$5=$C77,$E$5+$E77,0),2),2)&lt;=X77,ROUND(W76+V77-ROUND(U$6+IF(U$5=$C77,$E$5+$E77,0),2),2)*10&lt;=ROUND(U$6+IF(U$5=$C77,$E$5+$E77,0),2)),ROUND(W76+V77,2),MIN(ROUND(U$6+IF(U$5=$C77,$E$5+$E77,0),2),ROUND(W76+V77,2))),0)</f>
        <v>0</v>
      </c>
      <c r="V77" s="24">
        <f>IF(W76&gt;0,ROUND(ROUND(W76*100,0)*ROUND(U$7*10000,0)/12000000,0)/100,0)</f>
        <v>0</v>
      </c>
      <c r="W77" s="24">
        <f>IF(W76&gt;0,ROUND(W76+V77-U77,2),0)</f>
        <v>0</v>
      </c>
      <c r="X77" s="24">
        <f>IF(W76&gt;0,ROUND(X76+ROUND(ROUND(X76*100,0)*ROUND(U$7*10000,0)/12000000,0)/100+0.02,2),0)</f>
        <v>0</v>
      </c>
      <c r="Y77" s="24">
        <f>IF(AA76&gt;0,IF(AND(ROUND(AA76+Z77-ROUND(Y$6+IF(Y$5=$C77,$E$5+$E77,0),2),2)&gt;0,ROUND(AA76+Z77-ROUND(Y$6+IF(Y$5=$C77,$E$5+$E77,0),2),2)&lt;=AB77,ROUND(AA76+Z77-ROUND(Y$6+IF(Y$5=$C77,$E$5+$E77,0),2),2)*10&lt;=ROUND(Y$6+IF(Y$5=$C77,$E$5+$E77,0),2)),ROUND(AA76+Z77,2),MIN(ROUND(Y$6+IF(Y$5=$C77,$E$5+$E77,0),2),ROUND(AA76+Z77,2))),0)</f>
        <v>0</v>
      </c>
      <c r="Z77" s="24">
        <f>IF(AA76&gt;0,ROUND(ROUND(AA76*100,0)*ROUND(Y$7*10000,0)/12000000,0)/100,0)</f>
        <v>0</v>
      </c>
      <c r="AA77" s="24">
        <f>IF(AA76&gt;0,ROUND(AA76+Z77-Y77,2),0)</f>
        <v>0</v>
      </c>
      <c r="AB77" s="24">
        <f>IF(AA76&gt;0,ROUND(AB76+ROUND(ROUND(AB76*100,0)*ROUND(Y$7*10000,0)/12000000,0)/100+0.02,2),0)</f>
        <v>0</v>
      </c>
      <c r="AC77" s="24">
        <f>IF(AE76&gt;0,IF(AND(ROUND(AE76+AD77-ROUND(AC$6+IF(AC$5=$C77,$E$5+$E77,0),2),2)&gt;0,ROUND(AE76+AD77-ROUND(AC$6+IF(AC$5=$C77,$E$5+$E77,0),2),2)&lt;=AF77,ROUND(AE76+AD77-ROUND(AC$6+IF(AC$5=$C77,$E$5+$E77,0),2),2)*10&lt;=ROUND(AC$6+IF(AC$5=$C77,$E$5+$E77,0),2)),ROUND(AE76+AD77,2),MIN(ROUND(AC$6+IF(AC$5=$C77,$E$5+$E77,0),2),ROUND(AE76+AD77,2))),0)</f>
        <v>0</v>
      </c>
      <c r="AD77" s="24">
        <f>IF(AE76&gt;0,ROUND(ROUND(AE76*100,0)*ROUND(AC$7*10000,0)/12000000,0)/100,0)</f>
        <v>0</v>
      </c>
      <c r="AE77" s="24">
        <f>IF(AE76&gt;0,ROUND(AE76+AD77-AC77,2),0)</f>
        <v>0</v>
      </c>
      <c r="AF77" s="24">
        <f>IF(AE76&gt;0,ROUND(AF76+ROUND(ROUND(AF76*100,0)*ROUND(AC$7*10000,0)/12000000,0)/100+0.02,2),0)</f>
        <v>0</v>
      </c>
      <c r="AG77" s="24">
        <f>IF(AI76&gt;0,IF(AND(ROUND(AI76+AH77-ROUND(AG$6+IF(AG$5=$C77,$E$5+$E77,0),2),2)&gt;0,ROUND(AI76+AH77-ROUND(AG$6+IF(AG$5=$C77,$E$5+$E77,0),2),2)&lt;=AJ77,ROUND(AI76+AH77-ROUND(AG$6+IF(AG$5=$C77,$E$5+$E77,0),2),2)*10&lt;=ROUND(AG$6+IF(AG$5=$C77,$E$5+$E77,0),2)),ROUND(AI76+AH77,2),MIN(ROUND(AG$6+IF(AG$5=$C77,$E$5+$E77,0),2),ROUND(AI76+AH77,2))),0)</f>
        <v>0</v>
      </c>
      <c r="AH77" s="24">
        <f>IF(AI76&gt;0,ROUND(ROUND(AI76*100,0)*ROUND(AG$7*10000,0)/12000000,0)/100,0)</f>
        <v>0</v>
      </c>
      <c r="AI77" s="24">
        <f>IF(AI76&gt;0,ROUND(AI76+AH77-AG77,2),0)</f>
        <v>0</v>
      </c>
      <c r="AJ77" s="24">
        <f>IF(AI76&gt;0,ROUND(AJ76+ROUND(ROUND(AJ76*100,0)*ROUND(AG$7*10000,0)/12000000,0)/100+0.02,2),0)</f>
        <v>0</v>
      </c>
      <c r="AK77" s="24">
        <f>IF(AM76&gt;0,IF(AND(ROUND(AM76+AL77-ROUND(AK$6+IF(AK$5=$C77,$E$5+$E77,0),2),2)&gt;0,ROUND(AM76+AL77-ROUND(AK$6+IF(AK$5=$C77,$E$5+$E77,0),2),2)&lt;=AN77,ROUND(AM76+AL77-ROUND(AK$6+IF(AK$5=$C77,$E$5+$E77,0),2),2)*10&lt;=ROUND(AK$6+IF(AK$5=$C77,$E$5+$E77,0),2)),ROUND(AM76+AL77,2),MIN(ROUND(AK$6+IF(AK$5=$C77,$E$5+$E77,0),2),ROUND(AM76+AL77,2))),0)</f>
        <v>0</v>
      </c>
      <c r="AL77" s="24">
        <f>IF(AM76&gt;0,ROUND(ROUND(AM76*100,0)*ROUND(AK$7*10000,0)/12000000,0)/100,0)</f>
        <v>0</v>
      </c>
      <c r="AM77" s="24">
        <f>IF(AM76&gt;0,ROUND(AM76+AL77-AK77,2),0)</f>
        <v>0</v>
      </c>
      <c r="AN77" s="24">
        <f>IF(AM76&gt;0,ROUND(AN76+ROUND(ROUND(AN76*100,0)*ROUND(AK$7*10000,0)/12000000,0)/100+0.02,2),0)</f>
        <v>0</v>
      </c>
      <c r="AO77" s="24">
        <f>IF(AQ76&gt;0,IF(AND(ROUND(AQ76+AP77-ROUND(AO$6+IF(AO$5=$C77,$E$5+$E77,0),2),2)&gt;0,ROUND(AQ76+AP77-ROUND(AO$6+IF(AO$5=$C77,$E$5+$E77,0),2),2)&lt;=AR77,ROUND(AQ76+AP77-ROUND(AO$6+IF(AO$5=$C77,$E$5+$E77,0),2),2)*10&lt;=ROUND(AO$6+IF(AO$5=$C77,$E$5+$E77,0),2)),ROUND(AQ76+AP77,2),MIN(ROUND(AO$6+IF(AO$5=$C77,$E$5+$E77,0),2),ROUND(AQ76+AP77,2))),0)</f>
        <v>0</v>
      </c>
      <c r="AP77" s="24">
        <f>IF(AQ76&gt;0,ROUND(ROUND(AQ76*100,0)*ROUND(AO$7*10000,0)/12000000,0)/100,0)</f>
        <v>0</v>
      </c>
      <c r="AQ77" s="24">
        <f>IF(AQ76&gt;0,ROUND(AQ76+AP77-AO77,2),0)</f>
        <v>0</v>
      </c>
      <c r="AR77" s="24">
        <f>IF(AQ76&gt;0,ROUND(AR76+ROUND(ROUND(AR76*100,0)*ROUND(AO$7*10000,0)/12000000,0)/100+0.02,2),0)</f>
        <v>0</v>
      </c>
      <c r="AS77" s="24">
        <f>IF(AU76&gt;0,IF(AND(ROUND(AU76+AT77-ROUND(AS$6+IF(AS$5=$C77,$E$5+$E77,0),2),2)&gt;0,ROUND(AU76+AT77-ROUND(AS$6+IF(AS$5=$C77,$E$5+$E77,0),2),2)&lt;=AV77,ROUND(AU76+AT77-ROUND(AS$6+IF(AS$5=$C77,$E$5+$E77,0),2),2)*10&lt;=ROUND(AS$6+IF(AS$5=$C77,$E$5+$E77,0),2)),ROUND(AU76+AT77,2),MIN(ROUND(AS$6+IF(AS$5=$C77,$E$5+$E77,0),2),ROUND(AU76+AT77,2))),0)</f>
        <v>0</v>
      </c>
      <c r="AT77" s="24">
        <f>IF(AU76&gt;0,ROUND(ROUND(AU76*100,0)*ROUND(AS$7*10000,0)/12000000,0)/100,0)</f>
        <v>0</v>
      </c>
      <c r="AU77" s="24">
        <f>IF(AU76&gt;0,ROUND(AU76+AT77-AS77,2),0)</f>
        <v>0</v>
      </c>
      <c r="AV77" s="24">
        <f>IF(AU76&gt;0,ROUND(AV76+ROUND(ROUND(AV76*100,0)*ROUND(AS$7*10000,0)/12000000,0)/100+0.02,2),0)</f>
        <v>0</v>
      </c>
    </row>
    <row r="78" spans="1:48" x14ac:dyDescent="0.25">
      <c r="A78" s="17" t="str">
        <f>IF(F78&gt;0,68,"")</f>
        <v/>
      </c>
      <c r="B78" s="18" t="str">
        <f>IF(F78&gt;0,EDATE($E$6,68),"")</f>
        <v/>
      </c>
      <c r="C78" s="21">
        <f>IF(H77&gt;0,MIN(IF(K77&gt;0,I$5,99),IF(O77&gt;0,M$5,99),IF(S77&gt;0,Q$5,99),IF(W77&gt;0,U$5,99),IF(AA77&gt;0,Y$5,99),IF(AE77&gt;0,AC$5,99),IF(AI77&gt;0,AG$5,99),IF(AM77&gt;0,AK$5,99),IF(AQ77&gt;0,AO$5,99),IF(AU77&gt;0,AS$5,99)),0)</f>
        <v>0</v>
      </c>
      <c r="D78" t="str">
        <f>IF(C78&gt;0,INDEX($I$4:$AV$4,1,MATCH(C78,$I$5:$AV$5,0)),"")</f>
        <v/>
      </c>
      <c r="E78" s="24">
        <f>ROUND(IF(AND(I$8&gt;0,K77=0),I$6,0)+IF(AND(M$8&gt;0,O77=0),M$6,0)+IF(AND(Q$8&gt;0,S77=0),Q$6,0)+IF(AND(U$8&gt;0,W77=0),U$6,0)+IF(AND(Y$8&gt;0,AA77=0),Y$6,0)+IF(AND(AC$8&gt;0,AE77=0),AC$6,0)+IF(AND(AG$8&gt;0,AI77=0),AG$6,0)+IF(AND(AK$8&gt;0,AM77=0),AK$6,0)+IF(AND(AO$8&gt;0,AQ77=0),AO$6,0)+IF(AND(AS$8&gt;0,AU77=0),AS$6,0),2)</f>
        <v>325</v>
      </c>
      <c r="F78" s="24">
        <f>ROUND(I78+M78+Q78+U78+Y78+AC78+AG78+AK78+AO78+AS78,2)</f>
        <v>0</v>
      </c>
      <c r="G78" s="24">
        <f>ROUND(J78+N78+R78+V78+Z78+AD78+AH78+AL78+AP78+AT78,2)</f>
        <v>0</v>
      </c>
      <c r="H78" s="24">
        <f>ROUND(K78+O78+S78+W78+AA78+AE78+AI78+AM78+AQ78+AU78,2)</f>
        <v>0</v>
      </c>
      <c r="I78" s="24">
        <f>IF(K77&gt;0,IF(AND(ROUND(K77+J78-ROUND(I$6+IF(I$5=$C78,$E$5+$E78,0),2),2)&gt;0,ROUND(K77+J78-ROUND(I$6+IF(I$5=$C78,$E$5+$E78,0),2),2)&lt;=L78,ROUND(K77+J78-ROUND(I$6+IF(I$5=$C78,$E$5+$E78,0),2),2)*10&lt;=ROUND(I$6+IF(I$5=$C78,$E$5+$E78,0),2)),ROUND(K77+J78,2),MIN(ROUND(I$6+IF(I$5=$C78,$E$5+$E78,0),2),ROUND(K77+J78,2))),0)</f>
        <v>0</v>
      </c>
      <c r="J78" s="24">
        <f>IF(K77&gt;0,ROUND(ROUND(K77*100,0)*ROUND(I$7*10000,0)/12000000,0)/100,0)</f>
        <v>0</v>
      </c>
      <c r="K78" s="24">
        <f>IF(K77&gt;0,ROUND(K77+J78-I78,2),0)</f>
        <v>0</v>
      </c>
      <c r="L78" s="24">
        <f>IF(K77&gt;0,ROUND(L77+ROUND(ROUND(L77*100,0)*ROUND(I$7*10000,0)/12000000,0)/100+0.02,2),0)</f>
        <v>0</v>
      </c>
      <c r="M78" s="24">
        <f>IF(O77&gt;0,IF(AND(ROUND(O77+N78-ROUND(M$6+IF(M$5=$C78,$E$5+$E78,0),2),2)&gt;0,ROUND(O77+N78-ROUND(M$6+IF(M$5=$C78,$E$5+$E78,0),2),2)&lt;=P78,ROUND(O77+N78-ROUND(M$6+IF(M$5=$C78,$E$5+$E78,0),2),2)*10&lt;=ROUND(M$6+IF(M$5=$C78,$E$5+$E78,0),2)),ROUND(O77+N78,2),MIN(ROUND(M$6+IF(M$5=$C78,$E$5+$E78,0),2),ROUND(O77+N78,2))),0)</f>
        <v>0</v>
      </c>
      <c r="N78" s="24">
        <f>IF(O77&gt;0,ROUND(ROUND(O77*100,0)*ROUND(M$7*10000,0)/12000000,0)/100,0)</f>
        <v>0</v>
      </c>
      <c r="O78" s="24">
        <f>IF(O77&gt;0,ROUND(O77+N78-M78,2),0)</f>
        <v>0</v>
      </c>
      <c r="P78" s="24">
        <f>IF(O77&gt;0,ROUND(P77+ROUND(ROUND(P77*100,0)*ROUND(M$7*10000,0)/12000000,0)/100+0.02,2),0)</f>
        <v>0</v>
      </c>
      <c r="Q78" s="24">
        <f>IF(S77&gt;0,IF(AND(ROUND(S77+R78-ROUND(Q$6+IF(Q$5=$C78,$E$5+$E78,0),2),2)&gt;0,ROUND(S77+R78-ROUND(Q$6+IF(Q$5=$C78,$E$5+$E78,0),2),2)&lt;=T78,ROUND(S77+R78-ROUND(Q$6+IF(Q$5=$C78,$E$5+$E78,0),2),2)*10&lt;=ROUND(Q$6+IF(Q$5=$C78,$E$5+$E78,0),2)),ROUND(S77+R78,2),MIN(ROUND(Q$6+IF(Q$5=$C78,$E$5+$E78,0),2),ROUND(S77+R78,2))),0)</f>
        <v>0</v>
      </c>
      <c r="R78" s="24">
        <f>IF(S77&gt;0,ROUND(ROUND(S77*100,0)*ROUND(Q$7*10000,0)/12000000,0)/100,0)</f>
        <v>0</v>
      </c>
      <c r="S78" s="24">
        <f>IF(S77&gt;0,ROUND(S77+R78-Q78,2),0)</f>
        <v>0</v>
      </c>
      <c r="T78" s="24">
        <f>IF(S77&gt;0,ROUND(T77+ROUND(ROUND(T77*100,0)*ROUND(Q$7*10000,0)/12000000,0)/100+0.02,2),0)</f>
        <v>0</v>
      </c>
      <c r="U78" s="24">
        <f>IF(W77&gt;0,IF(AND(ROUND(W77+V78-ROUND(U$6+IF(U$5=$C78,$E$5+$E78,0),2),2)&gt;0,ROUND(W77+V78-ROUND(U$6+IF(U$5=$C78,$E$5+$E78,0),2),2)&lt;=X78,ROUND(W77+V78-ROUND(U$6+IF(U$5=$C78,$E$5+$E78,0),2),2)*10&lt;=ROUND(U$6+IF(U$5=$C78,$E$5+$E78,0),2)),ROUND(W77+V78,2),MIN(ROUND(U$6+IF(U$5=$C78,$E$5+$E78,0),2),ROUND(W77+V78,2))),0)</f>
        <v>0</v>
      </c>
      <c r="V78" s="24">
        <f>IF(W77&gt;0,ROUND(ROUND(W77*100,0)*ROUND(U$7*10000,0)/12000000,0)/100,0)</f>
        <v>0</v>
      </c>
      <c r="W78" s="24">
        <f>IF(W77&gt;0,ROUND(W77+V78-U78,2),0)</f>
        <v>0</v>
      </c>
      <c r="X78" s="24">
        <f>IF(W77&gt;0,ROUND(X77+ROUND(ROUND(X77*100,0)*ROUND(U$7*10000,0)/12000000,0)/100+0.02,2),0)</f>
        <v>0</v>
      </c>
      <c r="Y78" s="24">
        <f>IF(AA77&gt;0,IF(AND(ROUND(AA77+Z78-ROUND(Y$6+IF(Y$5=$C78,$E$5+$E78,0),2),2)&gt;0,ROUND(AA77+Z78-ROUND(Y$6+IF(Y$5=$C78,$E$5+$E78,0),2),2)&lt;=AB78,ROUND(AA77+Z78-ROUND(Y$6+IF(Y$5=$C78,$E$5+$E78,0),2),2)*10&lt;=ROUND(Y$6+IF(Y$5=$C78,$E$5+$E78,0),2)),ROUND(AA77+Z78,2),MIN(ROUND(Y$6+IF(Y$5=$C78,$E$5+$E78,0),2),ROUND(AA77+Z78,2))),0)</f>
        <v>0</v>
      </c>
      <c r="Z78" s="24">
        <f>IF(AA77&gt;0,ROUND(ROUND(AA77*100,0)*ROUND(Y$7*10000,0)/12000000,0)/100,0)</f>
        <v>0</v>
      </c>
      <c r="AA78" s="24">
        <f>IF(AA77&gt;0,ROUND(AA77+Z78-Y78,2),0)</f>
        <v>0</v>
      </c>
      <c r="AB78" s="24">
        <f>IF(AA77&gt;0,ROUND(AB77+ROUND(ROUND(AB77*100,0)*ROUND(Y$7*10000,0)/12000000,0)/100+0.02,2),0)</f>
        <v>0</v>
      </c>
      <c r="AC78" s="24">
        <f>IF(AE77&gt;0,IF(AND(ROUND(AE77+AD78-ROUND(AC$6+IF(AC$5=$C78,$E$5+$E78,0),2),2)&gt;0,ROUND(AE77+AD78-ROUND(AC$6+IF(AC$5=$C78,$E$5+$E78,0),2),2)&lt;=AF78,ROUND(AE77+AD78-ROUND(AC$6+IF(AC$5=$C78,$E$5+$E78,0),2),2)*10&lt;=ROUND(AC$6+IF(AC$5=$C78,$E$5+$E78,0),2)),ROUND(AE77+AD78,2),MIN(ROUND(AC$6+IF(AC$5=$C78,$E$5+$E78,0),2),ROUND(AE77+AD78,2))),0)</f>
        <v>0</v>
      </c>
      <c r="AD78" s="24">
        <f>IF(AE77&gt;0,ROUND(ROUND(AE77*100,0)*ROUND(AC$7*10000,0)/12000000,0)/100,0)</f>
        <v>0</v>
      </c>
      <c r="AE78" s="24">
        <f>IF(AE77&gt;0,ROUND(AE77+AD78-AC78,2),0)</f>
        <v>0</v>
      </c>
      <c r="AF78" s="24">
        <f>IF(AE77&gt;0,ROUND(AF77+ROUND(ROUND(AF77*100,0)*ROUND(AC$7*10000,0)/12000000,0)/100+0.02,2),0)</f>
        <v>0</v>
      </c>
      <c r="AG78" s="24">
        <f>IF(AI77&gt;0,IF(AND(ROUND(AI77+AH78-ROUND(AG$6+IF(AG$5=$C78,$E$5+$E78,0),2),2)&gt;0,ROUND(AI77+AH78-ROUND(AG$6+IF(AG$5=$C78,$E$5+$E78,0),2),2)&lt;=AJ78,ROUND(AI77+AH78-ROUND(AG$6+IF(AG$5=$C78,$E$5+$E78,0),2),2)*10&lt;=ROUND(AG$6+IF(AG$5=$C78,$E$5+$E78,0),2)),ROUND(AI77+AH78,2),MIN(ROUND(AG$6+IF(AG$5=$C78,$E$5+$E78,0),2),ROUND(AI77+AH78,2))),0)</f>
        <v>0</v>
      </c>
      <c r="AH78" s="24">
        <f>IF(AI77&gt;0,ROUND(ROUND(AI77*100,0)*ROUND(AG$7*10000,0)/12000000,0)/100,0)</f>
        <v>0</v>
      </c>
      <c r="AI78" s="24">
        <f>IF(AI77&gt;0,ROUND(AI77+AH78-AG78,2),0)</f>
        <v>0</v>
      </c>
      <c r="AJ78" s="24">
        <f>IF(AI77&gt;0,ROUND(AJ77+ROUND(ROUND(AJ77*100,0)*ROUND(AG$7*10000,0)/12000000,0)/100+0.02,2),0)</f>
        <v>0</v>
      </c>
      <c r="AK78" s="24">
        <f>IF(AM77&gt;0,IF(AND(ROUND(AM77+AL78-ROUND(AK$6+IF(AK$5=$C78,$E$5+$E78,0),2),2)&gt;0,ROUND(AM77+AL78-ROUND(AK$6+IF(AK$5=$C78,$E$5+$E78,0),2),2)&lt;=AN78,ROUND(AM77+AL78-ROUND(AK$6+IF(AK$5=$C78,$E$5+$E78,0),2),2)*10&lt;=ROUND(AK$6+IF(AK$5=$C78,$E$5+$E78,0),2)),ROUND(AM77+AL78,2),MIN(ROUND(AK$6+IF(AK$5=$C78,$E$5+$E78,0),2),ROUND(AM77+AL78,2))),0)</f>
        <v>0</v>
      </c>
      <c r="AL78" s="24">
        <f>IF(AM77&gt;0,ROUND(ROUND(AM77*100,0)*ROUND(AK$7*10000,0)/12000000,0)/100,0)</f>
        <v>0</v>
      </c>
      <c r="AM78" s="24">
        <f>IF(AM77&gt;0,ROUND(AM77+AL78-AK78,2),0)</f>
        <v>0</v>
      </c>
      <c r="AN78" s="24">
        <f>IF(AM77&gt;0,ROUND(AN77+ROUND(ROUND(AN77*100,0)*ROUND(AK$7*10000,0)/12000000,0)/100+0.02,2),0)</f>
        <v>0</v>
      </c>
      <c r="AO78" s="24">
        <f>IF(AQ77&gt;0,IF(AND(ROUND(AQ77+AP78-ROUND(AO$6+IF(AO$5=$C78,$E$5+$E78,0),2),2)&gt;0,ROUND(AQ77+AP78-ROUND(AO$6+IF(AO$5=$C78,$E$5+$E78,0),2),2)&lt;=AR78,ROUND(AQ77+AP78-ROUND(AO$6+IF(AO$5=$C78,$E$5+$E78,0),2),2)*10&lt;=ROUND(AO$6+IF(AO$5=$C78,$E$5+$E78,0),2)),ROUND(AQ77+AP78,2),MIN(ROUND(AO$6+IF(AO$5=$C78,$E$5+$E78,0),2),ROUND(AQ77+AP78,2))),0)</f>
        <v>0</v>
      </c>
      <c r="AP78" s="24">
        <f>IF(AQ77&gt;0,ROUND(ROUND(AQ77*100,0)*ROUND(AO$7*10000,0)/12000000,0)/100,0)</f>
        <v>0</v>
      </c>
      <c r="AQ78" s="24">
        <f>IF(AQ77&gt;0,ROUND(AQ77+AP78-AO78,2),0)</f>
        <v>0</v>
      </c>
      <c r="AR78" s="24">
        <f>IF(AQ77&gt;0,ROUND(AR77+ROUND(ROUND(AR77*100,0)*ROUND(AO$7*10000,0)/12000000,0)/100+0.02,2),0)</f>
        <v>0</v>
      </c>
      <c r="AS78" s="24">
        <f>IF(AU77&gt;0,IF(AND(ROUND(AU77+AT78-ROUND(AS$6+IF(AS$5=$C78,$E$5+$E78,0),2),2)&gt;0,ROUND(AU77+AT78-ROUND(AS$6+IF(AS$5=$C78,$E$5+$E78,0),2),2)&lt;=AV78,ROUND(AU77+AT78-ROUND(AS$6+IF(AS$5=$C78,$E$5+$E78,0),2),2)*10&lt;=ROUND(AS$6+IF(AS$5=$C78,$E$5+$E78,0),2)),ROUND(AU77+AT78,2),MIN(ROUND(AS$6+IF(AS$5=$C78,$E$5+$E78,0),2),ROUND(AU77+AT78,2))),0)</f>
        <v>0</v>
      </c>
      <c r="AT78" s="24">
        <f>IF(AU77&gt;0,ROUND(ROUND(AU77*100,0)*ROUND(AS$7*10000,0)/12000000,0)/100,0)</f>
        <v>0</v>
      </c>
      <c r="AU78" s="24">
        <f>IF(AU77&gt;0,ROUND(AU77+AT78-AS78,2),0)</f>
        <v>0</v>
      </c>
      <c r="AV78" s="24">
        <f>IF(AU77&gt;0,ROUND(AV77+ROUND(ROUND(AV77*100,0)*ROUND(AS$7*10000,0)/12000000,0)/100+0.02,2),0)</f>
        <v>0</v>
      </c>
    </row>
    <row r="79" spans="1:48" x14ac:dyDescent="0.25">
      <c r="A79" s="17" t="str">
        <f>IF(F79&gt;0,69,"")</f>
        <v/>
      </c>
      <c r="B79" s="18" t="str">
        <f>IF(F79&gt;0,EDATE($E$6,69),"")</f>
        <v/>
      </c>
      <c r="C79" s="21">
        <f>IF(H78&gt;0,MIN(IF(K78&gt;0,I$5,99),IF(O78&gt;0,M$5,99),IF(S78&gt;0,Q$5,99),IF(W78&gt;0,U$5,99),IF(AA78&gt;0,Y$5,99),IF(AE78&gt;0,AC$5,99),IF(AI78&gt;0,AG$5,99),IF(AM78&gt;0,AK$5,99),IF(AQ78&gt;0,AO$5,99),IF(AU78&gt;0,AS$5,99)),0)</f>
        <v>0</v>
      </c>
      <c r="D79" t="str">
        <f>IF(C79&gt;0,INDEX($I$4:$AV$4,1,MATCH(C79,$I$5:$AV$5,0)),"")</f>
        <v/>
      </c>
      <c r="E79" s="24">
        <f>ROUND(IF(AND(I$8&gt;0,K78=0),I$6,0)+IF(AND(M$8&gt;0,O78=0),M$6,0)+IF(AND(Q$8&gt;0,S78=0),Q$6,0)+IF(AND(U$8&gt;0,W78=0),U$6,0)+IF(AND(Y$8&gt;0,AA78=0),Y$6,0)+IF(AND(AC$8&gt;0,AE78=0),AC$6,0)+IF(AND(AG$8&gt;0,AI78=0),AG$6,0)+IF(AND(AK$8&gt;0,AM78=0),AK$6,0)+IF(AND(AO$8&gt;0,AQ78=0),AO$6,0)+IF(AND(AS$8&gt;0,AU78=0),AS$6,0),2)</f>
        <v>325</v>
      </c>
      <c r="F79" s="24">
        <f>ROUND(I79+M79+Q79+U79+Y79+AC79+AG79+AK79+AO79+AS79,2)</f>
        <v>0</v>
      </c>
      <c r="G79" s="24">
        <f>ROUND(J79+N79+R79+V79+Z79+AD79+AH79+AL79+AP79+AT79,2)</f>
        <v>0</v>
      </c>
      <c r="H79" s="24">
        <f>ROUND(K79+O79+S79+W79+AA79+AE79+AI79+AM79+AQ79+AU79,2)</f>
        <v>0</v>
      </c>
      <c r="I79" s="24">
        <f>IF(K78&gt;0,IF(AND(ROUND(K78+J79-ROUND(I$6+IF(I$5=$C79,$E$5+$E79,0),2),2)&gt;0,ROUND(K78+J79-ROUND(I$6+IF(I$5=$C79,$E$5+$E79,0),2),2)&lt;=L79,ROUND(K78+J79-ROUND(I$6+IF(I$5=$C79,$E$5+$E79,0),2),2)*10&lt;=ROUND(I$6+IF(I$5=$C79,$E$5+$E79,0),2)),ROUND(K78+J79,2),MIN(ROUND(I$6+IF(I$5=$C79,$E$5+$E79,0),2),ROUND(K78+J79,2))),0)</f>
        <v>0</v>
      </c>
      <c r="J79" s="24">
        <f>IF(K78&gt;0,ROUND(ROUND(K78*100,0)*ROUND(I$7*10000,0)/12000000,0)/100,0)</f>
        <v>0</v>
      </c>
      <c r="K79" s="24">
        <f>IF(K78&gt;0,ROUND(K78+J79-I79,2),0)</f>
        <v>0</v>
      </c>
      <c r="L79" s="24">
        <f>IF(K78&gt;0,ROUND(L78+ROUND(ROUND(L78*100,0)*ROUND(I$7*10000,0)/12000000,0)/100+0.02,2),0)</f>
        <v>0</v>
      </c>
      <c r="M79" s="24">
        <f>IF(O78&gt;0,IF(AND(ROUND(O78+N79-ROUND(M$6+IF(M$5=$C79,$E$5+$E79,0),2),2)&gt;0,ROUND(O78+N79-ROUND(M$6+IF(M$5=$C79,$E$5+$E79,0),2),2)&lt;=P79,ROUND(O78+N79-ROUND(M$6+IF(M$5=$C79,$E$5+$E79,0),2),2)*10&lt;=ROUND(M$6+IF(M$5=$C79,$E$5+$E79,0),2)),ROUND(O78+N79,2),MIN(ROUND(M$6+IF(M$5=$C79,$E$5+$E79,0),2),ROUND(O78+N79,2))),0)</f>
        <v>0</v>
      </c>
      <c r="N79" s="24">
        <f>IF(O78&gt;0,ROUND(ROUND(O78*100,0)*ROUND(M$7*10000,0)/12000000,0)/100,0)</f>
        <v>0</v>
      </c>
      <c r="O79" s="24">
        <f>IF(O78&gt;0,ROUND(O78+N79-M79,2),0)</f>
        <v>0</v>
      </c>
      <c r="P79" s="24">
        <f>IF(O78&gt;0,ROUND(P78+ROUND(ROUND(P78*100,0)*ROUND(M$7*10000,0)/12000000,0)/100+0.02,2),0)</f>
        <v>0</v>
      </c>
      <c r="Q79" s="24">
        <f>IF(S78&gt;0,IF(AND(ROUND(S78+R79-ROUND(Q$6+IF(Q$5=$C79,$E$5+$E79,0),2),2)&gt;0,ROUND(S78+R79-ROUND(Q$6+IF(Q$5=$C79,$E$5+$E79,0),2),2)&lt;=T79,ROUND(S78+R79-ROUND(Q$6+IF(Q$5=$C79,$E$5+$E79,0),2),2)*10&lt;=ROUND(Q$6+IF(Q$5=$C79,$E$5+$E79,0),2)),ROUND(S78+R79,2),MIN(ROUND(Q$6+IF(Q$5=$C79,$E$5+$E79,0),2),ROUND(S78+R79,2))),0)</f>
        <v>0</v>
      </c>
      <c r="R79" s="24">
        <f>IF(S78&gt;0,ROUND(ROUND(S78*100,0)*ROUND(Q$7*10000,0)/12000000,0)/100,0)</f>
        <v>0</v>
      </c>
      <c r="S79" s="24">
        <f>IF(S78&gt;0,ROUND(S78+R79-Q79,2),0)</f>
        <v>0</v>
      </c>
      <c r="T79" s="24">
        <f>IF(S78&gt;0,ROUND(T78+ROUND(ROUND(T78*100,0)*ROUND(Q$7*10000,0)/12000000,0)/100+0.02,2),0)</f>
        <v>0</v>
      </c>
      <c r="U79" s="24">
        <f>IF(W78&gt;0,IF(AND(ROUND(W78+V79-ROUND(U$6+IF(U$5=$C79,$E$5+$E79,0),2),2)&gt;0,ROUND(W78+V79-ROUND(U$6+IF(U$5=$C79,$E$5+$E79,0),2),2)&lt;=X79,ROUND(W78+V79-ROUND(U$6+IF(U$5=$C79,$E$5+$E79,0),2),2)*10&lt;=ROUND(U$6+IF(U$5=$C79,$E$5+$E79,0),2)),ROUND(W78+V79,2),MIN(ROUND(U$6+IF(U$5=$C79,$E$5+$E79,0),2),ROUND(W78+V79,2))),0)</f>
        <v>0</v>
      </c>
      <c r="V79" s="24">
        <f>IF(W78&gt;0,ROUND(ROUND(W78*100,0)*ROUND(U$7*10000,0)/12000000,0)/100,0)</f>
        <v>0</v>
      </c>
      <c r="W79" s="24">
        <f>IF(W78&gt;0,ROUND(W78+V79-U79,2),0)</f>
        <v>0</v>
      </c>
      <c r="X79" s="24">
        <f>IF(W78&gt;0,ROUND(X78+ROUND(ROUND(X78*100,0)*ROUND(U$7*10000,0)/12000000,0)/100+0.02,2),0)</f>
        <v>0</v>
      </c>
      <c r="Y79" s="24">
        <f>IF(AA78&gt;0,IF(AND(ROUND(AA78+Z79-ROUND(Y$6+IF(Y$5=$C79,$E$5+$E79,0),2),2)&gt;0,ROUND(AA78+Z79-ROUND(Y$6+IF(Y$5=$C79,$E$5+$E79,0),2),2)&lt;=AB79,ROUND(AA78+Z79-ROUND(Y$6+IF(Y$5=$C79,$E$5+$E79,0),2),2)*10&lt;=ROUND(Y$6+IF(Y$5=$C79,$E$5+$E79,0),2)),ROUND(AA78+Z79,2),MIN(ROUND(Y$6+IF(Y$5=$C79,$E$5+$E79,0),2),ROUND(AA78+Z79,2))),0)</f>
        <v>0</v>
      </c>
      <c r="Z79" s="24">
        <f>IF(AA78&gt;0,ROUND(ROUND(AA78*100,0)*ROUND(Y$7*10000,0)/12000000,0)/100,0)</f>
        <v>0</v>
      </c>
      <c r="AA79" s="24">
        <f>IF(AA78&gt;0,ROUND(AA78+Z79-Y79,2),0)</f>
        <v>0</v>
      </c>
      <c r="AB79" s="24">
        <f>IF(AA78&gt;0,ROUND(AB78+ROUND(ROUND(AB78*100,0)*ROUND(Y$7*10000,0)/12000000,0)/100+0.02,2),0)</f>
        <v>0</v>
      </c>
      <c r="AC79" s="24">
        <f>IF(AE78&gt;0,IF(AND(ROUND(AE78+AD79-ROUND(AC$6+IF(AC$5=$C79,$E$5+$E79,0),2),2)&gt;0,ROUND(AE78+AD79-ROUND(AC$6+IF(AC$5=$C79,$E$5+$E79,0),2),2)&lt;=AF79,ROUND(AE78+AD79-ROUND(AC$6+IF(AC$5=$C79,$E$5+$E79,0),2),2)*10&lt;=ROUND(AC$6+IF(AC$5=$C79,$E$5+$E79,0),2)),ROUND(AE78+AD79,2),MIN(ROUND(AC$6+IF(AC$5=$C79,$E$5+$E79,0),2),ROUND(AE78+AD79,2))),0)</f>
        <v>0</v>
      </c>
      <c r="AD79" s="24">
        <f>IF(AE78&gt;0,ROUND(ROUND(AE78*100,0)*ROUND(AC$7*10000,0)/12000000,0)/100,0)</f>
        <v>0</v>
      </c>
      <c r="AE79" s="24">
        <f>IF(AE78&gt;0,ROUND(AE78+AD79-AC79,2),0)</f>
        <v>0</v>
      </c>
      <c r="AF79" s="24">
        <f>IF(AE78&gt;0,ROUND(AF78+ROUND(ROUND(AF78*100,0)*ROUND(AC$7*10000,0)/12000000,0)/100+0.02,2),0)</f>
        <v>0</v>
      </c>
      <c r="AG79" s="24">
        <f>IF(AI78&gt;0,IF(AND(ROUND(AI78+AH79-ROUND(AG$6+IF(AG$5=$C79,$E$5+$E79,0),2),2)&gt;0,ROUND(AI78+AH79-ROUND(AG$6+IF(AG$5=$C79,$E$5+$E79,0),2),2)&lt;=AJ79,ROUND(AI78+AH79-ROUND(AG$6+IF(AG$5=$C79,$E$5+$E79,0),2),2)*10&lt;=ROUND(AG$6+IF(AG$5=$C79,$E$5+$E79,0),2)),ROUND(AI78+AH79,2),MIN(ROUND(AG$6+IF(AG$5=$C79,$E$5+$E79,0),2),ROUND(AI78+AH79,2))),0)</f>
        <v>0</v>
      </c>
      <c r="AH79" s="24">
        <f>IF(AI78&gt;0,ROUND(ROUND(AI78*100,0)*ROUND(AG$7*10000,0)/12000000,0)/100,0)</f>
        <v>0</v>
      </c>
      <c r="AI79" s="24">
        <f>IF(AI78&gt;0,ROUND(AI78+AH79-AG79,2),0)</f>
        <v>0</v>
      </c>
      <c r="AJ79" s="24">
        <f>IF(AI78&gt;0,ROUND(AJ78+ROUND(ROUND(AJ78*100,0)*ROUND(AG$7*10000,0)/12000000,0)/100+0.02,2),0)</f>
        <v>0</v>
      </c>
      <c r="AK79" s="24">
        <f>IF(AM78&gt;0,IF(AND(ROUND(AM78+AL79-ROUND(AK$6+IF(AK$5=$C79,$E$5+$E79,0),2),2)&gt;0,ROUND(AM78+AL79-ROUND(AK$6+IF(AK$5=$C79,$E$5+$E79,0),2),2)&lt;=AN79,ROUND(AM78+AL79-ROUND(AK$6+IF(AK$5=$C79,$E$5+$E79,0),2),2)*10&lt;=ROUND(AK$6+IF(AK$5=$C79,$E$5+$E79,0),2)),ROUND(AM78+AL79,2),MIN(ROUND(AK$6+IF(AK$5=$C79,$E$5+$E79,0),2),ROUND(AM78+AL79,2))),0)</f>
        <v>0</v>
      </c>
      <c r="AL79" s="24">
        <f>IF(AM78&gt;0,ROUND(ROUND(AM78*100,0)*ROUND(AK$7*10000,0)/12000000,0)/100,0)</f>
        <v>0</v>
      </c>
      <c r="AM79" s="24">
        <f>IF(AM78&gt;0,ROUND(AM78+AL79-AK79,2),0)</f>
        <v>0</v>
      </c>
      <c r="AN79" s="24">
        <f>IF(AM78&gt;0,ROUND(AN78+ROUND(ROUND(AN78*100,0)*ROUND(AK$7*10000,0)/12000000,0)/100+0.02,2),0)</f>
        <v>0</v>
      </c>
      <c r="AO79" s="24">
        <f>IF(AQ78&gt;0,IF(AND(ROUND(AQ78+AP79-ROUND(AO$6+IF(AO$5=$C79,$E$5+$E79,0),2),2)&gt;0,ROUND(AQ78+AP79-ROUND(AO$6+IF(AO$5=$C79,$E$5+$E79,0),2),2)&lt;=AR79,ROUND(AQ78+AP79-ROUND(AO$6+IF(AO$5=$C79,$E$5+$E79,0),2),2)*10&lt;=ROUND(AO$6+IF(AO$5=$C79,$E$5+$E79,0),2)),ROUND(AQ78+AP79,2),MIN(ROUND(AO$6+IF(AO$5=$C79,$E$5+$E79,0),2),ROUND(AQ78+AP79,2))),0)</f>
        <v>0</v>
      </c>
      <c r="AP79" s="24">
        <f>IF(AQ78&gt;0,ROUND(ROUND(AQ78*100,0)*ROUND(AO$7*10000,0)/12000000,0)/100,0)</f>
        <v>0</v>
      </c>
      <c r="AQ79" s="24">
        <f>IF(AQ78&gt;0,ROUND(AQ78+AP79-AO79,2),0)</f>
        <v>0</v>
      </c>
      <c r="AR79" s="24">
        <f>IF(AQ78&gt;0,ROUND(AR78+ROUND(ROUND(AR78*100,0)*ROUND(AO$7*10000,0)/12000000,0)/100+0.02,2),0)</f>
        <v>0</v>
      </c>
      <c r="AS79" s="24">
        <f>IF(AU78&gt;0,IF(AND(ROUND(AU78+AT79-ROUND(AS$6+IF(AS$5=$C79,$E$5+$E79,0),2),2)&gt;0,ROUND(AU78+AT79-ROUND(AS$6+IF(AS$5=$C79,$E$5+$E79,0),2),2)&lt;=AV79,ROUND(AU78+AT79-ROUND(AS$6+IF(AS$5=$C79,$E$5+$E79,0),2),2)*10&lt;=ROUND(AS$6+IF(AS$5=$C79,$E$5+$E79,0),2)),ROUND(AU78+AT79,2),MIN(ROUND(AS$6+IF(AS$5=$C79,$E$5+$E79,0),2),ROUND(AU78+AT79,2))),0)</f>
        <v>0</v>
      </c>
      <c r="AT79" s="24">
        <f>IF(AU78&gt;0,ROUND(ROUND(AU78*100,0)*ROUND(AS$7*10000,0)/12000000,0)/100,0)</f>
        <v>0</v>
      </c>
      <c r="AU79" s="24">
        <f>IF(AU78&gt;0,ROUND(AU78+AT79-AS79,2),0)</f>
        <v>0</v>
      </c>
      <c r="AV79" s="24">
        <f>IF(AU78&gt;0,ROUND(AV78+ROUND(ROUND(AV78*100,0)*ROUND(AS$7*10000,0)/12000000,0)/100+0.02,2),0)</f>
        <v>0</v>
      </c>
    </row>
    <row r="80" spans="1:48" x14ac:dyDescent="0.25">
      <c r="A80" s="17" t="str">
        <f>IF(F80&gt;0,70,"")</f>
        <v/>
      </c>
      <c r="B80" s="18" t="str">
        <f>IF(F80&gt;0,EDATE($E$6,70),"")</f>
        <v/>
      </c>
      <c r="C80" s="21">
        <f>IF(H79&gt;0,MIN(IF(K79&gt;0,I$5,99),IF(O79&gt;0,M$5,99),IF(S79&gt;0,Q$5,99),IF(W79&gt;0,U$5,99),IF(AA79&gt;0,Y$5,99),IF(AE79&gt;0,AC$5,99),IF(AI79&gt;0,AG$5,99),IF(AM79&gt;0,AK$5,99),IF(AQ79&gt;0,AO$5,99),IF(AU79&gt;0,AS$5,99)),0)</f>
        <v>0</v>
      </c>
      <c r="D80" t="str">
        <f>IF(C80&gt;0,INDEX($I$4:$AV$4,1,MATCH(C80,$I$5:$AV$5,0)),"")</f>
        <v/>
      </c>
      <c r="E80" s="24">
        <f>ROUND(IF(AND(I$8&gt;0,K79=0),I$6,0)+IF(AND(M$8&gt;0,O79=0),M$6,0)+IF(AND(Q$8&gt;0,S79=0),Q$6,0)+IF(AND(U$8&gt;0,W79=0),U$6,0)+IF(AND(Y$8&gt;0,AA79=0),Y$6,0)+IF(AND(AC$8&gt;0,AE79=0),AC$6,0)+IF(AND(AG$8&gt;0,AI79=0),AG$6,0)+IF(AND(AK$8&gt;0,AM79=0),AK$6,0)+IF(AND(AO$8&gt;0,AQ79=0),AO$6,0)+IF(AND(AS$8&gt;0,AU79=0),AS$6,0),2)</f>
        <v>325</v>
      </c>
      <c r="F80" s="24">
        <f>ROUND(I80+M80+Q80+U80+Y80+AC80+AG80+AK80+AO80+AS80,2)</f>
        <v>0</v>
      </c>
      <c r="G80" s="24">
        <f>ROUND(J80+N80+R80+V80+Z80+AD80+AH80+AL80+AP80+AT80,2)</f>
        <v>0</v>
      </c>
      <c r="H80" s="24">
        <f>ROUND(K80+O80+S80+W80+AA80+AE80+AI80+AM80+AQ80+AU80,2)</f>
        <v>0</v>
      </c>
      <c r="I80" s="24">
        <f>IF(K79&gt;0,IF(AND(ROUND(K79+J80-ROUND(I$6+IF(I$5=$C80,$E$5+$E80,0),2),2)&gt;0,ROUND(K79+J80-ROUND(I$6+IF(I$5=$C80,$E$5+$E80,0),2),2)&lt;=L80,ROUND(K79+J80-ROUND(I$6+IF(I$5=$C80,$E$5+$E80,0),2),2)*10&lt;=ROUND(I$6+IF(I$5=$C80,$E$5+$E80,0),2)),ROUND(K79+J80,2),MIN(ROUND(I$6+IF(I$5=$C80,$E$5+$E80,0),2),ROUND(K79+J80,2))),0)</f>
        <v>0</v>
      </c>
      <c r="J80" s="24">
        <f>IF(K79&gt;0,ROUND(ROUND(K79*100,0)*ROUND(I$7*10000,0)/12000000,0)/100,0)</f>
        <v>0</v>
      </c>
      <c r="K80" s="24">
        <f>IF(K79&gt;0,ROUND(K79+J80-I80,2),0)</f>
        <v>0</v>
      </c>
      <c r="L80" s="24">
        <f>IF(K79&gt;0,ROUND(L79+ROUND(ROUND(L79*100,0)*ROUND(I$7*10000,0)/12000000,0)/100+0.02,2),0)</f>
        <v>0</v>
      </c>
      <c r="M80" s="24">
        <f>IF(O79&gt;0,IF(AND(ROUND(O79+N80-ROUND(M$6+IF(M$5=$C80,$E$5+$E80,0),2),2)&gt;0,ROUND(O79+N80-ROUND(M$6+IF(M$5=$C80,$E$5+$E80,0),2),2)&lt;=P80,ROUND(O79+N80-ROUND(M$6+IF(M$5=$C80,$E$5+$E80,0),2),2)*10&lt;=ROUND(M$6+IF(M$5=$C80,$E$5+$E80,0),2)),ROUND(O79+N80,2),MIN(ROUND(M$6+IF(M$5=$C80,$E$5+$E80,0),2),ROUND(O79+N80,2))),0)</f>
        <v>0</v>
      </c>
      <c r="N80" s="24">
        <f>IF(O79&gt;0,ROUND(ROUND(O79*100,0)*ROUND(M$7*10000,0)/12000000,0)/100,0)</f>
        <v>0</v>
      </c>
      <c r="O80" s="24">
        <f>IF(O79&gt;0,ROUND(O79+N80-M80,2),0)</f>
        <v>0</v>
      </c>
      <c r="P80" s="24">
        <f>IF(O79&gt;0,ROUND(P79+ROUND(ROUND(P79*100,0)*ROUND(M$7*10000,0)/12000000,0)/100+0.02,2),0)</f>
        <v>0</v>
      </c>
      <c r="Q80" s="24">
        <f>IF(S79&gt;0,IF(AND(ROUND(S79+R80-ROUND(Q$6+IF(Q$5=$C80,$E$5+$E80,0),2),2)&gt;0,ROUND(S79+R80-ROUND(Q$6+IF(Q$5=$C80,$E$5+$E80,0),2),2)&lt;=T80,ROUND(S79+R80-ROUND(Q$6+IF(Q$5=$C80,$E$5+$E80,0),2),2)*10&lt;=ROUND(Q$6+IF(Q$5=$C80,$E$5+$E80,0),2)),ROUND(S79+R80,2),MIN(ROUND(Q$6+IF(Q$5=$C80,$E$5+$E80,0),2),ROUND(S79+R80,2))),0)</f>
        <v>0</v>
      </c>
      <c r="R80" s="24">
        <f>IF(S79&gt;0,ROUND(ROUND(S79*100,0)*ROUND(Q$7*10000,0)/12000000,0)/100,0)</f>
        <v>0</v>
      </c>
      <c r="S80" s="24">
        <f>IF(S79&gt;0,ROUND(S79+R80-Q80,2),0)</f>
        <v>0</v>
      </c>
      <c r="T80" s="24">
        <f>IF(S79&gt;0,ROUND(T79+ROUND(ROUND(T79*100,0)*ROUND(Q$7*10000,0)/12000000,0)/100+0.02,2),0)</f>
        <v>0</v>
      </c>
      <c r="U80" s="24">
        <f>IF(W79&gt;0,IF(AND(ROUND(W79+V80-ROUND(U$6+IF(U$5=$C80,$E$5+$E80,0),2),2)&gt;0,ROUND(W79+V80-ROUND(U$6+IF(U$5=$C80,$E$5+$E80,0),2),2)&lt;=X80,ROUND(W79+V80-ROUND(U$6+IF(U$5=$C80,$E$5+$E80,0),2),2)*10&lt;=ROUND(U$6+IF(U$5=$C80,$E$5+$E80,0),2)),ROUND(W79+V80,2),MIN(ROUND(U$6+IF(U$5=$C80,$E$5+$E80,0),2),ROUND(W79+V80,2))),0)</f>
        <v>0</v>
      </c>
      <c r="V80" s="24">
        <f>IF(W79&gt;0,ROUND(ROUND(W79*100,0)*ROUND(U$7*10000,0)/12000000,0)/100,0)</f>
        <v>0</v>
      </c>
      <c r="W80" s="24">
        <f>IF(W79&gt;0,ROUND(W79+V80-U80,2),0)</f>
        <v>0</v>
      </c>
      <c r="X80" s="24">
        <f>IF(W79&gt;0,ROUND(X79+ROUND(ROUND(X79*100,0)*ROUND(U$7*10000,0)/12000000,0)/100+0.02,2),0)</f>
        <v>0</v>
      </c>
      <c r="Y80" s="24">
        <f>IF(AA79&gt;0,IF(AND(ROUND(AA79+Z80-ROUND(Y$6+IF(Y$5=$C80,$E$5+$E80,0),2),2)&gt;0,ROUND(AA79+Z80-ROUND(Y$6+IF(Y$5=$C80,$E$5+$E80,0),2),2)&lt;=AB80,ROUND(AA79+Z80-ROUND(Y$6+IF(Y$5=$C80,$E$5+$E80,0),2),2)*10&lt;=ROUND(Y$6+IF(Y$5=$C80,$E$5+$E80,0),2)),ROUND(AA79+Z80,2),MIN(ROUND(Y$6+IF(Y$5=$C80,$E$5+$E80,0),2),ROUND(AA79+Z80,2))),0)</f>
        <v>0</v>
      </c>
      <c r="Z80" s="24">
        <f>IF(AA79&gt;0,ROUND(ROUND(AA79*100,0)*ROUND(Y$7*10000,0)/12000000,0)/100,0)</f>
        <v>0</v>
      </c>
      <c r="AA80" s="24">
        <f>IF(AA79&gt;0,ROUND(AA79+Z80-Y80,2),0)</f>
        <v>0</v>
      </c>
      <c r="AB80" s="24">
        <f>IF(AA79&gt;0,ROUND(AB79+ROUND(ROUND(AB79*100,0)*ROUND(Y$7*10000,0)/12000000,0)/100+0.02,2),0)</f>
        <v>0</v>
      </c>
      <c r="AC80" s="24">
        <f>IF(AE79&gt;0,IF(AND(ROUND(AE79+AD80-ROUND(AC$6+IF(AC$5=$C80,$E$5+$E80,0),2),2)&gt;0,ROUND(AE79+AD80-ROUND(AC$6+IF(AC$5=$C80,$E$5+$E80,0),2),2)&lt;=AF80,ROUND(AE79+AD80-ROUND(AC$6+IF(AC$5=$C80,$E$5+$E80,0),2),2)*10&lt;=ROUND(AC$6+IF(AC$5=$C80,$E$5+$E80,0),2)),ROUND(AE79+AD80,2),MIN(ROUND(AC$6+IF(AC$5=$C80,$E$5+$E80,0),2),ROUND(AE79+AD80,2))),0)</f>
        <v>0</v>
      </c>
      <c r="AD80" s="24">
        <f>IF(AE79&gt;0,ROUND(ROUND(AE79*100,0)*ROUND(AC$7*10000,0)/12000000,0)/100,0)</f>
        <v>0</v>
      </c>
      <c r="AE80" s="24">
        <f>IF(AE79&gt;0,ROUND(AE79+AD80-AC80,2),0)</f>
        <v>0</v>
      </c>
      <c r="AF80" s="24">
        <f>IF(AE79&gt;0,ROUND(AF79+ROUND(ROUND(AF79*100,0)*ROUND(AC$7*10000,0)/12000000,0)/100+0.02,2),0)</f>
        <v>0</v>
      </c>
      <c r="AG80" s="24">
        <f>IF(AI79&gt;0,IF(AND(ROUND(AI79+AH80-ROUND(AG$6+IF(AG$5=$C80,$E$5+$E80,0),2),2)&gt;0,ROUND(AI79+AH80-ROUND(AG$6+IF(AG$5=$C80,$E$5+$E80,0),2),2)&lt;=AJ80,ROUND(AI79+AH80-ROUND(AG$6+IF(AG$5=$C80,$E$5+$E80,0),2),2)*10&lt;=ROUND(AG$6+IF(AG$5=$C80,$E$5+$E80,0),2)),ROUND(AI79+AH80,2),MIN(ROUND(AG$6+IF(AG$5=$C80,$E$5+$E80,0),2),ROUND(AI79+AH80,2))),0)</f>
        <v>0</v>
      </c>
      <c r="AH80" s="24">
        <f>IF(AI79&gt;0,ROUND(ROUND(AI79*100,0)*ROUND(AG$7*10000,0)/12000000,0)/100,0)</f>
        <v>0</v>
      </c>
      <c r="AI80" s="24">
        <f>IF(AI79&gt;0,ROUND(AI79+AH80-AG80,2),0)</f>
        <v>0</v>
      </c>
      <c r="AJ80" s="24">
        <f>IF(AI79&gt;0,ROUND(AJ79+ROUND(ROUND(AJ79*100,0)*ROUND(AG$7*10000,0)/12000000,0)/100+0.02,2),0)</f>
        <v>0</v>
      </c>
      <c r="AK80" s="24">
        <f>IF(AM79&gt;0,IF(AND(ROUND(AM79+AL80-ROUND(AK$6+IF(AK$5=$C80,$E$5+$E80,0),2),2)&gt;0,ROUND(AM79+AL80-ROUND(AK$6+IF(AK$5=$C80,$E$5+$E80,0),2),2)&lt;=AN80,ROUND(AM79+AL80-ROUND(AK$6+IF(AK$5=$C80,$E$5+$E80,0),2),2)*10&lt;=ROUND(AK$6+IF(AK$5=$C80,$E$5+$E80,0),2)),ROUND(AM79+AL80,2),MIN(ROUND(AK$6+IF(AK$5=$C80,$E$5+$E80,0),2),ROUND(AM79+AL80,2))),0)</f>
        <v>0</v>
      </c>
      <c r="AL80" s="24">
        <f>IF(AM79&gt;0,ROUND(ROUND(AM79*100,0)*ROUND(AK$7*10000,0)/12000000,0)/100,0)</f>
        <v>0</v>
      </c>
      <c r="AM80" s="24">
        <f>IF(AM79&gt;0,ROUND(AM79+AL80-AK80,2),0)</f>
        <v>0</v>
      </c>
      <c r="AN80" s="24">
        <f>IF(AM79&gt;0,ROUND(AN79+ROUND(ROUND(AN79*100,0)*ROUND(AK$7*10000,0)/12000000,0)/100+0.02,2),0)</f>
        <v>0</v>
      </c>
      <c r="AO80" s="24">
        <f>IF(AQ79&gt;0,IF(AND(ROUND(AQ79+AP80-ROUND(AO$6+IF(AO$5=$C80,$E$5+$E80,0),2),2)&gt;0,ROUND(AQ79+AP80-ROUND(AO$6+IF(AO$5=$C80,$E$5+$E80,0),2),2)&lt;=AR80,ROUND(AQ79+AP80-ROUND(AO$6+IF(AO$5=$C80,$E$5+$E80,0),2),2)*10&lt;=ROUND(AO$6+IF(AO$5=$C80,$E$5+$E80,0),2)),ROUND(AQ79+AP80,2),MIN(ROUND(AO$6+IF(AO$5=$C80,$E$5+$E80,0),2),ROUND(AQ79+AP80,2))),0)</f>
        <v>0</v>
      </c>
      <c r="AP80" s="24">
        <f>IF(AQ79&gt;0,ROUND(ROUND(AQ79*100,0)*ROUND(AO$7*10000,0)/12000000,0)/100,0)</f>
        <v>0</v>
      </c>
      <c r="AQ80" s="24">
        <f>IF(AQ79&gt;0,ROUND(AQ79+AP80-AO80,2),0)</f>
        <v>0</v>
      </c>
      <c r="AR80" s="24">
        <f>IF(AQ79&gt;0,ROUND(AR79+ROUND(ROUND(AR79*100,0)*ROUND(AO$7*10000,0)/12000000,0)/100+0.02,2),0)</f>
        <v>0</v>
      </c>
      <c r="AS80" s="24">
        <f>IF(AU79&gt;0,IF(AND(ROUND(AU79+AT80-ROUND(AS$6+IF(AS$5=$C80,$E$5+$E80,0),2),2)&gt;0,ROUND(AU79+AT80-ROUND(AS$6+IF(AS$5=$C80,$E$5+$E80,0),2),2)&lt;=AV80,ROUND(AU79+AT80-ROUND(AS$6+IF(AS$5=$C80,$E$5+$E80,0),2),2)*10&lt;=ROUND(AS$6+IF(AS$5=$C80,$E$5+$E80,0),2)),ROUND(AU79+AT80,2),MIN(ROUND(AS$6+IF(AS$5=$C80,$E$5+$E80,0),2),ROUND(AU79+AT80,2))),0)</f>
        <v>0</v>
      </c>
      <c r="AT80" s="24">
        <f>IF(AU79&gt;0,ROUND(ROUND(AU79*100,0)*ROUND(AS$7*10000,0)/12000000,0)/100,0)</f>
        <v>0</v>
      </c>
      <c r="AU80" s="24">
        <f>IF(AU79&gt;0,ROUND(AU79+AT80-AS80,2),0)</f>
        <v>0</v>
      </c>
      <c r="AV80" s="24">
        <f>IF(AU79&gt;0,ROUND(AV79+ROUND(ROUND(AV79*100,0)*ROUND(AS$7*10000,0)/12000000,0)/100+0.02,2),0)</f>
        <v>0</v>
      </c>
    </row>
    <row r="81" spans="1:48" x14ac:dyDescent="0.25">
      <c r="A81" s="17" t="str">
        <f>IF(F81&gt;0,71,"")</f>
        <v/>
      </c>
      <c r="B81" s="18" t="str">
        <f>IF(F81&gt;0,EDATE($E$6,71),"")</f>
        <v/>
      </c>
      <c r="C81" s="21">
        <f>IF(H80&gt;0,MIN(IF(K80&gt;0,I$5,99),IF(O80&gt;0,M$5,99),IF(S80&gt;0,Q$5,99),IF(W80&gt;0,U$5,99),IF(AA80&gt;0,Y$5,99),IF(AE80&gt;0,AC$5,99),IF(AI80&gt;0,AG$5,99),IF(AM80&gt;0,AK$5,99),IF(AQ80&gt;0,AO$5,99),IF(AU80&gt;0,AS$5,99)),0)</f>
        <v>0</v>
      </c>
      <c r="D81" t="str">
        <f>IF(C81&gt;0,INDEX($I$4:$AV$4,1,MATCH(C81,$I$5:$AV$5,0)),"")</f>
        <v/>
      </c>
      <c r="E81" s="24">
        <f>ROUND(IF(AND(I$8&gt;0,K80=0),I$6,0)+IF(AND(M$8&gt;0,O80=0),M$6,0)+IF(AND(Q$8&gt;0,S80=0),Q$6,0)+IF(AND(U$8&gt;0,W80=0),U$6,0)+IF(AND(Y$8&gt;0,AA80=0),Y$6,0)+IF(AND(AC$8&gt;0,AE80=0),AC$6,0)+IF(AND(AG$8&gt;0,AI80=0),AG$6,0)+IF(AND(AK$8&gt;0,AM80=0),AK$6,0)+IF(AND(AO$8&gt;0,AQ80=0),AO$6,0)+IF(AND(AS$8&gt;0,AU80=0),AS$6,0),2)</f>
        <v>325</v>
      </c>
      <c r="F81" s="24">
        <f>ROUND(I81+M81+Q81+U81+Y81+AC81+AG81+AK81+AO81+AS81,2)</f>
        <v>0</v>
      </c>
      <c r="G81" s="24">
        <f>ROUND(J81+N81+R81+V81+Z81+AD81+AH81+AL81+AP81+AT81,2)</f>
        <v>0</v>
      </c>
      <c r="H81" s="24">
        <f>ROUND(K81+O81+S81+W81+AA81+AE81+AI81+AM81+AQ81+AU81,2)</f>
        <v>0</v>
      </c>
      <c r="I81" s="24">
        <f>IF(K80&gt;0,IF(AND(ROUND(K80+J81-ROUND(I$6+IF(I$5=$C81,$E$5+$E81,0),2),2)&gt;0,ROUND(K80+J81-ROUND(I$6+IF(I$5=$C81,$E$5+$E81,0),2),2)&lt;=L81,ROUND(K80+J81-ROUND(I$6+IF(I$5=$C81,$E$5+$E81,0),2),2)*10&lt;=ROUND(I$6+IF(I$5=$C81,$E$5+$E81,0),2)),ROUND(K80+J81,2),MIN(ROUND(I$6+IF(I$5=$C81,$E$5+$E81,0),2),ROUND(K80+J81,2))),0)</f>
        <v>0</v>
      </c>
      <c r="J81" s="24">
        <f>IF(K80&gt;0,ROUND(ROUND(K80*100,0)*ROUND(I$7*10000,0)/12000000,0)/100,0)</f>
        <v>0</v>
      </c>
      <c r="K81" s="24">
        <f>IF(K80&gt;0,ROUND(K80+J81-I81,2),0)</f>
        <v>0</v>
      </c>
      <c r="L81" s="24">
        <f>IF(K80&gt;0,ROUND(L80+ROUND(ROUND(L80*100,0)*ROUND(I$7*10000,0)/12000000,0)/100+0.02,2),0)</f>
        <v>0</v>
      </c>
      <c r="M81" s="24">
        <f>IF(O80&gt;0,IF(AND(ROUND(O80+N81-ROUND(M$6+IF(M$5=$C81,$E$5+$E81,0),2),2)&gt;0,ROUND(O80+N81-ROUND(M$6+IF(M$5=$C81,$E$5+$E81,0),2),2)&lt;=P81,ROUND(O80+N81-ROUND(M$6+IF(M$5=$C81,$E$5+$E81,0),2),2)*10&lt;=ROUND(M$6+IF(M$5=$C81,$E$5+$E81,0),2)),ROUND(O80+N81,2),MIN(ROUND(M$6+IF(M$5=$C81,$E$5+$E81,0),2),ROUND(O80+N81,2))),0)</f>
        <v>0</v>
      </c>
      <c r="N81" s="24">
        <f>IF(O80&gt;0,ROUND(ROUND(O80*100,0)*ROUND(M$7*10000,0)/12000000,0)/100,0)</f>
        <v>0</v>
      </c>
      <c r="O81" s="24">
        <f>IF(O80&gt;0,ROUND(O80+N81-M81,2),0)</f>
        <v>0</v>
      </c>
      <c r="P81" s="24">
        <f>IF(O80&gt;0,ROUND(P80+ROUND(ROUND(P80*100,0)*ROUND(M$7*10000,0)/12000000,0)/100+0.02,2),0)</f>
        <v>0</v>
      </c>
      <c r="Q81" s="24">
        <f>IF(S80&gt;0,IF(AND(ROUND(S80+R81-ROUND(Q$6+IF(Q$5=$C81,$E$5+$E81,0),2),2)&gt;0,ROUND(S80+R81-ROUND(Q$6+IF(Q$5=$C81,$E$5+$E81,0),2),2)&lt;=T81,ROUND(S80+R81-ROUND(Q$6+IF(Q$5=$C81,$E$5+$E81,0),2),2)*10&lt;=ROUND(Q$6+IF(Q$5=$C81,$E$5+$E81,0),2)),ROUND(S80+R81,2),MIN(ROUND(Q$6+IF(Q$5=$C81,$E$5+$E81,0),2),ROUND(S80+R81,2))),0)</f>
        <v>0</v>
      </c>
      <c r="R81" s="24">
        <f>IF(S80&gt;0,ROUND(ROUND(S80*100,0)*ROUND(Q$7*10000,0)/12000000,0)/100,0)</f>
        <v>0</v>
      </c>
      <c r="S81" s="24">
        <f>IF(S80&gt;0,ROUND(S80+R81-Q81,2),0)</f>
        <v>0</v>
      </c>
      <c r="T81" s="24">
        <f>IF(S80&gt;0,ROUND(T80+ROUND(ROUND(T80*100,0)*ROUND(Q$7*10000,0)/12000000,0)/100+0.02,2),0)</f>
        <v>0</v>
      </c>
      <c r="U81" s="24">
        <f>IF(W80&gt;0,IF(AND(ROUND(W80+V81-ROUND(U$6+IF(U$5=$C81,$E$5+$E81,0),2),2)&gt;0,ROUND(W80+V81-ROUND(U$6+IF(U$5=$C81,$E$5+$E81,0),2),2)&lt;=X81,ROUND(W80+V81-ROUND(U$6+IF(U$5=$C81,$E$5+$E81,0),2),2)*10&lt;=ROUND(U$6+IF(U$5=$C81,$E$5+$E81,0),2)),ROUND(W80+V81,2),MIN(ROUND(U$6+IF(U$5=$C81,$E$5+$E81,0),2),ROUND(W80+V81,2))),0)</f>
        <v>0</v>
      </c>
      <c r="V81" s="24">
        <f>IF(W80&gt;0,ROUND(ROUND(W80*100,0)*ROUND(U$7*10000,0)/12000000,0)/100,0)</f>
        <v>0</v>
      </c>
      <c r="W81" s="24">
        <f>IF(W80&gt;0,ROUND(W80+V81-U81,2),0)</f>
        <v>0</v>
      </c>
      <c r="X81" s="24">
        <f>IF(W80&gt;0,ROUND(X80+ROUND(ROUND(X80*100,0)*ROUND(U$7*10000,0)/12000000,0)/100+0.02,2),0)</f>
        <v>0</v>
      </c>
      <c r="Y81" s="24">
        <f>IF(AA80&gt;0,IF(AND(ROUND(AA80+Z81-ROUND(Y$6+IF(Y$5=$C81,$E$5+$E81,0),2),2)&gt;0,ROUND(AA80+Z81-ROUND(Y$6+IF(Y$5=$C81,$E$5+$E81,0),2),2)&lt;=AB81,ROUND(AA80+Z81-ROUND(Y$6+IF(Y$5=$C81,$E$5+$E81,0),2),2)*10&lt;=ROUND(Y$6+IF(Y$5=$C81,$E$5+$E81,0),2)),ROUND(AA80+Z81,2),MIN(ROUND(Y$6+IF(Y$5=$C81,$E$5+$E81,0),2),ROUND(AA80+Z81,2))),0)</f>
        <v>0</v>
      </c>
      <c r="Z81" s="24">
        <f>IF(AA80&gt;0,ROUND(ROUND(AA80*100,0)*ROUND(Y$7*10000,0)/12000000,0)/100,0)</f>
        <v>0</v>
      </c>
      <c r="AA81" s="24">
        <f>IF(AA80&gt;0,ROUND(AA80+Z81-Y81,2),0)</f>
        <v>0</v>
      </c>
      <c r="AB81" s="24">
        <f>IF(AA80&gt;0,ROUND(AB80+ROUND(ROUND(AB80*100,0)*ROUND(Y$7*10000,0)/12000000,0)/100+0.02,2),0)</f>
        <v>0</v>
      </c>
      <c r="AC81" s="24">
        <f>IF(AE80&gt;0,IF(AND(ROUND(AE80+AD81-ROUND(AC$6+IF(AC$5=$C81,$E$5+$E81,0),2),2)&gt;0,ROUND(AE80+AD81-ROUND(AC$6+IF(AC$5=$C81,$E$5+$E81,0),2),2)&lt;=AF81,ROUND(AE80+AD81-ROUND(AC$6+IF(AC$5=$C81,$E$5+$E81,0),2),2)*10&lt;=ROUND(AC$6+IF(AC$5=$C81,$E$5+$E81,0),2)),ROUND(AE80+AD81,2),MIN(ROUND(AC$6+IF(AC$5=$C81,$E$5+$E81,0),2),ROUND(AE80+AD81,2))),0)</f>
        <v>0</v>
      </c>
      <c r="AD81" s="24">
        <f>IF(AE80&gt;0,ROUND(ROUND(AE80*100,0)*ROUND(AC$7*10000,0)/12000000,0)/100,0)</f>
        <v>0</v>
      </c>
      <c r="AE81" s="24">
        <f>IF(AE80&gt;0,ROUND(AE80+AD81-AC81,2),0)</f>
        <v>0</v>
      </c>
      <c r="AF81" s="24">
        <f>IF(AE80&gt;0,ROUND(AF80+ROUND(ROUND(AF80*100,0)*ROUND(AC$7*10000,0)/12000000,0)/100+0.02,2),0)</f>
        <v>0</v>
      </c>
      <c r="AG81" s="24">
        <f>IF(AI80&gt;0,IF(AND(ROUND(AI80+AH81-ROUND(AG$6+IF(AG$5=$C81,$E$5+$E81,0),2),2)&gt;0,ROUND(AI80+AH81-ROUND(AG$6+IF(AG$5=$C81,$E$5+$E81,0),2),2)&lt;=AJ81,ROUND(AI80+AH81-ROUND(AG$6+IF(AG$5=$C81,$E$5+$E81,0),2),2)*10&lt;=ROUND(AG$6+IF(AG$5=$C81,$E$5+$E81,0),2)),ROUND(AI80+AH81,2),MIN(ROUND(AG$6+IF(AG$5=$C81,$E$5+$E81,0),2),ROUND(AI80+AH81,2))),0)</f>
        <v>0</v>
      </c>
      <c r="AH81" s="24">
        <f>IF(AI80&gt;0,ROUND(ROUND(AI80*100,0)*ROUND(AG$7*10000,0)/12000000,0)/100,0)</f>
        <v>0</v>
      </c>
      <c r="AI81" s="24">
        <f>IF(AI80&gt;0,ROUND(AI80+AH81-AG81,2),0)</f>
        <v>0</v>
      </c>
      <c r="AJ81" s="24">
        <f>IF(AI80&gt;0,ROUND(AJ80+ROUND(ROUND(AJ80*100,0)*ROUND(AG$7*10000,0)/12000000,0)/100+0.02,2),0)</f>
        <v>0</v>
      </c>
      <c r="AK81" s="24">
        <f>IF(AM80&gt;0,IF(AND(ROUND(AM80+AL81-ROUND(AK$6+IF(AK$5=$C81,$E$5+$E81,0),2),2)&gt;0,ROUND(AM80+AL81-ROUND(AK$6+IF(AK$5=$C81,$E$5+$E81,0),2),2)&lt;=AN81,ROUND(AM80+AL81-ROUND(AK$6+IF(AK$5=$C81,$E$5+$E81,0),2),2)*10&lt;=ROUND(AK$6+IF(AK$5=$C81,$E$5+$E81,0),2)),ROUND(AM80+AL81,2),MIN(ROUND(AK$6+IF(AK$5=$C81,$E$5+$E81,0),2),ROUND(AM80+AL81,2))),0)</f>
        <v>0</v>
      </c>
      <c r="AL81" s="24">
        <f>IF(AM80&gt;0,ROUND(ROUND(AM80*100,0)*ROUND(AK$7*10000,0)/12000000,0)/100,0)</f>
        <v>0</v>
      </c>
      <c r="AM81" s="24">
        <f>IF(AM80&gt;0,ROUND(AM80+AL81-AK81,2),0)</f>
        <v>0</v>
      </c>
      <c r="AN81" s="24">
        <f>IF(AM80&gt;0,ROUND(AN80+ROUND(ROUND(AN80*100,0)*ROUND(AK$7*10000,0)/12000000,0)/100+0.02,2),0)</f>
        <v>0</v>
      </c>
      <c r="AO81" s="24">
        <f>IF(AQ80&gt;0,IF(AND(ROUND(AQ80+AP81-ROUND(AO$6+IF(AO$5=$C81,$E$5+$E81,0),2),2)&gt;0,ROUND(AQ80+AP81-ROUND(AO$6+IF(AO$5=$C81,$E$5+$E81,0),2),2)&lt;=AR81,ROUND(AQ80+AP81-ROUND(AO$6+IF(AO$5=$C81,$E$5+$E81,0),2),2)*10&lt;=ROUND(AO$6+IF(AO$5=$C81,$E$5+$E81,0),2)),ROUND(AQ80+AP81,2),MIN(ROUND(AO$6+IF(AO$5=$C81,$E$5+$E81,0),2),ROUND(AQ80+AP81,2))),0)</f>
        <v>0</v>
      </c>
      <c r="AP81" s="24">
        <f>IF(AQ80&gt;0,ROUND(ROUND(AQ80*100,0)*ROUND(AO$7*10000,0)/12000000,0)/100,0)</f>
        <v>0</v>
      </c>
      <c r="AQ81" s="24">
        <f>IF(AQ80&gt;0,ROUND(AQ80+AP81-AO81,2),0)</f>
        <v>0</v>
      </c>
      <c r="AR81" s="24">
        <f>IF(AQ80&gt;0,ROUND(AR80+ROUND(ROUND(AR80*100,0)*ROUND(AO$7*10000,0)/12000000,0)/100+0.02,2),0)</f>
        <v>0</v>
      </c>
      <c r="AS81" s="24">
        <f>IF(AU80&gt;0,IF(AND(ROUND(AU80+AT81-ROUND(AS$6+IF(AS$5=$C81,$E$5+$E81,0),2),2)&gt;0,ROUND(AU80+AT81-ROUND(AS$6+IF(AS$5=$C81,$E$5+$E81,0),2),2)&lt;=AV81,ROUND(AU80+AT81-ROUND(AS$6+IF(AS$5=$C81,$E$5+$E81,0),2),2)*10&lt;=ROUND(AS$6+IF(AS$5=$C81,$E$5+$E81,0),2)),ROUND(AU80+AT81,2),MIN(ROUND(AS$6+IF(AS$5=$C81,$E$5+$E81,0),2),ROUND(AU80+AT81,2))),0)</f>
        <v>0</v>
      </c>
      <c r="AT81" s="24">
        <f>IF(AU80&gt;0,ROUND(ROUND(AU80*100,0)*ROUND(AS$7*10000,0)/12000000,0)/100,0)</f>
        <v>0</v>
      </c>
      <c r="AU81" s="24">
        <f>IF(AU80&gt;0,ROUND(AU80+AT81-AS81,2),0)</f>
        <v>0</v>
      </c>
      <c r="AV81" s="24">
        <f>IF(AU80&gt;0,ROUND(AV80+ROUND(ROUND(AV80*100,0)*ROUND(AS$7*10000,0)/12000000,0)/100+0.02,2),0)</f>
        <v>0</v>
      </c>
    </row>
    <row r="82" spans="1:48" x14ac:dyDescent="0.25">
      <c r="A82" s="17" t="str">
        <f>IF(F82&gt;0,72,"")</f>
        <v/>
      </c>
      <c r="B82" s="18" t="str">
        <f>IF(F82&gt;0,EDATE($E$6,72),"")</f>
        <v/>
      </c>
      <c r="C82" s="21">
        <f>IF(H81&gt;0,MIN(IF(K81&gt;0,I$5,99),IF(O81&gt;0,M$5,99),IF(S81&gt;0,Q$5,99),IF(W81&gt;0,U$5,99),IF(AA81&gt;0,Y$5,99),IF(AE81&gt;0,AC$5,99),IF(AI81&gt;0,AG$5,99),IF(AM81&gt;0,AK$5,99),IF(AQ81&gt;0,AO$5,99),IF(AU81&gt;0,AS$5,99)),0)</f>
        <v>0</v>
      </c>
      <c r="D82" t="str">
        <f>IF(C82&gt;0,INDEX($I$4:$AV$4,1,MATCH(C82,$I$5:$AV$5,0)),"")</f>
        <v/>
      </c>
      <c r="E82" s="24">
        <f>ROUND(IF(AND(I$8&gt;0,K81=0),I$6,0)+IF(AND(M$8&gt;0,O81=0),M$6,0)+IF(AND(Q$8&gt;0,S81=0),Q$6,0)+IF(AND(U$8&gt;0,W81=0),U$6,0)+IF(AND(Y$8&gt;0,AA81=0),Y$6,0)+IF(AND(AC$8&gt;0,AE81=0),AC$6,0)+IF(AND(AG$8&gt;0,AI81=0),AG$6,0)+IF(AND(AK$8&gt;0,AM81=0),AK$6,0)+IF(AND(AO$8&gt;0,AQ81=0),AO$6,0)+IF(AND(AS$8&gt;0,AU81=0),AS$6,0),2)</f>
        <v>325</v>
      </c>
      <c r="F82" s="24">
        <f>ROUND(I82+M82+Q82+U82+Y82+AC82+AG82+AK82+AO82+AS82,2)</f>
        <v>0</v>
      </c>
      <c r="G82" s="24">
        <f>ROUND(J82+N82+R82+V82+Z82+AD82+AH82+AL82+AP82+AT82,2)</f>
        <v>0</v>
      </c>
      <c r="H82" s="24">
        <f>ROUND(K82+O82+S82+W82+AA82+AE82+AI82+AM82+AQ82+AU82,2)</f>
        <v>0</v>
      </c>
      <c r="I82" s="24">
        <f>IF(K81&gt;0,IF(AND(ROUND(K81+J82-ROUND(I$6+IF(I$5=$C82,$E$5+$E82,0),2),2)&gt;0,ROUND(K81+J82-ROUND(I$6+IF(I$5=$C82,$E$5+$E82,0),2),2)&lt;=L82,ROUND(K81+J82-ROUND(I$6+IF(I$5=$C82,$E$5+$E82,0),2),2)*10&lt;=ROUND(I$6+IF(I$5=$C82,$E$5+$E82,0),2)),ROUND(K81+J82,2),MIN(ROUND(I$6+IF(I$5=$C82,$E$5+$E82,0),2),ROUND(K81+J82,2))),0)</f>
        <v>0</v>
      </c>
      <c r="J82" s="24">
        <f>IF(K81&gt;0,ROUND(ROUND(K81*100,0)*ROUND(I$7*10000,0)/12000000,0)/100,0)</f>
        <v>0</v>
      </c>
      <c r="K82" s="24">
        <f>IF(K81&gt;0,ROUND(K81+J82-I82,2),0)</f>
        <v>0</v>
      </c>
      <c r="L82" s="24">
        <f>IF(K81&gt;0,ROUND(L81+ROUND(ROUND(L81*100,0)*ROUND(I$7*10000,0)/12000000,0)/100+0.02,2),0)</f>
        <v>0</v>
      </c>
      <c r="M82" s="24">
        <f>IF(O81&gt;0,IF(AND(ROUND(O81+N82-ROUND(M$6+IF(M$5=$C82,$E$5+$E82,0),2),2)&gt;0,ROUND(O81+N82-ROUND(M$6+IF(M$5=$C82,$E$5+$E82,0),2),2)&lt;=P82,ROUND(O81+N82-ROUND(M$6+IF(M$5=$C82,$E$5+$E82,0),2),2)*10&lt;=ROUND(M$6+IF(M$5=$C82,$E$5+$E82,0),2)),ROUND(O81+N82,2),MIN(ROUND(M$6+IF(M$5=$C82,$E$5+$E82,0),2),ROUND(O81+N82,2))),0)</f>
        <v>0</v>
      </c>
      <c r="N82" s="24">
        <f>IF(O81&gt;0,ROUND(ROUND(O81*100,0)*ROUND(M$7*10000,0)/12000000,0)/100,0)</f>
        <v>0</v>
      </c>
      <c r="O82" s="24">
        <f>IF(O81&gt;0,ROUND(O81+N82-M82,2),0)</f>
        <v>0</v>
      </c>
      <c r="P82" s="24">
        <f>IF(O81&gt;0,ROUND(P81+ROUND(ROUND(P81*100,0)*ROUND(M$7*10000,0)/12000000,0)/100+0.02,2),0)</f>
        <v>0</v>
      </c>
      <c r="Q82" s="24">
        <f>IF(S81&gt;0,IF(AND(ROUND(S81+R82-ROUND(Q$6+IF(Q$5=$C82,$E$5+$E82,0),2),2)&gt;0,ROUND(S81+R82-ROUND(Q$6+IF(Q$5=$C82,$E$5+$E82,0),2),2)&lt;=T82,ROUND(S81+R82-ROUND(Q$6+IF(Q$5=$C82,$E$5+$E82,0),2),2)*10&lt;=ROUND(Q$6+IF(Q$5=$C82,$E$5+$E82,0),2)),ROUND(S81+R82,2),MIN(ROUND(Q$6+IF(Q$5=$C82,$E$5+$E82,0),2),ROUND(S81+R82,2))),0)</f>
        <v>0</v>
      </c>
      <c r="R82" s="24">
        <f>IF(S81&gt;0,ROUND(ROUND(S81*100,0)*ROUND(Q$7*10000,0)/12000000,0)/100,0)</f>
        <v>0</v>
      </c>
      <c r="S82" s="24">
        <f>IF(S81&gt;0,ROUND(S81+R82-Q82,2),0)</f>
        <v>0</v>
      </c>
      <c r="T82" s="24">
        <f>IF(S81&gt;0,ROUND(T81+ROUND(ROUND(T81*100,0)*ROUND(Q$7*10000,0)/12000000,0)/100+0.02,2),0)</f>
        <v>0</v>
      </c>
      <c r="U82" s="24">
        <f>IF(W81&gt;0,IF(AND(ROUND(W81+V82-ROUND(U$6+IF(U$5=$C82,$E$5+$E82,0),2),2)&gt;0,ROUND(W81+V82-ROUND(U$6+IF(U$5=$C82,$E$5+$E82,0),2),2)&lt;=X82,ROUND(W81+V82-ROUND(U$6+IF(U$5=$C82,$E$5+$E82,0),2),2)*10&lt;=ROUND(U$6+IF(U$5=$C82,$E$5+$E82,0),2)),ROUND(W81+V82,2),MIN(ROUND(U$6+IF(U$5=$C82,$E$5+$E82,0),2),ROUND(W81+V82,2))),0)</f>
        <v>0</v>
      </c>
      <c r="V82" s="24">
        <f>IF(W81&gt;0,ROUND(ROUND(W81*100,0)*ROUND(U$7*10000,0)/12000000,0)/100,0)</f>
        <v>0</v>
      </c>
      <c r="W82" s="24">
        <f>IF(W81&gt;0,ROUND(W81+V82-U82,2),0)</f>
        <v>0</v>
      </c>
      <c r="X82" s="24">
        <f>IF(W81&gt;0,ROUND(X81+ROUND(ROUND(X81*100,0)*ROUND(U$7*10000,0)/12000000,0)/100+0.02,2),0)</f>
        <v>0</v>
      </c>
      <c r="Y82" s="24">
        <f>IF(AA81&gt;0,IF(AND(ROUND(AA81+Z82-ROUND(Y$6+IF(Y$5=$C82,$E$5+$E82,0),2),2)&gt;0,ROUND(AA81+Z82-ROUND(Y$6+IF(Y$5=$C82,$E$5+$E82,0),2),2)&lt;=AB82,ROUND(AA81+Z82-ROUND(Y$6+IF(Y$5=$C82,$E$5+$E82,0),2),2)*10&lt;=ROUND(Y$6+IF(Y$5=$C82,$E$5+$E82,0),2)),ROUND(AA81+Z82,2),MIN(ROUND(Y$6+IF(Y$5=$C82,$E$5+$E82,0),2),ROUND(AA81+Z82,2))),0)</f>
        <v>0</v>
      </c>
      <c r="Z82" s="24">
        <f>IF(AA81&gt;0,ROUND(ROUND(AA81*100,0)*ROUND(Y$7*10000,0)/12000000,0)/100,0)</f>
        <v>0</v>
      </c>
      <c r="AA82" s="24">
        <f>IF(AA81&gt;0,ROUND(AA81+Z82-Y82,2),0)</f>
        <v>0</v>
      </c>
      <c r="AB82" s="24">
        <f>IF(AA81&gt;0,ROUND(AB81+ROUND(ROUND(AB81*100,0)*ROUND(Y$7*10000,0)/12000000,0)/100+0.02,2),0)</f>
        <v>0</v>
      </c>
      <c r="AC82" s="24">
        <f>IF(AE81&gt;0,IF(AND(ROUND(AE81+AD82-ROUND(AC$6+IF(AC$5=$C82,$E$5+$E82,0),2),2)&gt;0,ROUND(AE81+AD82-ROUND(AC$6+IF(AC$5=$C82,$E$5+$E82,0),2),2)&lt;=AF82,ROUND(AE81+AD82-ROUND(AC$6+IF(AC$5=$C82,$E$5+$E82,0),2),2)*10&lt;=ROUND(AC$6+IF(AC$5=$C82,$E$5+$E82,0),2)),ROUND(AE81+AD82,2),MIN(ROUND(AC$6+IF(AC$5=$C82,$E$5+$E82,0),2),ROUND(AE81+AD82,2))),0)</f>
        <v>0</v>
      </c>
      <c r="AD82" s="24">
        <f>IF(AE81&gt;0,ROUND(ROUND(AE81*100,0)*ROUND(AC$7*10000,0)/12000000,0)/100,0)</f>
        <v>0</v>
      </c>
      <c r="AE82" s="24">
        <f>IF(AE81&gt;0,ROUND(AE81+AD82-AC82,2),0)</f>
        <v>0</v>
      </c>
      <c r="AF82" s="24">
        <f>IF(AE81&gt;0,ROUND(AF81+ROUND(ROUND(AF81*100,0)*ROUND(AC$7*10000,0)/12000000,0)/100+0.02,2),0)</f>
        <v>0</v>
      </c>
      <c r="AG82" s="24">
        <f>IF(AI81&gt;0,IF(AND(ROUND(AI81+AH82-ROUND(AG$6+IF(AG$5=$C82,$E$5+$E82,0),2),2)&gt;0,ROUND(AI81+AH82-ROUND(AG$6+IF(AG$5=$C82,$E$5+$E82,0),2),2)&lt;=AJ82,ROUND(AI81+AH82-ROUND(AG$6+IF(AG$5=$C82,$E$5+$E82,0),2),2)*10&lt;=ROUND(AG$6+IF(AG$5=$C82,$E$5+$E82,0),2)),ROUND(AI81+AH82,2),MIN(ROUND(AG$6+IF(AG$5=$C82,$E$5+$E82,0),2),ROUND(AI81+AH82,2))),0)</f>
        <v>0</v>
      </c>
      <c r="AH82" s="24">
        <f>IF(AI81&gt;0,ROUND(ROUND(AI81*100,0)*ROUND(AG$7*10000,0)/12000000,0)/100,0)</f>
        <v>0</v>
      </c>
      <c r="AI82" s="24">
        <f>IF(AI81&gt;0,ROUND(AI81+AH82-AG82,2),0)</f>
        <v>0</v>
      </c>
      <c r="AJ82" s="24">
        <f>IF(AI81&gt;0,ROUND(AJ81+ROUND(ROUND(AJ81*100,0)*ROUND(AG$7*10000,0)/12000000,0)/100+0.02,2),0)</f>
        <v>0</v>
      </c>
      <c r="AK82" s="24">
        <f>IF(AM81&gt;0,IF(AND(ROUND(AM81+AL82-ROUND(AK$6+IF(AK$5=$C82,$E$5+$E82,0),2),2)&gt;0,ROUND(AM81+AL82-ROUND(AK$6+IF(AK$5=$C82,$E$5+$E82,0),2),2)&lt;=AN82,ROUND(AM81+AL82-ROUND(AK$6+IF(AK$5=$C82,$E$5+$E82,0),2),2)*10&lt;=ROUND(AK$6+IF(AK$5=$C82,$E$5+$E82,0),2)),ROUND(AM81+AL82,2),MIN(ROUND(AK$6+IF(AK$5=$C82,$E$5+$E82,0),2),ROUND(AM81+AL82,2))),0)</f>
        <v>0</v>
      </c>
      <c r="AL82" s="24">
        <f>IF(AM81&gt;0,ROUND(ROUND(AM81*100,0)*ROUND(AK$7*10000,0)/12000000,0)/100,0)</f>
        <v>0</v>
      </c>
      <c r="AM82" s="24">
        <f>IF(AM81&gt;0,ROUND(AM81+AL82-AK82,2),0)</f>
        <v>0</v>
      </c>
      <c r="AN82" s="24">
        <f>IF(AM81&gt;0,ROUND(AN81+ROUND(ROUND(AN81*100,0)*ROUND(AK$7*10000,0)/12000000,0)/100+0.02,2),0)</f>
        <v>0</v>
      </c>
      <c r="AO82" s="24">
        <f>IF(AQ81&gt;0,IF(AND(ROUND(AQ81+AP82-ROUND(AO$6+IF(AO$5=$C82,$E$5+$E82,0),2),2)&gt;0,ROUND(AQ81+AP82-ROUND(AO$6+IF(AO$5=$C82,$E$5+$E82,0),2),2)&lt;=AR82,ROUND(AQ81+AP82-ROUND(AO$6+IF(AO$5=$C82,$E$5+$E82,0),2),2)*10&lt;=ROUND(AO$6+IF(AO$5=$C82,$E$5+$E82,0),2)),ROUND(AQ81+AP82,2),MIN(ROUND(AO$6+IF(AO$5=$C82,$E$5+$E82,0),2),ROUND(AQ81+AP82,2))),0)</f>
        <v>0</v>
      </c>
      <c r="AP82" s="24">
        <f>IF(AQ81&gt;0,ROUND(ROUND(AQ81*100,0)*ROUND(AO$7*10000,0)/12000000,0)/100,0)</f>
        <v>0</v>
      </c>
      <c r="AQ82" s="24">
        <f>IF(AQ81&gt;0,ROUND(AQ81+AP82-AO82,2),0)</f>
        <v>0</v>
      </c>
      <c r="AR82" s="24">
        <f>IF(AQ81&gt;0,ROUND(AR81+ROUND(ROUND(AR81*100,0)*ROUND(AO$7*10000,0)/12000000,0)/100+0.02,2),0)</f>
        <v>0</v>
      </c>
      <c r="AS82" s="24">
        <f>IF(AU81&gt;0,IF(AND(ROUND(AU81+AT82-ROUND(AS$6+IF(AS$5=$C82,$E$5+$E82,0),2),2)&gt;0,ROUND(AU81+AT82-ROUND(AS$6+IF(AS$5=$C82,$E$5+$E82,0),2),2)&lt;=AV82,ROUND(AU81+AT82-ROUND(AS$6+IF(AS$5=$C82,$E$5+$E82,0),2),2)*10&lt;=ROUND(AS$6+IF(AS$5=$C82,$E$5+$E82,0),2)),ROUND(AU81+AT82,2),MIN(ROUND(AS$6+IF(AS$5=$C82,$E$5+$E82,0),2),ROUND(AU81+AT82,2))),0)</f>
        <v>0</v>
      </c>
      <c r="AT82" s="24">
        <f>IF(AU81&gt;0,ROUND(ROUND(AU81*100,0)*ROUND(AS$7*10000,0)/12000000,0)/100,0)</f>
        <v>0</v>
      </c>
      <c r="AU82" s="24">
        <f>IF(AU81&gt;0,ROUND(AU81+AT82-AS82,2),0)</f>
        <v>0</v>
      </c>
      <c r="AV82" s="24">
        <f>IF(AU81&gt;0,ROUND(AV81+ROUND(ROUND(AV81*100,0)*ROUND(AS$7*10000,0)/12000000,0)/100+0.02,2),0)</f>
        <v>0</v>
      </c>
    </row>
    <row r="83" spans="1:48" x14ac:dyDescent="0.25">
      <c r="A83" s="17" t="str">
        <f>IF(F83&gt;0,73,"")</f>
        <v/>
      </c>
      <c r="B83" s="18" t="str">
        <f>IF(F83&gt;0,EDATE($E$6,73),"")</f>
        <v/>
      </c>
      <c r="C83" s="21">
        <f>IF(H82&gt;0,MIN(IF(K82&gt;0,I$5,99),IF(O82&gt;0,M$5,99),IF(S82&gt;0,Q$5,99),IF(W82&gt;0,U$5,99),IF(AA82&gt;0,Y$5,99),IF(AE82&gt;0,AC$5,99),IF(AI82&gt;0,AG$5,99),IF(AM82&gt;0,AK$5,99),IF(AQ82&gt;0,AO$5,99),IF(AU82&gt;0,AS$5,99)),0)</f>
        <v>0</v>
      </c>
      <c r="D83" t="str">
        <f>IF(C83&gt;0,INDEX($I$4:$AV$4,1,MATCH(C83,$I$5:$AV$5,0)),"")</f>
        <v/>
      </c>
      <c r="E83" s="24">
        <f>ROUND(IF(AND(I$8&gt;0,K82=0),I$6,0)+IF(AND(M$8&gt;0,O82=0),M$6,0)+IF(AND(Q$8&gt;0,S82=0),Q$6,0)+IF(AND(U$8&gt;0,W82=0),U$6,0)+IF(AND(Y$8&gt;0,AA82=0),Y$6,0)+IF(AND(AC$8&gt;0,AE82=0),AC$6,0)+IF(AND(AG$8&gt;0,AI82=0),AG$6,0)+IF(AND(AK$8&gt;0,AM82=0),AK$6,0)+IF(AND(AO$8&gt;0,AQ82=0),AO$6,0)+IF(AND(AS$8&gt;0,AU82=0),AS$6,0),2)</f>
        <v>325</v>
      </c>
      <c r="F83" s="24">
        <f>ROUND(I83+M83+Q83+U83+Y83+AC83+AG83+AK83+AO83+AS83,2)</f>
        <v>0</v>
      </c>
      <c r="G83" s="24">
        <f>ROUND(J83+N83+R83+V83+Z83+AD83+AH83+AL83+AP83+AT83,2)</f>
        <v>0</v>
      </c>
      <c r="H83" s="24">
        <f>ROUND(K83+O83+S83+W83+AA83+AE83+AI83+AM83+AQ83+AU83,2)</f>
        <v>0</v>
      </c>
      <c r="I83" s="24">
        <f>IF(K82&gt;0,IF(AND(ROUND(K82+J83-ROUND(I$6+IF(I$5=$C83,$E$5+$E83,0),2),2)&gt;0,ROUND(K82+J83-ROUND(I$6+IF(I$5=$C83,$E$5+$E83,0),2),2)&lt;=L83,ROUND(K82+J83-ROUND(I$6+IF(I$5=$C83,$E$5+$E83,0),2),2)*10&lt;=ROUND(I$6+IF(I$5=$C83,$E$5+$E83,0),2)),ROUND(K82+J83,2),MIN(ROUND(I$6+IF(I$5=$C83,$E$5+$E83,0),2),ROUND(K82+J83,2))),0)</f>
        <v>0</v>
      </c>
      <c r="J83" s="24">
        <f>IF(K82&gt;0,ROUND(ROUND(K82*100,0)*ROUND(I$7*10000,0)/12000000,0)/100,0)</f>
        <v>0</v>
      </c>
      <c r="K83" s="24">
        <f>IF(K82&gt;0,ROUND(K82+J83-I83,2),0)</f>
        <v>0</v>
      </c>
      <c r="L83" s="24">
        <f>IF(K82&gt;0,ROUND(L82+ROUND(ROUND(L82*100,0)*ROUND(I$7*10000,0)/12000000,0)/100+0.02,2),0)</f>
        <v>0</v>
      </c>
      <c r="M83" s="24">
        <f>IF(O82&gt;0,IF(AND(ROUND(O82+N83-ROUND(M$6+IF(M$5=$C83,$E$5+$E83,0),2),2)&gt;0,ROUND(O82+N83-ROUND(M$6+IF(M$5=$C83,$E$5+$E83,0),2),2)&lt;=P83,ROUND(O82+N83-ROUND(M$6+IF(M$5=$C83,$E$5+$E83,0),2),2)*10&lt;=ROUND(M$6+IF(M$5=$C83,$E$5+$E83,0),2)),ROUND(O82+N83,2),MIN(ROUND(M$6+IF(M$5=$C83,$E$5+$E83,0),2),ROUND(O82+N83,2))),0)</f>
        <v>0</v>
      </c>
      <c r="N83" s="24">
        <f>IF(O82&gt;0,ROUND(ROUND(O82*100,0)*ROUND(M$7*10000,0)/12000000,0)/100,0)</f>
        <v>0</v>
      </c>
      <c r="O83" s="24">
        <f>IF(O82&gt;0,ROUND(O82+N83-M83,2),0)</f>
        <v>0</v>
      </c>
      <c r="P83" s="24">
        <f>IF(O82&gt;0,ROUND(P82+ROUND(ROUND(P82*100,0)*ROUND(M$7*10000,0)/12000000,0)/100+0.02,2),0)</f>
        <v>0</v>
      </c>
      <c r="Q83" s="24">
        <f>IF(S82&gt;0,IF(AND(ROUND(S82+R83-ROUND(Q$6+IF(Q$5=$C83,$E$5+$E83,0),2),2)&gt;0,ROUND(S82+R83-ROUND(Q$6+IF(Q$5=$C83,$E$5+$E83,0),2),2)&lt;=T83,ROUND(S82+R83-ROUND(Q$6+IF(Q$5=$C83,$E$5+$E83,0),2),2)*10&lt;=ROUND(Q$6+IF(Q$5=$C83,$E$5+$E83,0),2)),ROUND(S82+R83,2),MIN(ROUND(Q$6+IF(Q$5=$C83,$E$5+$E83,0),2),ROUND(S82+R83,2))),0)</f>
        <v>0</v>
      </c>
      <c r="R83" s="24">
        <f>IF(S82&gt;0,ROUND(ROUND(S82*100,0)*ROUND(Q$7*10000,0)/12000000,0)/100,0)</f>
        <v>0</v>
      </c>
      <c r="S83" s="24">
        <f>IF(S82&gt;0,ROUND(S82+R83-Q83,2),0)</f>
        <v>0</v>
      </c>
      <c r="T83" s="24">
        <f>IF(S82&gt;0,ROUND(T82+ROUND(ROUND(T82*100,0)*ROUND(Q$7*10000,0)/12000000,0)/100+0.02,2),0)</f>
        <v>0</v>
      </c>
      <c r="U83" s="24">
        <f>IF(W82&gt;0,IF(AND(ROUND(W82+V83-ROUND(U$6+IF(U$5=$C83,$E$5+$E83,0),2),2)&gt;0,ROUND(W82+V83-ROUND(U$6+IF(U$5=$C83,$E$5+$E83,0),2),2)&lt;=X83,ROUND(W82+V83-ROUND(U$6+IF(U$5=$C83,$E$5+$E83,0),2),2)*10&lt;=ROUND(U$6+IF(U$5=$C83,$E$5+$E83,0),2)),ROUND(W82+V83,2),MIN(ROUND(U$6+IF(U$5=$C83,$E$5+$E83,0),2),ROUND(W82+V83,2))),0)</f>
        <v>0</v>
      </c>
      <c r="V83" s="24">
        <f>IF(W82&gt;0,ROUND(ROUND(W82*100,0)*ROUND(U$7*10000,0)/12000000,0)/100,0)</f>
        <v>0</v>
      </c>
      <c r="W83" s="24">
        <f>IF(W82&gt;0,ROUND(W82+V83-U83,2),0)</f>
        <v>0</v>
      </c>
      <c r="X83" s="24">
        <f>IF(W82&gt;0,ROUND(X82+ROUND(ROUND(X82*100,0)*ROUND(U$7*10000,0)/12000000,0)/100+0.02,2),0)</f>
        <v>0</v>
      </c>
      <c r="Y83" s="24">
        <f>IF(AA82&gt;0,IF(AND(ROUND(AA82+Z83-ROUND(Y$6+IF(Y$5=$C83,$E$5+$E83,0),2),2)&gt;0,ROUND(AA82+Z83-ROUND(Y$6+IF(Y$5=$C83,$E$5+$E83,0),2),2)&lt;=AB83,ROUND(AA82+Z83-ROUND(Y$6+IF(Y$5=$C83,$E$5+$E83,0),2),2)*10&lt;=ROUND(Y$6+IF(Y$5=$C83,$E$5+$E83,0),2)),ROUND(AA82+Z83,2),MIN(ROUND(Y$6+IF(Y$5=$C83,$E$5+$E83,0),2),ROUND(AA82+Z83,2))),0)</f>
        <v>0</v>
      </c>
      <c r="Z83" s="24">
        <f>IF(AA82&gt;0,ROUND(ROUND(AA82*100,0)*ROUND(Y$7*10000,0)/12000000,0)/100,0)</f>
        <v>0</v>
      </c>
      <c r="AA83" s="24">
        <f>IF(AA82&gt;0,ROUND(AA82+Z83-Y83,2),0)</f>
        <v>0</v>
      </c>
      <c r="AB83" s="24">
        <f>IF(AA82&gt;0,ROUND(AB82+ROUND(ROUND(AB82*100,0)*ROUND(Y$7*10000,0)/12000000,0)/100+0.02,2),0)</f>
        <v>0</v>
      </c>
      <c r="AC83" s="24">
        <f>IF(AE82&gt;0,IF(AND(ROUND(AE82+AD83-ROUND(AC$6+IF(AC$5=$C83,$E$5+$E83,0),2),2)&gt;0,ROUND(AE82+AD83-ROUND(AC$6+IF(AC$5=$C83,$E$5+$E83,0),2),2)&lt;=AF83,ROUND(AE82+AD83-ROUND(AC$6+IF(AC$5=$C83,$E$5+$E83,0),2),2)*10&lt;=ROUND(AC$6+IF(AC$5=$C83,$E$5+$E83,0),2)),ROUND(AE82+AD83,2),MIN(ROUND(AC$6+IF(AC$5=$C83,$E$5+$E83,0),2),ROUND(AE82+AD83,2))),0)</f>
        <v>0</v>
      </c>
      <c r="AD83" s="24">
        <f>IF(AE82&gt;0,ROUND(ROUND(AE82*100,0)*ROUND(AC$7*10000,0)/12000000,0)/100,0)</f>
        <v>0</v>
      </c>
      <c r="AE83" s="24">
        <f>IF(AE82&gt;0,ROUND(AE82+AD83-AC83,2),0)</f>
        <v>0</v>
      </c>
      <c r="AF83" s="24">
        <f>IF(AE82&gt;0,ROUND(AF82+ROUND(ROUND(AF82*100,0)*ROUND(AC$7*10000,0)/12000000,0)/100+0.02,2),0)</f>
        <v>0</v>
      </c>
      <c r="AG83" s="24">
        <f>IF(AI82&gt;0,IF(AND(ROUND(AI82+AH83-ROUND(AG$6+IF(AG$5=$C83,$E$5+$E83,0),2),2)&gt;0,ROUND(AI82+AH83-ROUND(AG$6+IF(AG$5=$C83,$E$5+$E83,0),2),2)&lt;=AJ83,ROUND(AI82+AH83-ROUND(AG$6+IF(AG$5=$C83,$E$5+$E83,0),2),2)*10&lt;=ROUND(AG$6+IF(AG$5=$C83,$E$5+$E83,0),2)),ROUND(AI82+AH83,2),MIN(ROUND(AG$6+IF(AG$5=$C83,$E$5+$E83,0),2),ROUND(AI82+AH83,2))),0)</f>
        <v>0</v>
      </c>
      <c r="AH83" s="24">
        <f>IF(AI82&gt;0,ROUND(ROUND(AI82*100,0)*ROUND(AG$7*10000,0)/12000000,0)/100,0)</f>
        <v>0</v>
      </c>
      <c r="AI83" s="24">
        <f>IF(AI82&gt;0,ROUND(AI82+AH83-AG83,2),0)</f>
        <v>0</v>
      </c>
      <c r="AJ83" s="24">
        <f>IF(AI82&gt;0,ROUND(AJ82+ROUND(ROUND(AJ82*100,0)*ROUND(AG$7*10000,0)/12000000,0)/100+0.02,2),0)</f>
        <v>0</v>
      </c>
      <c r="AK83" s="24">
        <f>IF(AM82&gt;0,IF(AND(ROUND(AM82+AL83-ROUND(AK$6+IF(AK$5=$C83,$E$5+$E83,0),2),2)&gt;0,ROUND(AM82+AL83-ROUND(AK$6+IF(AK$5=$C83,$E$5+$E83,0),2),2)&lt;=AN83,ROUND(AM82+AL83-ROUND(AK$6+IF(AK$5=$C83,$E$5+$E83,0),2),2)*10&lt;=ROUND(AK$6+IF(AK$5=$C83,$E$5+$E83,0),2)),ROUND(AM82+AL83,2),MIN(ROUND(AK$6+IF(AK$5=$C83,$E$5+$E83,0),2),ROUND(AM82+AL83,2))),0)</f>
        <v>0</v>
      </c>
      <c r="AL83" s="24">
        <f>IF(AM82&gt;0,ROUND(ROUND(AM82*100,0)*ROUND(AK$7*10000,0)/12000000,0)/100,0)</f>
        <v>0</v>
      </c>
      <c r="AM83" s="24">
        <f>IF(AM82&gt;0,ROUND(AM82+AL83-AK83,2),0)</f>
        <v>0</v>
      </c>
      <c r="AN83" s="24">
        <f>IF(AM82&gt;0,ROUND(AN82+ROUND(ROUND(AN82*100,0)*ROUND(AK$7*10000,0)/12000000,0)/100+0.02,2),0)</f>
        <v>0</v>
      </c>
      <c r="AO83" s="24">
        <f>IF(AQ82&gt;0,IF(AND(ROUND(AQ82+AP83-ROUND(AO$6+IF(AO$5=$C83,$E$5+$E83,0),2),2)&gt;0,ROUND(AQ82+AP83-ROUND(AO$6+IF(AO$5=$C83,$E$5+$E83,0),2),2)&lt;=AR83,ROUND(AQ82+AP83-ROUND(AO$6+IF(AO$5=$C83,$E$5+$E83,0),2),2)*10&lt;=ROUND(AO$6+IF(AO$5=$C83,$E$5+$E83,0),2)),ROUND(AQ82+AP83,2),MIN(ROUND(AO$6+IF(AO$5=$C83,$E$5+$E83,0),2),ROUND(AQ82+AP83,2))),0)</f>
        <v>0</v>
      </c>
      <c r="AP83" s="24">
        <f>IF(AQ82&gt;0,ROUND(ROUND(AQ82*100,0)*ROUND(AO$7*10000,0)/12000000,0)/100,0)</f>
        <v>0</v>
      </c>
      <c r="AQ83" s="24">
        <f>IF(AQ82&gt;0,ROUND(AQ82+AP83-AO83,2),0)</f>
        <v>0</v>
      </c>
      <c r="AR83" s="24">
        <f>IF(AQ82&gt;0,ROUND(AR82+ROUND(ROUND(AR82*100,0)*ROUND(AO$7*10000,0)/12000000,0)/100+0.02,2),0)</f>
        <v>0</v>
      </c>
      <c r="AS83" s="24">
        <f>IF(AU82&gt;0,IF(AND(ROUND(AU82+AT83-ROUND(AS$6+IF(AS$5=$C83,$E$5+$E83,0),2),2)&gt;0,ROUND(AU82+AT83-ROUND(AS$6+IF(AS$5=$C83,$E$5+$E83,0),2),2)&lt;=AV83,ROUND(AU82+AT83-ROUND(AS$6+IF(AS$5=$C83,$E$5+$E83,0),2),2)*10&lt;=ROUND(AS$6+IF(AS$5=$C83,$E$5+$E83,0),2)),ROUND(AU82+AT83,2),MIN(ROUND(AS$6+IF(AS$5=$C83,$E$5+$E83,0),2),ROUND(AU82+AT83,2))),0)</f>
        <v>0</v>
      </c>
      <c r="AT83" s="24">
        <f>IF(AU82&gt;0,ROUND(ROUND(AU82*100,0)*ROUND(AS$7*10000,0)/12000000,0)/100,0)</f>
        <v>0</v>
      </c>
      <c r="AU83" s="24">
        <f>IF(AU82&gt;0,ROUND(AU82+AT83-AS83,2),0)</f>
        <v>0</v>
      </c>
      <c r="AV83" s="24">
        <f>IF(AU82&gt;0,ROUND(AV82+ROUND(ROUND(AV82*100,0)*ROUND(AS$7*10000,0)/12000000,0)/100+0.02,2),0)</f>
        <v>0</v>
      </c>
    </row>
    <row r="84" spans="1:48" x14ac:dyDescent="0.25">
      <c r="A84" s="17" t="str">
        <f>IF(F84&gt;0,74,"")</f>
        <v/>
      </c>
      <c r="B84" s="18" t="str">
        <f>IF(F84&gt;0,EDATE($E$6,74),"")</f>
        <v/>
      </c>
      <c r="C84" s="21">
        <f>IF(H83&gt;0,MIN(IF(K83&gt;0,I$5,99),IF(O83&gt;0,M$5,99),IF(S83&gt;0,Q$5,99),IF(W83&gt;0,U$5,99),IF(AA83&gt;0,Y$5,99),IF(AE83&gt;0,AC$5,99),IF(AI83&gt;0,AG$5,99),IF(AM83&gt;0,AK$5,99),IF(AQ83&gt;0,AO$5,99),IF(AU83&gt;0,AS$5,99)),0)</f>
        <v>0</v>
      </c>
      <c r="D84" t="str">
        <f>IF(C84&gt;0,INDEX($I$4:$AV$4,1,MATCH(C84,$I$5:$AV$5,0)),"")</f>
        <v/>
      </c>
      <c r="E84" s="24">
        <f>ROUND(IF(AND(I$8&gt;0,K83=0),I$6,0)+IF(AND(M$8&gt;0,O83=0),M$6,0)+IF(AND(Q$8&gt;0,S83=0),Q$6,0)+IF(AND(U$8&gt;0,W83=0),U$6,0)+IF(AND(Y$8&gt;0,AA83=0),Y$6,0)+IF(AND(AC$8&gt;0,AE83=0),AC$6,0)+IF(AND(AG$8&gt;0,AI83=0),AG$6,0)+IF(AND(AK$8&gt;0,AM83=0),AK$6,0)+IF(AND(AO$8&gt;0,AQ83=0),AO$6,0)+IF(AND(AS$8&gt;0,AU83=0),AS$6,0),2)</f>
        <v>325</v>
      </c>
      <c r="F84" s="24">
        <f>ROUND(I84+M84+Q84+U84+Y84+AC84+AG84+AK84+AO84+AS84,2)</f>
        <v>0</v>
      </c>
      <c r="G84" s="24">
        <f>ROUND(J84+N84+R84+V84+Z84+AD84+AH84+AL84+AP84+AT84,2)</f>
        <v>0</v>
      </c>
      <c r="H84" s="24">
        <f>ROUND(K84+O84+S84+W84+AA84+AE84+AI84+AM84+AQ84+AU84,2)</f>
        <v>0</v>
      </c>
      <c r="I84" s="24">
        <f>IF(K83&gt;0,IF(AND(ROUND(K83+J84-ROUND(I$6+IF(I$5=$C84,$E$5+$E84,0),2),2)&gt;0,ROUND(K83+J84-ROUND(I$6+IF(I$5=$C84,$E$5+$E84,0),2),2)&lt;=L84,ROUND(K83+J84-ROUND(I$6+IF(I$5=$C84,$E$5+$E84,0),2),2)*10&lt;=ROUND(I$6+IF(I$5=$C84,$E$5+$E84,0),2)),ROUND(K83+J84,2),MIN(ROUND(I$6+IF(I$5=$C84,$E$5+$E84,0),2),ROUND(K83+J84,2))),0)</f>
        <v>0</v>
      </c>
      <c r="J84" s="24">
        <f>IF(K83&gt;0,ROUND(ROUND(K83*100,0)*ROUND(I$7*10000,0)/12000000,0)/100,0)</f>
        <v>0</v>
      </c>
      <c r="K84" s="24">
        <f>IF(K83&gt;0,ROUND(K83+J84-I84,2),0)</f>
        <v>0</v>
      </c>
      <c r="L84" s="24">
        <f>IF(K83&gt;0,ROUND(L83+ROUND(ROUND(L83*100,0)*ROUND(I$7*10000,0)/12000000,0)/100+0.02,2),0)</f>
        <v>0</v>
      </c>
      <c r="M84" s="24">
        <f>IF(O83&gt;0,IF(AND(ROUND(O83+N84-ROUND(M$6+IF(M$5=$C84,$E$5+$E84,0),2),2)&gt;0,ROUND(O83+N84-ROUND(M$6+IF(M$5=$C84,$E$5+$E84,0),2),2)&lt;=P84,ROUND(O83+N84-ROUND(M$6+IF(M$5=$C84,$E$5+$E84,0),2),2)*10&lt;=ROUND(M$6+IF(M$5=$C84,$E$5+$E84,0),2)),ROUND(O83+N84,2),MIN(ROUND(M$6+IF(M$5=$C84,$E$5+$E84,0),2),ROUND(O83+N84,2))),0)</f>
        <v>0</v>
      </c>
      <c r="N84" s="24">
        <f>IF(O83&gt;0,ROUND(ROUND(O83*100,0)*ROUND(M$7*10000,0)/12000000,0)/100,0)</f>
        <v>0</v>
      </c>
      <c r="O84" s="24">
        <f>IF(O83&gt;0,ROUND(O83+N84-M84,2),0)</f>
        <v>0</v>
      </c>
      <c r="P84" s="24">
        <f>IF(O83&gt;0,ROUND(P83+ROUND(ROUND(P83*100,0)*ROUND(M$7*10000,0)/12000000,0)/100+0.02,2),0)</f>
        <v>0</v>
      </c>
      <c r="Q84" s="24">
        <f>IF(S83&gt;0,IF(AND(ROUND(S83+R84-ROUND(Q$6+IF(Q$5=$C84,$E$5+$E84,0),2),2)&gt;0,ROUND(S83+R84-ROUND(Q$6+IF(Q$5=$C84,$E$5+$E84,0),2),2)&lt;=T84,ROUND(S83+R84-ROUND(Q$6+IF(Q$5=$C84,$E$5+$E84,0),2),2)*10&lt;=ROUND(Q$6+IF(Q$5=$C84,$E$5+$E84,0),2)),ROUND(S83+R84,2),MIN(ROUND(Q$6+IF(Q$5=$C84,$E$5+$E84,0),2),ROUND(S83+R84,2))),0)</f>
        <v>0</v>
      </c>
      <c r="R84" s="24">
        <f>IF(S83&gt;0,ROUND(ROUND(S83*100,0)*ROUND(Q$7*10000,0)/12000000,0)/100,0)</f>
        <v>0</v>
      </c>
      <c r="S84" s="24">
        <f>IF(S83&gt;0,ROUND(S83+R84-Q84,2),0)</f>
        <v>0</v>
      </c>
      <c r="T84" s="24">
        <f>IF(S83&gt;0,ROUND(T83+ROUND(ROUND(T83*100,0)*ROUND(Q$7*10000,0)/12000000,0)/100+0.02,2),0)</f>
        <v>0</v>
      </c>
      <c r="U84" s="24">
        <f>IF(W83&gt;0,IF(AND(ROUND(W83+V84-ROUND(U$6+IF(U$5=$C84,$E$5+$E84,0),2),2)&gt;0,ROUND(W83+V84-ROUND(U$6+IF(U$5=$C84,$E$5+$E84,0),2),2)&lt;=X84,ROUND(W83+V84-ROUND(U$6+IF(U$5=$C84,$E$5+$E84,0),2),2)*10&lt;=ROUND(U$6+IF(U$5=$C84,$E$5+$E84,0),2)),ROUND(W83+V84,2),MIN(ROUND(U$6+IF(U$5=$C84,$E$5+$E84,0),2),ROUND(W83+V84,2))),0)</f>
        <v>0</v>
      </c>
      <c r="V84" s="24">
        <f>IF(W83&gt;0,ROUND(ROUND(W83*100,0)*ROUND(U$7*10000,0)/12000000,0)/100,0)</f>
        <v>0</v>
      </c>
      <c r="W84" s="24">
        <f>IF(W83&gt;0,ROUND(W83+V84-U84,2),0)</f>
        <v>0</v>
      </c>
      <c r="X84" s="24">
        <f>IF(W83&gt;0,ROUND(X83+ROUND(ROUND(X83*100,0)*ROUND(U$7*10000,0)/12000000,0)/100+0.02,2),0)</f>
        <v>0</v>
      </c>
      <c r="Y84" s="24">
        <f>IF(AA83&gt;0,IF(AND(ROUND(AA83+Z84-ROUND(Y$6+IF(Y$5=$C84,$E$5+$E84,0),2),2)&gt;0,ROUND(AA83+Z84-ROUND(Y$6+IF(Y$5=$C84,$E$5+$E84,0),2),2)&lt;=AB84,ROUND(AA83+Z84-ROUND(Y$6+IF(Y$5=$C84,$E$5+$E84,0),2),2)*10&lt;=ROUND(Y$6+IF(Y$5=$C84,$E$5+$E84,0),2)),ROUND(AA83+Z84,2),MIN(ROUND(Y$6+IF(Y$5=$C84,$E$5+$E84,0),2),ROUND(AA83+Z84,2))),0)</f>
        <v>0</v>
      </c>
      <c r="Z84" s="24">
        <f>IF(AA83&gt;0,ROUND(ROUND(AA83*100,0)*ROUND(Y$7*10000,0)/12000000,0)/100,0)</f>
        <v>0</v>
      </c>
      <c r="AA84" s="24">
        <f>IF(AA83&gt;0,ROUND(AA83+Z84-Y84,2),0)</f>
        <v>0</v>
      </c>
      <c r="AB84" s="24">
        <f>IF(AA83&gt;0,ROUND(AB83+ROUND(ROUND(AB83*100,0)*ROUND(Y$7*10000,0)/12000000,0)/100+0.02,2),0)</f>
        <v>0</v>
      </c>
      <c r="AC84" s="24">
        <f>IF(AE83&gt;0,IF(AND(ROUND(AE83+AD84-ROUND(AC$6+IF(AC$5=$C84,$E$5+$E84,0),2),2)&gt;0,ROUND(AE83+AD84-ROUND(AC$6+IF(AC$5=$C84,$E$5+$E84,0),2),2)&lt;=AF84,ROUND(AE83+AD84-ROUND(AC$6+IF(AC$5=$C84,$E$5+$E84,0),2),2)*10&lt;=ROUND(AC$6+IF(AC$5=$C84,$E$5+$E84,0),2)),ROUND(AE83+AD84,2),MIN(ROUND(AC$6+IF(AC$5=$C84,$E$5+$E84,0),2),ROUND(AE83+AD84,2))),0)</f>
        <v>0</v>
      </c>
      <c r="AD84" s="24">
        <f>IF(AE83&gt;0,ROUND(ROUND(AE83*100,0)*ROUND(AC$7*10000,0)/12000000,0)/100,0)</f>
        <v>0</v>
      </c>
      <c r="AE84" s="24">
        <f>IF(AE83&gt;0,ROUND(AE83+AD84-AC84,2),0)</f>
        <v>0</v>
      </c>
      <c r="AF84" s="24">
        <f>IF(AE83&gt;0,ROUND(AF83+ROUND(ROUND(AF83*100,0)*ROUND(AC$7*10000,0)/12000000,0)/100+0.02,2),0)</f>
        <v>0</v>
      </c>
      <c r="AG84" s="24">
        <f>IF(AI83&gt;0,IF(AND(ROUND(AI83+AH84-ROUND(AG$6+IF(AG$5=$C84,$E$5+$E84,0),2),2)&gt;0,ROUND(AI83+AH84-ROUND(AG$6+IF(AG$5=$C84,$E$5+$E84,0),2),2)&lt;=AJ84,ROUND(AI83+AH84-ROUND(AG$6+IF(AG$5=$C84,$E$5+$E84,0),2),2)*10&lt;=ROUND(AG$6+IF(AG$5=$C84,$E$5+$E84,0),2)),ROUND(AI83+AH84,2),MIN(ROUND(AG$6+IF(AG$5=$C84,$E$5+$E84,0),2),ROUND(AI83+AH84,2))),0)</f>
        <v>0</v>
      </c>
      <c r="AH84" s="24">
        <f>IF(AI83&gt;0,ROUND(ROUND(AI83*100,0)*ROUND(AG$7*10000,0)/12000000,0)/100,0)</f>
        <v>0</v>
      </c>
      <c r="AI84" s="24">
        <f>IF(AI83&gt;0,ROUND(AI83+AH84-AG84,2),0)</f>
        <v>0</v>
      </c>
      <c r="AJ84" s="24">
        <f>IF(AI83&gt;0,ROUND(AJ83+ROUND(ROUND(AJ83*100,0)*ROUND(AG$7*10000,0)/12000000,0)/100+0.02,2),0)</f>
        <v>0</v>
      </c>
      <c r="AK84" s="24">
        <f>IF(AM83&gt;0,IF(AND(ROUND(AM83+AL84-ROUND(AK$6+IF(AK$5=$C84,$E$5+$E84,0),2),2)&gt;0,ROUND(AM83+AL84-ROUND(AK$6+IF(AK$5=$C84,$E$5+$E84,0),2),2)&lt;=AN84,ROUND(AM83+AL84-ROUND(AK$6+IF(AK$5=$C84,$E$5+$E84,0),2),2)*10&lt;=ROUND(AK$6+IF(AK$5=$C84,$E$5+$E84,0),2)),ROUND(AM83+AL84,2),MIN(ROUND(AK$6+IF(AK$5=$C84,$E$5+$E84,0),2),ROUND(AM83+AL84,2))),0)</f>
        <v>0</v>
      </c>
      <c r="AL84" s="24">
        <f>IF(AM83&gt;0,ROUND(ROUND(AM83*100,0)*ROUND(AK$7*10000,0)/12000000,0)/100,0)</f>
        <v>0</v>
      </c>
      <c r="AM84" s="24">
        <f>IF(AM83&gt;0,ROUND(AM83+AL84-AK84,2),0)</f>
        <v>0</v>
      </c>
      <c r="AN84" s="24">
        <f>IF(AM83&gt;0,ROUND(AN83+ROUND(ROUND(AN83*100,0)*ROUND(AK$7*10000,0)/12000000,0)/100+0.02,2),0)</f>
        <v>0</v>
      </c>
      <c r="AO84" s="24">
        <f>IF(AQ83&gt;0,IF(AND(ROUND(AQ83+AP84-ROUND(AO$6+IF(AO$5=$C84,$E$5+$E84,0),2),2)&gt;0,ROUND(AQ83+AP84-ROUND(AO$6+IF(AO$5=$C84,$E$5+$E84,0),2),2)&lt;=AR84,ROUND(AQ83+AP84-ROUND(AO$6+IF(AO$5=$C84,$E$5+$E84,0),2),2)*10&lt;=ROUND(AO$6+IF(AO$5=$C84,$E$5+$E84,0),2)),ROUND(AQ83+AP84,2),MIN(ROUND(AO$6+IF(AO$5=$C84,$E$5+$E84,0),2),ROUND(AQ83+AP84,2))),0)</f>
        <v>0</v>
      </c>
      <c r="AP84" s="24">
        <f>IF(AQ83&gt;0,ROUND(ROUND(AQ83*100,0)*ROUND(AO$7*10000,0)/12000000,0)/100,0)</f>
        <v>0</v>
      </c>
      <c r="AQ84" s="24">
        <f>IF(AQ83&gt;0,ROUND(AQ83+AP84-AO84,2),0)</f>
        <v>0</v>
      </c>
      <c r="AR84" s="24">
        <f>IF(AQ83&gt;0,ROUND(AR83+ROUND(ROUND(AR83*100,0)*ROUND(AO$7*10000,0)/12000000,0)/100+0.02,2),0)</f>
        <v>0</v>
      </c>
      <c r="AS84" s="24">
        <f>IF(AU83&gt;0,IF(AND(ROUND(AU83+AT84-ROUND(AS$6+IF(AS$5=$C84,$E$5+$E84,0),2),2)&gt;0,ROUND(AU83+AT84-ROUND(AS$6+IF(AS$5=$C84,$E$5+$E84,0),2),2)&lt;=AV84,ROUND(AU83+AT84-ROUND(AS$6+IF(AS$5=$C84,$E$5+$E84,0),2),2)*10&lt;=ROUND(AS$6+IF(AS$5=$C84,$E$5+$E84,0),2)),ROUND(AU83+AT84,2),MIN(ROUND(AS$6+IF(AS$5=$C84,$E$5+$E84,0),2),ROUND(AU83+AT84,2))),0)</f>
        <v>0</v>
      </c>
      <c r="AT84" s="24">
        <f>IF(AU83&gt;0,ROUND(ROUND(AU83*100,0)*ROUND(AS$7*10000,0)/12000000,0)/100,0)</f>
        <v>0</v>
      </c>
      <c r="AU84" s="24">
        <f>IF(AU83&gt;0,ROUND(AU83+AT84-AS84,2),0)</f>
        <v>0</v>
      </c>
      <c r="AV84" s="24">
        <f>IF(AU83&gt;0,ROUND(AV83+ROUND(ROUND(AV83*100,0)*ROUND(AS$7*10000,0)/12000000,0)/100+0.02,2),0)</f>
        <v>0</v>
      </c>
    </row>
    <row r="85" spans="1:48" x14ac:dyDescent="0.25">
      <c r="A85" s="17" t="str">
        <f>IF(F85&gt;0,75,"")</f>
        <v/>
      </c>
      <c r="B85" s="18" t="str">
        <f>IF(F85&gt;0,EDATE($E$6,75),"")</f>
        <v/>
      </c>
      <c r="C85" s="21">
        <f>IF(H84&gt;0,MIN(IF(K84&gt;0,I$5,99),IF(O84&gt;0,M$5,99),IF(S84&gt;0,Q$5,99),IF(W84&gt;0,U$5,99),IF(AA84&gt;0,Y$5,99),IF(AE84&gt;0,AC$5,99),IF(AI84&gt;0,AG$5,99),IF(AM84&gt;0,AK$5,99),IF(AQ84&gt;0,AO$5,99),IF(AU84&gt;0,AS$5,99)),0)</f>
        <v>0</v>
      </c>
      <c r="D85" t="str">
        <f>IF(C85&gt;0,INDEX($I$4:$AV$4,1,MATCH(C85,$I$5:$AV$5,0)),"")</f>
        <v/>
      </c>
      <c r="E85" s="24">
        <f>ROUND(IF(AND(I$8&gt;0,K84=0),I$6,0)+IF(AND(M$8&gt;0,O84=0),M$6,0)+IF(AND(Q$8&gt;0,S84=0),Q$6,0)+IF(AND(U$8&gt;0,W84=0),U$6,0)+IF(AND(Y$8&gt;0,AA84=0),Y$6,0)+IF(AND(AC$8&gt;0,AE84=0),AC$6,0)+IF(AND(AG$8&gt;0,AI84=0),AG$6,0)+IF(AND(AK$8&gt;0,AM84=0),AK$6,0)+IF(AND(AO$8&gt;0,AQ84=0),AO$6,0)+IF(AND(AS$8&gt;0,AU84=0),AS$6,0),2)</f>
        <v>325</v>
      </c>
      <c r="F85" s="24">
        <f>ROUND(I85+M85+Q85+U85+Y85+AC85+AG85+AK85+AO85+AS85,2)</f>
        <v>0</v>
      </c>
      <c r="G85" s="24">
        <f>ROUND(J85+N85+R85+V85+Z85+AD85+AH85+AL85+AP85+AT85,2)</f>
        <v>0</v>
      </c>
      <c r="H85" s="24">
        <f>ROUND(K85+O85+S85+W85+AA85+AE85+AI85+AM85+AQ85+AU85,2)</f>
        <v>0</v>
      </c>
      <c r="I85" s="24">
        <f>IF(K84&gt;0,IF(AND(ROUND(K84+J85-ROUND(I$6+IF(I$5=$C85,$E$5+$E85,0),2),2)&gt;0,ROUND(K84+J85-ROUND(I$6+IF(I$5=$C85,$E$5+$E85,0),2),2)&lt;=L85,ROUND(K84+J85-ROUND(I$6+IF(I$5=$C85,$E$5+$E85,0),2),2)*10&lt;=ROUND(I$6+IF(I$5=$C85,$E$5+$E85,0),2)),ROUND(K84+J85,2),MIN(ROUND(I$6+IF(I$5=$C85,$E$5+$E85,0),2),ROUND(K84+J85,2))),0)</f>
        <v>0</v>
      </c>
      <c r="J85" s="24">
        <f>IF(K84&gt;0,ROUND(ROUND(K84*100,0)*ROUND(I$7*10000,0)/12000000,0)/100,0)</f>
        <v>0</v>
      </c>
      <c r="K85" s="24">
        <f>IF(K84&gt;0,ROUND(K84+J85-I85,2),0)</f>
        <v>0</v>
      </c>
      <c r="L85" s="24">
        <f>IF(K84&gt;0,ROUND(L84+ROUND(ROUND(L84*100,0)*ROUND(I$7*10000,0)/12000000,0)/100+0.02,2),0)</f>
        <v>0</v>
      </c>
      <c r="M85" s="24">
        <f>IF(O84&gt;0,IF(AND(ROUND(O84+N85-ROUND(M$6+IF(M$5=$C85,$E$5+$E85,0),2),2)&gt;0,ROUND(O84+N85-ROUND(M$6+IF(M$5=$C85,$E$5+$E85,0),2),2)&lt;=P85,ROUND(O84+N85-ROUND(M$6+IF(M$5=$C85,$E$5+$E85,0),2),2)*10&lt;=ROUND(M$6+IF(M$5=$C85,$E$5+$E85,0),2)),ROUND(O84+N85,2),MIN(ROUND(M$6+IF(M$5=$C85,$E$5+$E85,0),2),ROUND(O84+N85,2))),0)</f>
        <v>0</v>
      </c>
      <c r="N85" s="24">
        <f>IF(O84&gt;0,ROUND(ROUND(O84*100,0)*ROUND(M$7*10000,0)/12000000,0)/100,0)</f>
        <v>0</v>
      </c>
      <c r="O85" s="24">
        <f>IF(O84&gt;0,ROUND(O84+N85-M85,2),0)</f>
        <v>0</v>
      </c>
      <c r="P85" s="24">
        <f>IF(O84&gt;0,ROUND(P84+ROUND(ROUND(P84*100,0)*ROUND(M$7*10000,0)/12000000,0)/100+0.02,2),0)</f>
        <v>0</v>
      </c>
      <c r="Q85" s="24">
        <f>IF(S84&gt;0,IF(AND(ROUND(S84+R85-ROUND(Q$6+IF(Q$5=$C85,$E$5+$E85,0),2),2)&gt;0,ROUND(S84+R85-ROUND(Q$6+IF(Q$5=$C85,$E$5+$E85,0),2),2)&lt;=T85,ROUND(S84+R85-ROUND(Q$6+IF(Q$5=$C85,$E$5+$E85,0),2),2)*10&lt;=ROUND(Q$6+IF(Q$5=$C85,$E$5+$E85,0),2)),ROUND(S84+R85,2),MIN(ROUND(Q$6+IF(Q$5=$C85,$E$5+$E85,0),2),ROUND(S84+R85,2))),0)</f>
        <v>0</v>
      </c>
      <c r="R85" s="24">
        <f>IF(S84&gt;0,ROUND(ROUND(S84*100,0)*ROUND(Q$7*10000,0)/12000000,0)/100,0)</f>
        <v>0</v>
      </c>
      <c r="S85" s="24">
        <f>IF(S84&gt;0,ROUND(S84+R85-Q85,2),0)</f>
        <v>0</v>
      </c>
      <c r="T85" s="24">
        <f>IF(S84&gt;0,ROUND(T84+ROUND(ROUND(T84*100,0)*ROUND(Q$7*10000,0)/12000000,0)/100+0.02,2),0)</f>
        <v>0</v>
      </c>
      <c r="U85" s="24">
        <f>IF(W84&gt;0,IF(AND(ROUND(W84+V85-ROUND(U$6+IF(U$5=$C85,$E$5+$E85,0),2),2)&gt;0,ROUND(W84+V85-ROUND(U$6+IF(U$5=$C85,$E$5+$E85,0),2),2)&lt;=X85,ROUND(W84+V85-ROUND(U$6+IF(U$5=$C85,$E$5+$E85,0),2),2)*10&lt;=ROUND(U$6+IF(U$5=$C85,$E$5+$E85,0),2)),ROUND(W84+V85,2),MIN(ROUND(U$6+IF(U$5=$C85,$E$5+$E85,0),2),ROUND(W84+V85,2))),0)</f>
        <v>0</v>
      </c>
      <c r="V85" s="24">
        <f>IF(W84&gt;0,ROUND(ROUND(W84*100,0)*ROUND(U$7*10000,0)/12000000,0)/100,0)</f>
        <v>0</v>
      </c>
      <c r="W85" s="24">
        <f>IF(W84&gt;0,ROUND(W84+V85-U85,2),0)</f>
        <v>0</v>
      </c>
      <c r="X85" s="24">
        <f>IF(W84&gt;0,ROUND(X84+ROUND(ROUND(X84*100,0)*ROUND(U$7*10000,0)/12000000,0)/100+0.02,2),0)</f>
        <v>0</v>
      </c>
      <c r="Y85" s="24">
        <f>IF(AA84&gt;0,IF(AND(ROUND(AA84+Z85-ROUND(Y$6+IF(Y$5=$C85,$E$5+$E85,0),2),2)&gt;0,ROUND(AA84+Z85-ROUND(Y$6+IF(Y$5=$C85,$E$5+$E85,0),2),2)&lt;=AB85,ROUND(AA84+Z85-ROUND(Y$6+IF(Y$5=$C85,$E$5+$E85,0),2),2)*10&lt;=ROUND(Y$6+IF(Y$5=$C85,$E$5+$E85,0),2)),ROUND(AA84+Z85,2),MIN(ROUND(Y$6+IF(Y$5=$C85,$E$5+$E85,0),2),ROUND(AA84+Z85,2))),0)</f>
        <v>0</v>
      </c>
      <c r="Z85" s="24">
        <f>IF(AA84&gt;0,ROUND(ROUND(AA84*100,0)*ROUND(Y$7*10000,0)/12000000,0)/100,0)</f>
        <v>0</v>
      </c>
      <c r="AA85" s="24">
        <f>IF(AA84&gt;0,ROUND(AA84+Z85-Y85,2),0)</f>
        <v>0</v>
      </c>
      <c r="AB85" s="24">
        <f>IF(AA84&gt;0,ROUND(AB84+ROUND(ROUND(AB84*100,0)*ROUND(Y$7*10000,0)/12000000,0)/100+0.02,2),0)</f>
        <v>0</v>
      </c>
      <c r="AC85" s="24">
        <f>IF(AE84&gt;0,IF(AND(ROUND(AE84+AD85-ROUND(AC$6+IF(AC$5=$C85,$E$5+$E85,0),2),2)&gt;0,ROUND(AE84+AD85-ROUND(AC$6+IF(AC$5=$C85,$E$5+$E85,0),2),2)&lt;=AF85,ROUND(AE84+AD85-ROUND(AC$6+IF(AC$5=$C85,$E$5+$E85,0),2),2)*10&lt;=ROUND(AC$6+IF(AC$5=$C85,$E$5+$E85,0),2)),ROUND(AE84+AD85,2),MIN(ROUND(AC$6+IF(AC$5=$C85,$E$5+$E85,0),2),ROUND(AE84+AD85,2))),0)</f>
        <v>0</v>
      </c>
      <c r="AD85" s="24">
        <f>IF(AE84&gt;0,ROUND(ROUND(AE84*100,0)*ROUND(AC$7*10000,0)/12000000,0)/100,0)</f>
        <v>0</v>
      </c>
      <c r="AE85" s="24">
        <f>IF(AE84&gt;0,ROUND(AE84+AD85-AC85,2),0)</f>
        <v>0</v>
      </c>
      <c r="AF85" s="24">
        <f>IF(AE84&gt;0,ROUND(AF84+ROUND(ROUND(AF84*100,0)*ROUND(AC$7*10000,0)/12000000,0)/100+0.02,2),0)</f>
        <v>0</v>
      </c>
      <c r="AG85" s="24">
        <f>IF(AI84&gt;0,IF(AND(ROUND(AI84+AH85-ROUND(AG$6+IF(AG$5=$C85,$E$5+$E85,0),2),2)&gt;0,ROUND(AI84+AH85-ROUND(AG$6+IF(AG$5=$C85,$E$5+$E85,0),2),2)&lt;=AJ85,ROUND(AI84+AH85-ROUND(AG$6+IF(AG$5=$C85,$E$5+$E85,0),2),2)*10&lt;=ROUND(AG$6+IF(AG$5=$C85,$E$5+$E85,0),2)),ROUND(AI84+AH85,2),MIN(ROUND(AG$6+IF(AG$5=$C85,$E$5+$E85,0),2),ROUND(AI84+AH85,2))),0)</f>
        <v>0</v>
      </c>
      <c r="AH85" s="24">
        <f>IF(AI84&gt;0,ROUND(ROUND(AI84*100,0)*ROUND(AG$7*10000,0)/12000000,0)/100,0)</f>
        <v>0</v>
      </c>
      <c r="AI85" s="24">
        <f>IF(AI84&gt;0,ROUND(AI84+AH85-AG85,2),0)</f>
        <v>0</v>
      </c>
      <c r="AJ85" s="24">
        <f>IF(AI84&gt;0,ROUND(AJ84+ROUND(ROUND(AJ84*100,0)*ROUND(AG$7*10000,0)/12000000,0)/100+0.02,2),0)</f>
        <v>0</v>
      </c>
      <c r="AK85" s="24">
        <f>IF(AM84&gt;0,IF(AND(ROUND(AM84+AL85-ROUND(AK$6+IF(AK$5=$C85,$E$5+$E85,0),2),2)&gt;0,ROUND(AM84+AL85-ROUND(AK$6+IF(AK$5=$C85,$E$5+$E85,0),2),2)&lt;=AN85,ROUND(AM84+AL85-ROUND(AK$6+IF(AK$5=$C85,$E$5+$E85,0),2),2)*10&lt;=ROUND(AK$6+IF(AK$5=$C85,$E$5+$E85,0),2)),ROUND(AM84+AL85,2),MIN(ROUND(AK$6+IF(AK$5=$C85,$E$5+$E85,0),2),ROUND(AM84+AL85,2))),0)</f>
        <v>0</v>
      </c>
      <c r="AL85" s="24">
        <f>IF(AM84&gt;0,ROUND(ROUND(AM84*100,0)*ROUND(AK$7*10000,0)/12000000,0)/100,0)</f>
        <v>0</v>
      </c>
      <c r="AM85" s="24">
        <f>IF(AM84&gt;0,ROUND(AM84+AL85-AK85,2),0)</f>
        <v>0</v>
      </c>
      <c r="AN85" s="24">
        <f>IF(AM84&gt;0,ROUND(AN84+ROUND(ROUND(AN84*100,0)*ROUND(AK$7*10000,0)/12000000,0)/100+0.02,2),0)</f>
        <v>0</v>
      </c>
      <c r="AO85" s="24">
        <f>IF(AQ84&gt;0,IF(AND(ROUND(AQ84+AP85-ROUND(AO$6+IF(AO$5=$C85,$E$5+$E85,0),2),2)&gt;0,ROUND(AQ84+AP85-ROUND(AO$6+IF(AO$5=$C85,$E$5+$E85,0),2),2)&lt;=AR85,ROUND(AQ84+AP85-ROUND(AO$6+IF(AO$5=$C85,$E$5+$E85,0),2),2)*10&lt;=ROUND(AO$6+IF(AO$5=$C85,$E$5+$E85,0),2)),ROUND(AQ84+AP85,2),MIN(ROUND(AO$6+IF(AO$5=$C85,$E$5+$E85,0),2),ROUND(AQ84+AP85,2))),0)</f>
        <v>0</v>
      </c>
      <c r="AP85" s="24">
        <f>IF(AQ84&gt;0,ROUND(ROUND(AQ84*100,0)*ROUND(AO$7*10000,0)/12000000,0)/100,0)</f>
        <v>0</v>
      </c>
      <c r="AQ85" s="24">
        <f>IF(AQ84&gt;0,ROUND(AQ84+AP85-AO85,2),0)</f>
        <v>0</v>
      </c>
      <c r="AR85" s="24">
        <f>IF(AQ84&gt;0,ROUND(AR84+ROUND(ROUND(AR84*100,0)*ROUND(AO$7*10000,0)/12000000,0)/100+0.02,2),0)</f>
        <v>0</v>
      </c>
      <c r="AS85" s="24">
        <f>IF(AU84&gt;0,IF(AND(ROUND(AU84+AT85-ROUND(AS$6+IF(AS$5=$C85,$E$5+$E85,0),2),2)&gt;0,ROUND(AU84+AT85-ROUND(AS$6+IF(AS$5=$C85,$E$5+$E85,0),2),2)&lt;=AV85,ROUND(AU84+AT85-ROUND(AS$6+IF(AS$5=$C85,$E$5+$E85,0),2),2)*10&lt;=ROUND(AS$6+IF(AS$5=$C85,$E$5+$E85,0),2)),ROUND(AU84+AT85,2),MIN(ROUND(AS$6+IF(AS$5=$C85,$E$5+$E85,0),2),ROUND(AU84+AT85,2))),0)</f>
        <v>0</v>
      </c>
      <c r="AT85" s="24">
        <f>IF(AU84&gt;0,ROUND(ROUND(AU84*100,0)*ROUND(AS$7*10000,0)/12000000,0)/100,0)</f>
        <v>0</v>
      </c>
      <c r="AU85" s="24">
        <f>IF(AU84&gt;0,ROUND(AU84+AT85-AS85,2),0)</f>
        <v>0</v>
      </c>
      <c r="AV85" s="24">
        <f>IF(AU84&gt;0,ROUND(AV84+ROUND(ROUND(AV84*100,0)*ROUND(AS$7*10000,0)/12000000,0)/100+0.02,2),0)</f>
        <v>0</v>
      </c>
    </row>
    <row r="86" spans="1:48" x14ac:dyDescent="0.25">
      <c r="A86" s="17" t="str">
        <f>IF(F86&gt;0,76,"")</f>
        <v/>
      </c>
      <c r="B86" s="18" t="str">
        <f>IF(F86&gt;0,EDATE($E$6,76),"")</f>
        <v/>
      </c>
      <c r="C86" s="21">
        <f>IF(H85&gt;0,MIN(IF(K85&gt;0,I$5,99),IF(O85&gt;0,M$5,99),IF(S85&gt;0,Q$5,99),IF(W85&gt;0,U$5,99),IF(AA85&gt;0,Y$5,99),IF(AE85&gt;0,AC$5,99),IF(AI85&gt;0,AG$5,99),IF(AM85&gt;0,AK$5,99),IF(AQ85&gt;0,AO$5,99),IF(AU85&gt;0,AS$5,99)),0)</f>
        <v>0</v>
      </c>
      <c r="D86" t="str">
        <f>IF(C86&gt;0,INDEX($I$4:$AV$4,1,MATCH(C86,$I$5:$AV$5,0)),"")</f>
        <v/>
      </c>
      <c r="E86" s="24">
        <f>ROUND(IF(AND(I$8&gt;0,K85=0),I$6,0)+IF(AND(M$8&gt;0,O85=0),M$6,0)+IF(AND(Q$8&gt;0,S85=0),Q$6,0)+IF(AND(U$8&gt;0,W85=0),U$6,0)+IF(AND(Y$8&gt;0,AA85=0),Y$6,0)+IF(AND(AC$8&gt;0,AE85=0),AC$6,0)+IF(AND(AG$8&gt;0,AI85=0),AG$6,0)+IF(AND(AK$8&gt;0,AM85=0),AK$6,0)+IF(AND(AO$8&gt;0,AQ85=0),AO$6,0)+IF(AND(AS$8&gt;0,AU85=0),AS$6,0),2)</f>
        <v>325</v>
      </c>
      <c r="F86" s="24">
        <f>ROUND(I86+M86+Q86+U86+Y86+AC86+AG86+AK86+AO86+AS86,2)</f>
        <v>0</v>
      </c>
      <c r="G86" s="24">
        <f>ROUND(J86+N86+R86+V86+Z86+AD86+AH86+AL86+AP86+AT86,2)</f>
        <v>0</v>
      </c>
      <c r="H86" s="24">
        <f>ROUND(K86+O86+S86+W86+AA86+AE86+AI86+AM86+AQ86+AU86,2)</f>
        <v>0</v>
      </c>
      <c r="I86" s="24">
        <f>IF(K85&gt;0,IF(AND(ROUND(K85+J86-ROUND(I$6+IF(I$5=$C86,$E$5+$E86,0),2),2)&gt;0,ROUND(K85+J86-ROUND(I$6+IF(I$5=$C86,$E$5+$E86,0),2),2)&lt;=L86,ROUND(K85+J86-ROUND(I$6+IF(I$5=$C86,$E$5+$E86,0),2),2)*10&lt;=ROUND(I$6+IF(I$5=$C86,$E$5+$E86,0),2)),ROUND(K85+J86,2),MIN(ROUND(I$6+IF(I$5=$C86,$E$5+$E86,0),2),ROUND(K85+J86,2))),0)</f>
        <v>0</v>
      </c>
      <c r="J86" s="24">
        <f>IF(K85&gt;0,ROUND(ROUND(K85*100,0)*ROUND(I$7*10000,0)/12000000,0)/100,0)</f>
        <v>0</v>
      </c>
      <c r="K86" s="24">
        <f>IF(K85&gt;0,ROUND(K85+J86-I86,2),0)</f>
        <v>0</v>
      </c>
      <c r="L86" s="24">
        <f>IF(K85&gt;0,ROUND(L85+ROUND(ROUND(L85*100,0)*ROUND(I$7*10000,0)/12000000,0)/100+0.02,2),0)</f>
        <v>0</v>
      </c>
      <c r="M86" s="24">
        <f>IF(O85&gt;0,IF(AND(ROUND(O85+N86-ROUND(M$6+IF(M$5=$C86,$E$5+$E86,0),2),2)&gt;0,ROUND(O85+N86-ROUND(M$6+IF(M$5=$C86,$E$5+$E86,0),2),2)&lt;=P86,ROUND(O85+N86-ROUND(M$6+IF(M$5=$C86,$E$5+$E86,0),2),2)*10&lt;=ROUND(M$6+IF(M$5=$C86,$E$5+$E86,0),2)),ROUND(O85+N86,2),MIN(ROUND(M$6+IF(M$5=$C86,$E$5+$E86,0),2),ROUND(O85+N86,2))),0)</f>
        <v>0</v>
      </c>
      <c r="N86" s="24">
        <f>IF(O85&gt;0,ROUND(ROUND(O85*100,0)*ROUND(M$7*10000,0)/12000000,0)/100,0)</f>
        <v>0</v>
      </c>
      <c r="O86" s="24">
        <f>IF(O85&gt;0,ROUND(O85+N86-M86,2),0)</f>
        <v>0</v>
      </c>
      <c r="P86" s="24">
        <f>IF(O85&gt;0,ROUND(P85+ROUND(ROUND(P85*100,0)*ROUND(M$7*10000,0)/12000000,0)/100+0.02,2),0)</f>
        <v>0</v>
      </c>
      <c r="Q86" s="24">
        <f>IF(S85&gt;0,IF(AND(ROUND(S85+R86-ROUND(Q$6+IF(Q$5=$C86,$E$5+$E86,0),2),2)&gt;0,ROUND(S85+R86-ROUND(Q$6+IF(Q$5=$C86,$E$5+$E86,0),2),2)&lt;=T86,ROUND(S85+R86-ROUND(Q$6+IF(Q$5=$C86,$E$5+$E86,0),2),2)*10&lt;=ROUND(Q$6+IF(Q$5=$C86,$E$5+$E86,0),2)),ROUND(S85+R86,2),MIN(ROUND(Q$6+IF(Q$5=$C86,$E$5+$E86,0),2),ROUND(S85+R86,2))),0)</f>
        <v>0</v>
      </c>
      <c r="R86" s="24">
        <f>IF(S85&gt;0,ROUND(ROUND(S85*100,0)*ROUND(Q$7*10000,0)/12000000,0)/100,0)</f>
        <v>0</v>
      </c>
      <c r="S86" s="24">
        <f>IF(S85&gt;0,ROUND(S85+R86-Q86,2),0)</f>
        <v>0</v>
      </c>
      <c r="T86" s="24">
        <f>IF(S85&gt;0,ROUND(T85+ROUND(ROUND(T85*100,0)*ROUND(Q$7*10000,0)/12000000,0)/100+0.02,2),0)</f>
        <v>0</v>
      </c>
      <c r="U86" s="24">
        <f>IF(W85&gt;0,IF(AND(ROUND(W85+V86-ROUND(U$6+IF(U$5=$C86,$E$5+$E86,0),2),2)&gt;0,ROUND(W85+V86-ROUND(U$6+IF(U$5=$C86,$E$5+$E86,0),2),2)&lt;=X86,ROUND(W85+V86-ROUND(U$6+IF(U$5=$C86,$E$5+$E86,0),2),2)*10&lt;=ROUND(U$6+IF(U$5=$C86,$E$5+$E86,0),2)),ROUND(W85+V86,2),MIN(ROUND(U$6+IF(U$5=$C86,$E$5+$E86,0),2),ROUND(W85+V86,2))),0)</f>
        <v>0</v>
      </c>
      <c r="V86" s="24">
        <f>IF(W85&gt;0,ROUND(ROUND(W85*100,0)*ROUND(U$7*10000,0)/12000000,0)/100,0)</f>
        <v>0</v>
      </c>
      <c r="W86" s="24">
        <f>IF(W85&gt;0,ROUND(W85+V86-U86,2),0)</f>
        <v>0</v>
      </c>
      <c r="X86" s="24">
        <f>IF(W85&gt;0,ROUND(X85+ROUND(ROUND(X85*100,0)*ROUND(U$7*10000,0)/12000000,0)/100+0.02,2),0)</f>
        <v>0</v>
      </c>
      <c r="Y86" s="24">
        <f>IF(AA85&gt;0,IF(AND(ROUND(AA85+Z86-ROUND(Y$6+IF(Y$5=$C86,$E$5+$E86,0),2),2)&gt;0,ROUND(AA85+Z86-ROUND(Y$6+IF(Y$5=$C86,$E$5+$E86,0),2),2)&lt;=AB86,ROUND(AA85+Z86-ROUND(Y$6+IF(Y$5=$C86,$E$5+$E86,0),2),2)*10&lt;=ROUND(Y$6+IF(Y$5=$C86,$E$5+$E86,0),2)),ROUND(AA85+Z86,2),MIN(ROUND(Y$6+IF(Y$5=$C86,$E$5+$E86,0),2),ROUND(AA85+Z86,2))),0)</f>
        <v>0</v>
      </c>
      <c r="Z86" s="24">
        <f>IF(AA85&gt;0,ROUND(ROUND(AA85*100,0)*ROUND(Y$7*10000,0)/12000000,0)/100,0)</f>
        <v>0</v>
      </c>
      <c r="AA86" s="24">
        <f>IF(AA85&gt;0,ROUND(AA85+Z86-Y86,2),0)</f>
        <v>0</v>
      </c>
      <c r="AB86" s="24">
        <f>IF(AA85&gt;0,ROUND(AB85+ROUND(ROUND(AB85*100,0)*ROUND(Y$7*10000,0)/12000000,0)/100+0.02,2),0)</f>
        <v>0</v>
      </c>
      <c r="AC86" s="24">
        <f>IF(AE85&gt;0,IF(AND(ROUND(AE85+AD86-ROUND(AC$6+IF(AC$5=$C86,$E$5+$E86,0),2),2)&gt;0,ROUND(AE85+AD86-ROUND(AC$6+IF(AC$5=$C86,$E$5+$E86,0),2),2)&lt;=AF86,ROUND(AE85+AD86-ROUND(AC$6+IF(AC$5=$C86,$E$5+$E86,0),2),2)*10&lt;=ROUND(AC$6+IF(AC$5=$C86,$E$5+$E86,0),2)),ROUND(AE85+AD86,2),MIN(ROUND(AC$6+IF(AC$5=$C86,$E$5+$E86,0),2),ROUND(AE85+AD86,2))),0)</f>
        <v>0</v>
      </c>
      <c r="AD86" s="24">
        <f>IF(AE85&gt;0,ROUND(ROUND(AE85*100,0)*ROUND(AC$7*10000,0)/12000000,0)/100,0)</f>
        <v>0</v>
      </c>
      <c r="AE86" s="24">
        <f>IF(AE85&gt;0,ROUND(AE85+AD86-AC86,2),0)</f>
        <v>0</v>
      </c>
      <c r="AF86" s="24">
        <f>IF(AE85&gt;0,ROUND(AF85+ROUND(ROUND(AF85*100,0)*ROUND(AC$7*10000,0)/12000000,0)/100+0.02,2),0)</f>
        <v>0</v>
      </c>
      <c r="AG86" s="24">
        <f>IF(AI85&gt;0,IF(AND(ROUND(AI85+AH86-ROUND(AG$6+IF(AG$5=$C86,$E$5+$E86,0),2),2)&gt;0,ROUND(AI85+AH86-ROUND(AG$6+IF(AG$5=$C86,$E$5+$E86,0),2),2)&lt;=AJ86,ROUND(AI85+AH86-ROUND(AG$6+IF(AG$5=$C86,$E$5+$E86,0),2),2)*10&lt;=ROUND(AG$6+IF(AG$5=$C86,$E$5+$E86,0),2)),ROUND(AI85+AH86,2),MIN(ROUND(AG$6+IF(AG$5=$C86,$E$5+$E86,0),2),ROUND(AI85+AH86,2))),0)</f>
        <v>0</v>
      </c>
      <c r="AH86" s="24">
        <f>IF(AI85&gt;0,ROUND(ROUND(AI85*100,0)*ROUND(AG$7*10000,0)/12000000,0)/100,0)</f>
        <v>0</v>
      </c>
      <c r="AI86" s="24">
        <f>IF(AI85&gt;0,ROUND(AI85+AH86-AG86,2),0)</f>
        <v>0</v>
      </c>
      <c r="AJ86" s="24">
        <f>IF(AI85&gt;0,ROUND(AJ85+ROUND(ROUND(AJ85*100,0)*ROUND(AG$7*10000,0)/12000000,0)/100+0.02,2),0)</f>
        <v>0</v>
      </c>
      <c r="AK86" s="24">
        <f>IF(AM85&gt;0,IF(AND(ROUND(AM85+AL86-ROUND(AK$6+IF(AK$5=$C86,$E$5+$E86,0),2),2)&gt;0,ROUND(AM85+AL86-ROUND(AK$6+IF(AK$5=$C86,$E$5+$E86,0),2),2)&lt;=AN86,ROUND(AM85+AL86-ROUND(AK$6+IF(AK$5=$C86,$E$5+$E86,0),2),2)*10&lt;=ROUND(AK$6+IF(AK$5=$C86,$E$5+$E86,0),2)),ROUND(AM85+AL86,2),MIN(ROUND(AK$6+IF(AK$5=$C86,$E$5+$E86,0),2),ROUND(AM85+AL86,2))),0)</f>
        <v>0</v>
      </c>
      <c r="AL86" s="24">
        <f>IF(AM85&gt;0,ROUND(ROUND(AM85*100,0)*ROUND(AK$7*10000,0)/12000000,0)/100,0)</f>
        <v>0</v>
      </c>
      <c r="AM86" s="24">
        <f>IF(AM85&gt;0,ROUND(AM85+AL86-AK86,2),0)</f>
        <v>0</v>
      </c>
      <c r="AN86" s="24">
        <f>IF(AM85&gt;0,ROUND(AN85+ROUND(ROUND(AN85*100,0)*ROUND(AK$7*10000,0)/12000000,0)/100+0.02,2),0)</f>
        <v>0</v>
      </c>
      <c r="AO86" s="24">
        <f>IF(AQ85&gt;0,IF(AND(ROUND(AQ85+AP86-ROUND(AO$6+IF(AO$5=$C86,$E$5+$E86,0),2),2)&gt;0,ROUND(AQ85+AP86-ROUND(AO$6+IF(AO$5=$C86,$E$5+$E86,0),2),2)&lt;=AR86,ROUND(AQ85+AP86-ROUND(AO$6+IF(AO$5=$C86,$E$5+$E86,0),2),2)*10&lt;=ROUND(AO$6+IF(AO$5=$C86,$E$5+$E86,0),2)),ROUND(AQ85+AP86,2),MIN(ROUND(AO$6+IF(AO$5=$C86,$E$5+$E86,0),2),ROUND(AQ85+AP86,2))),0)</f>
        <v>0</v>
      </c>
      <c r="AP86" s="24">
        <f>IF(AQ85&gt;0,ROUND(ROUND(AQ85*100,0)*ROUND(AO$7*10000,0)/12000000,0)/100,0)</f>
        <v>0</v>
      </c>
      <c r="AQ86" s="24">
        <f>IF(AQ85&gt;0,ROUND(AQ85+AP86-AO86,2),0)</f>
        <v>0</v>
      </c>
      <c r="AR86" s="24">
        <f>IF(AQ85&gt;0,ROUND(AR85+ROUND(ROUND(AR85*100,0)*ROUND(AO$7*10000,0)/12000000,0)/100+0.02,2),0)</f>
        <v>0</v>
      </c>
      <c r="AS86" s="24">
        <f>IF(AU85&gt;0,IF(AND(ROUND(AU85+AT86-ROUND(AS$6+IF(AS$5=$C86,$E$5+$E86,0),2),2)&gt;0,ROUND(AU85+AT86-ROUND(AS$6+IF(AS$5=$C86,$E$5+$E86,0),2),2)&lt;=AV86,ROUND(AU85+AT86-ROUND(AS$6+IF(AS$5=$C86,$E$5+$E86,0),2),2)*10&lt;=ROUND(AS$6+IF(AS$5=$C86,$E$5+$E86,0),2)),ROUND(AU85+AT86,2),MIN(ROUND(AS$6+IF(AS$5=$C86,$E$5+$E86,0),2),ROUND(AU85+AT86,2))),0)</f>
        <v>0</v>
      </c>
      <c r="AT86" s="24">
        <f>IF(AU85&gt;0,ROUND(ROUND(AU85*100,0)*ROUND(AS$7*10000,0)/12000000,0)/100,0)</f>
        <v>0</v>
      </c>
      <c r="AU86" s="24">
        <f>IF(AU85&gt;0,ROUND(AU85+AT86-AS86,2),0)</f>
        <v>0</v>
      </c>
      <c r="AV86" s="24">
        <f>IF(AU85&gt;0,ROUND(AV85+ROUND(ROUND(AV85*100,0)*ROUND(AS$7*10000,0)/12000000,0)/100+0.02,2),0)</f>
        <v>0</v>
      </c>
    </row>
    <row r="87" spans="1:48" x14ac:dyDescent="0.25">
      <c r="A87" s="17" t="str">
        <f>IF(F87&gt;0,77,"")</f>
        <v/>
      </c>
      <c r="B87" s="18" t="str">
        <f>IF(F87&gt;0,EDATE($E$6,77),"")</f>
        <v/>
      </c>
      <c r="C87" s="21">
        <f>IF(H86&gt;0,MIN(IF(K86&gt;0,I$5,99),IF(O86&gt;0,M$5,99),IF(S86&gt;0,Q$5,99),IF(W86&gt;0,U$5,99),IF(AA86&gt;0,Y$5,99),IF(AE86&gt;0,AC$5,99),IF(AI86&gt;0,AG$5,99),IF(AM86&gt;0,AK$5,99),IF(AQ86&gt;0,AO$5,99),IF(AU86&gt;0,AS$5,99)),0)</f>
        <v>0</v>
      </c>
      <c r="D87" t="str">
        <f>IF(C87&gt;0,INDEX($I$4:$AV$4,1,MATCH(C87,$I$5:$AV$5,0)),"")</f>
        <v/>
      </c>
      <c r="E87" s="24">
        <f>ROUND(IF(AND(I$8&gt;0,K86=0),I$6,0)+IF(AND(M$8&gt;0,O86=0),M$6,0)+IF(AND(Q$8&gt;0,S86=0),Q$6,0)+IF(AND(U$8&gt;0,W86=0),U$6,0)+IF(AND(Y$8&gt;0,AA86=0),Y$6,0)+IF(AND(AC$8&gt;0,AE86=0),AC$6,0)+IF(AND(AG$8&gt;0,AI86=0),AG$6,0)+IF(AND(AK$8&gt;0,AM86=0),AK$6,0)+IF(AND(AO$8&gt;0,AQ86=0),AO$6,0)+IF(AND(AS$8&gt;0,AU86=0),AS$6,0),2)</f>
        <v>325</v>
      </c>
      <c r="F87" s="24">
        <f>ROUND(I87+M87+Q87+U87+Y87+AC87+AG87+AK87+AO87+AS87,2)</f>
        <v>0</v>
      </c>
      <c r="G87" s="24">
        <f>ROUND(J87+N87+R87+V87+Z87+AD87+AH87+AL87+AP87+AT87,2)</f>
        <v>0</v>
      </c>
      <c r="H87" s="24">
        <f>ROUND(K87+O87+S87+W87+AA87+AE87+AI87+AM87+AQ87+AU87,2)</f>
        <v>0</v>
      </c>
      <c r="I87" s="24">
        <f>IF(K86&gt;0,IF(AND(ROUND(K86+J87-ROUND(I$6+IF(I$5=$C87,$E$5+$E87,0),2),2)&gt;0,ROUND(K86+J87-ROUND(I$6+IF(I$5=$C87,$E$5+$E87,0),2),2)&lt;=L87,ROUND(K86+J87-ROUND(I$6+IF(I$5=$C87,$E$5+$E87,0),2),2)*10&lt;=ROUND(I$6+IF(I$5=$C87,$E$5+$E87,0),2)),ROUND(K86+J87,2),MIN(ROUND(I$6+IF(I$5=$C87,$E$5+$E87,0),2),ROUND(K86+J87,2))),0)</f>
        <v>0</v>
      </c>
      <c r="J87" s="24">
        <f>IF(K86&gt;0,ROUND(ROUND(K86*100,0)*ROUND(I$7*10000,0)/12000000,0)/100,0)</f>
        <v>0</v>
      </c>
      <c r="K87" s="24">
        <f>IF(K86&gt;0,ROUND(K86+J87-I87,2),0)</f>
        <v>0</v>
      </c>
      <c r="L87" s="24">
        <f>IF(K86&gt;0,ROUND(L86+ROUND(ROUND(L86*100,0)*ROUND(I$7*10000,0)/12000000,0)/100+0.02,2),0)</f>
        <v>0</v>
      </c>
      <c r="M87" s="24">
        <f>IF(O86&gt;0,IF(AND(ROUND(O86+N87-ROUND(M$6+IF(M$5=$C87,$E$5+$E87,0),2),2)&gt;0,ROUND(O86+N87-ROUND(M$6+IF(M$5=$C87,$E$5+$E87,0),2),2)&lt;=P87,ROUND(O86+N87-ROUND(M$6+IF(M$5=$C87,$E$5+$E87,0),2),2)*10&lt;=ROUND(M$6+IF(M$5=$C87,$E$5+$E87,0),2)),ROUND(O86+N87,2),MIN(ROUND(M$6+IF(M$5=$C87,$E$5+$E87,0),2),ROUND(O86+N87,2))),0)</f>
        <v>0</v>
      </c>
      <c r="N87" s="24">
        <f>IF(O86&gt;0,ROUND(ROUND(O86*100,0)*ROUND(M$7*10000,0)/12000000,0)/100,0)</f>
        <v>0</v>
      </c>
      <c r="O87" s="24">
        <f>IF(O86&gt;0,ROUND(O86+N87-M87,2),0)</f>
        <v>0</v>
      </c>
      <c r="P87" s="24">
        <f>IF(O86&gt;0,ROUND(P86+ROUND(ROUND(P86*100,0)*ROUND(M$7*10000,0)/12000000,0)/100+0.02,2),0)</f>
        <v>0</v>
      </c>
      <c r="Q87" s="24">
        <f>IF(S86&gt;0,IF(AND(ROUND(S86+R87-ROUND(Q$6+IF(Q$5=$C87,$E$5+$E87,0),2),2)&gt;0,ROUND(S86+R87-ROUND(Q$6+IF(Q$5=$C87,$E$5+$E87,0),2),2)&lt;=T87,ROUND(S86+R87-ROUND(Q$6+IF(Q$5=$C87,$E$5+$E87,0),2),2)*10&lt;=ROUND(Q$6+IF(Q$5=$C87,$E$5+$E87,0),2)),ROUND(S86+R87,2),MIN(ROUND(Q$6+IF(Q$5=$C87,$E$5+$E87,0),2),ROUND(S86+R87,2))),0)</f>
        <v>0</v>
      </c>
      <c r="R87" s="24">
        <f>IF(S86&gt;0,ROUND(ROUND(S86*100,0)*ROUND(Q$7*10000,0)/12000000,0)/100,0)</f>
        <v>0</v>
      </c>
      <c r="S87" s="24">
        <f>IF(S86&gt;0,ROUND(S86+R87-Q87,2),0)</f>
        <v>0</v>
      </c>
      <c r="T87" s="24">
        <f>IF(S86&gt;0,ROUND(T86+ROUND(ROUND(T86*100,0)*ROUND(Q$7*10000,0)/12000000,0)/100+0.02,2),0)</f>
        <v>0</v>
      </c>
      <c r="U87" s="24">
        <f>IF(W86&gt;0,IF(AND(ROUND(W86+V87-ROUND(U$6+IF(U$5=$C87,$E$5+$E87,0),2),2)&gt;0,ROUND(W86+V87-ROUND(U$6+IF(U$5=$C87,$E$5+$E87,0),2),2)&lt;=X87,ROUND(W86+V87-ROUND(U$6+IF(U$5=$C87,$E$5+$E87,0),2),2)*10&lt;=ROUND(U$6+IF(U$5=$C87,$E$5+$E87,0),2)),ROUND(W86+V87,2),MIN(ROUND(U$6+IF(U$5=$C87,$E$5+$E87,0),2),ROUND(W86+V87,2))),0)</f>
        <v>0</v>
      </c>
      <c r="V87" s="24">
        <f>IF(W86&gt;0,ROUND(ROUND(W86*100,0)*ROUND(U$7*10000,0)/12000000,0)/100,0)</f>
        <v>0</v>
      </c>
      <c r="W87" s="24">
        <f>IF(W86&gt;0,ROUND(W86+V87-U87,2),0)</f>
        <v>0</v>
      </c>
      <c r="X87" s="24">
        <f>IF(W86&gt;0,ROUND(X86+ROUND(ROUND(X86*100,0)*ROUND(U$7*10000,0)/12000000,0)/100+0.02,2),0)</f>
        <v>0</v>
      </c>
      <c r="Y87" s="24">
        <f>IF(AA86&gt;0,IF(AND(ROUND(AA86+Z87-ROUND(Y$6+IF(Y$5=$C87,$E$5+$E87,0),2),2)&gt;0,ROUND(AA86+Z87-ROUND(Y$6+IF(Y$5=$C87,$E$5+$E87,0),2),2)&lt;=AB87,ROUND(AA86+Z87-ROUND(Y$6+IF(Y$5=$C87,$E$5+$E87,0),2),2)*10&lt;=ROUND(Y$6+IF(Y$5=$C87,$E$5+$E87,0),2)),ROUND(AA86+Z87,2),MIN(ROUND(Y$6+IF(Y$5=$C87,$E$5+$E87,0),2),ROUND(AA86+Z87,2))),0)</f>
        <v>0</v>
      </c>
      <c r="Z87" s="24">
        <f>IF(AA86&gt;0,ROUND(ROUND(AA86*100,0)*ROUND(Y$7*10000,0)/12000000,0)/100,0)</f>
        <v>0</v>
      </c>
      <c r="AA87" s="24">
        <f>IF(AA86&gt;0,ROUND(AA86+Z87-Y87,2),0)</f>
        <v>0</v>
      </c>
      <c r="AB87" s="24">
        <f>IF(AA86&gt;0,ROUND(AB86+ROUND(ROUND(AB86*100,0)*ROUND(Y$7*10000,0)/12000000,0)/100+0.02,2),0)</f>
        <v>0</v>
      </c>
      <c r="AC87" s="24">
        <f>IF(AE86&gt;0,IF(AND(ROUND(AE86+AD87-ROUND(AC$6+IF(AC$5=$C87,$E$5+$E87,0),2),2)&gt;0,ROUND(AE86+AD87-ROUND(AC$6+IF(AC$5=$C87,$E$5+$E87,0),2),2)&lt;=AF87,ROUND(AE86+AD87-ROUND(AC$6+IF(AC$5=$C87,$E$5+$E87,0),2),2)*10&lt;=ROUND(AC$6+IF(AC$5=$C87,$E$5+$E87,0),2)),ROUND(AE86+AD87,2),MIN(ROUND(AC$6+IF(AC$5=$C87,$E$5+$E87,0),2),ROUND(AE86+AD87,2))),0)</f>
        <v>0</v>
      </c>
      <c r="AD87" s="24">
        <f>IF(AE86&gt;0,ROUND(ROUND(AE86*100,0)*ROUND(AC$7*10000,0)/12000000,0)/100,0)</f>
        <v>0</v>
      </c>
      <c r="AE87" s="24">
        <f>IF(AE86&gt;0,ROUND(AE86+AD87-AC87,2),0)</f>
        <v>0</v>
      </c>
      <c r="AF87" s="24">
        <f>IF(AE86&gt;0,ROUND(AF86+ROUND(ROUND(AF86*100,0)*ROUND(AC$7*10000,0)/12000000,0)/100+0.02,2),0)</f>
        <v>0</v>
      </c>
      <c r="AG87" s="24">
        <f>IF(AI86&gt;0,IF(AND(ROUND(AI86+AH87-ROUND(AG$6+IF(AG$5=$C87,$E$5+$E87,0),2),2)&gt;0,ROUND(AI86+AH87-ROUND(AG$6+IF(AG$5=$C87,$E$5+$E87,0),2),2)&lt;=AJ87,ROUND(AI86+AH87-ROUND(AG$6+IF(AG$5=$C87,$E$5+$E87,0),2),2)*10&lt;=ROUND(AG$6+IF(AG$5=$C87,$E$5+$E87,0),2)),ROUND(AI86+AH87,2),MIN(ROUND(AG$6+IF(AG$5=$C87,$E$5+$E87,0),2),ROUND(AI86+AH87,2))),0)</f>
        <v>0</v>
      </c>
      <c r="AH87" s="24">
        <f>IF(AI86&gt;0,ROUND(ROUND(AI86*100,0)*ROUND(AG$7*10000,0)/12000000,0)/100,0)</f>
        <v>0</v>
      </c>
      <c r="AI87" s="24">
        <f>IF(AI86&gt;0,ROUND(AI86+AH87-AG87,2),0)</f>
        <v>0</v>
      </c>
      <c r="AJ87" s="24">
        <f>IF(AI86&gt;0,ROUND(AJ86+ROUND(ROUND(AJ86*100,0)*ROUND(AG$7*10000,0)/12000000,0)/100+0.02,2),0)</f>
        <v>0</v>
      </c>
      <c r="AK87" s="24">
        <f>IF(AM86&gt;0,IF(AND(ROUND(AM86+AL87-ROUND(AK$6+IF(AK$5=$C87,$E$5+$E87,0),2),2)&gt;0,ROUND(AM86+AL87-ROUND(AK$6+IF(AK$5=$C87,$E$5+$E87,0),2),2)&lt;=AN87,ROUND(AM86+AL87-ROUND(AK$6+IF(AK$5=$C87,$E$5+$E87,0),2),2)*10&lt;=ROUND(AK$6+IF(AK$5=$C87,$E$5+$E87,0),2)),ROUND(AM86+AL87,2),MIN(ROUND(AK$6+IF(AK$5=$C87,$E$5+$E87,0),2),ROUND(AM86+AL87,2))),0)</f>
        <v>0</v>
      </c>
      <c r="AL87" s="24">
        <f>IF(AM86&gt;0,ROUND(ROUND(AM86*100,0)*ROUND(AK$7*10000,0)/12000000,0)/100,0)</f>
        <v>0</v>
      </c>
      <c r="AM87" s="24">
        <f>IF(AM86&gt;0,ROUND(AM86+AL87-AK87,2),0)</f>
        <v>0</v>
      </c>
      <c r="AN87" s="24">
        <f>IF(AM86&gt;0,ROUND(AN86+ROUND(ROUND(AN86*100,0)*ROUND(AK$7*10000,0)/12000000,0)/100+0.02,2),0)</f>
        <v>0</v>
      </c>
      <c r="AO87" s="24">
        <f>IF(AQ86&gt;0,IF(AND(ROUND(AQ86+AP87-ROUND(AO$6+IF(AO$5=$C87,$E$5+$E87,0),2),2)&gt;0,ROUND(AQ86+AP87-ROUND(AO$6+IF(AO$5=$C87,$E$5+$E87,0),2),2)&lt;=AR87,ROUND(AQ86+AP87-ROUND(AO$6+IF(AO$5=$C87,$E$5+$E87,0),2),2)*10&lt;=ROUND(AO$6+IF(AO$5=$C87,$E$5+$E87,0),2)),ROUND(AQ86+AP87,2),MIN(ROUND(AO$6+IF(AO$5=$C87,$E$5+$E87,0),2),ROUND(AQ86+AP87,2))),0)</f>
        <v>0</v>
      </c>
      <c r="AP87" s="24">
        <f>IF(AQ86&gt;0,ROUND(ROUND(AQ86*100,0)*ROUND(AO$7*10000,0)/12000000,0)/100,0)</f>
        <v>0</v>
      </c>
      <c r="AQ87" s="24">
        <f>IF(AQ86&gt;0,ROUND(AQ86+AP87-AO87,2),0)</f>
        <v>0</v>
      </c>
      <c r="AR87" s="24">
        <f>IF(AQ86&gt;0,ROUND(AR86+ROUND(ROUND(AR86*100,0)*ROUND(AO$7*10000,0)/12000000,0)/100+0.02,2),0)</f>
        <v>0</v>
      </c>
      <c r="AS87" s="24">
        <f>IF(AU86&gt;0,IF(AND(ROUND(AU86+AT87-ROUND(AS$6+IF(AS$5=$C87,$E$5+$E87,0),2),2)&gt;0,ROUND(AU86+AT87-ROUND(AS$6+IF(AS$5=$C87,$E$5+$E87,0),2),2)&lt;=AV87,ROUND(AU86+AT87-ROUND(AS$6+IF(AS$5=$C87,$E$5+$E87,0),2),2)*10&lt;=ROUND(AS$6+IF(AS$5=$C87,$E$5+$E87,0),2)),ROUND(AU86+AT87,2),MIN(ROUND(AS$6+IF(AS$5=$C87,$E$5+$E87,0),2),ROUND(AU86+AT87,2))),0)</f>
        <v>0</v>
      </c>
      <c r="AT87" s="24">
        <f>IF(AU86&gt;0,ROUND(ROUND(AU86*100,0)*ROUND(AS$7*10000,0)/12000000,0)/100,0)</f>
        <v>0</v>
      </c>
      <c r="AU87" s="24">
        <f>IF(AU86&gt;0,ROUND(AU86+AT87-AS87,2),0)</f>
        <v>0</v>
      </c>
      <c r="AV87" s="24">
        <f>IF(AU86&gt;0,ROUND(AV86+ROUND(ROUND(AV86*100,0)*ROUND(AS$7*10000,0)/12000000,0)/100+0.02,2),0)</f>
        <v>0</v>
      </c>
    </row>
    <row r="88" spans="1:48" x14ac:dyDescent="0.25">
      <c r="A88" s="17" t="str">
        <f>IF(F88&gt;0,78,"")</f>
        <v/>
      </c>
      <c r="B88" s="18" t="str">
        <f>IF(F88&gt;0,EDATE($E$6,78),"")</f>
        <v/>
      </c>
      <c r="C88" s="21">
        <f>IF(H87&gt;0,MIN(IF(K87&gt;0,I$5,99),IF(O87&gt;0,M$5,99),IF(S87&gt;0,Q$5,99),IF(W87&gt;0,U$5,99),IF(AA87&gt;0,Y$5,99),IF(AE87&gt;0,AC$5,99),IF(AI87&gt;0,AG$5,99),IF(AM87&gt;0,AK$5,99),IF(AQ87&gt;0,AO$5,99),IF(AU87&gt;0,AS$5,99)),0)</f>
        <v>0</v>
      </c>
      <c r="D88" t="str">
        <f>IF(C88&gt;0,INDEX($I$4:$AV$4,1,MATCH(C88,$I$5:$AV$5,0)),"")</f>
        <v/>
      </c>
      <c r="E88" s="24">
        <f>ROUND(IF(AND(I$8&gt;0,K87=0),I$6,0)+IF(AND(M$8&gt;0,O87=0),M$6,0)+IF(AND(Q$8&gt;0,S87=0),Q$6,0)+IF(AND(U$8&gt;0,W87=0),U$6,0)+IF(AND(Y$8&gt;0,AA87=0),Y$6,0)+IF(AND(AC$8&gt;0,AE87=0),AC$6,0)+IF(AND(AG$8&gt;0,AI87=0),AG$6,0)+IF(AND(AK$8&gt;0,AM87=0),AK$6,0)+IF(AND(AO$8&gt;0,AQ87=0),AO$6,0)+IF(AND(AS$8&gt;0,AU87=0),AS$6,0),2)</f>
        <v>325</v>
      </c>
      <c r="F88" s="24">
        <f>ROUND(I88+M88+Q88+U88+Y88+AC88+AG88+AK88+AO88+AS88,2)</f>
        <v>0</v>
      </c>
      <c r="G88" s="24">
        <f>ROUND(J88+N88+R88+V88+Z88+AD88+AH88+AL88+AP88+AT88,2)</f>
        <v>0</v>
      </c>
      <c r="H88" s="24">
        <f>ROUND(K88+O88+S88+W88+AA88+AE88+AI88+AM88+AQ88+AU88,2)</f>
        <v>0</v>
      </c>
      <c r="I88" s="24">
        <f>IF(K87&gt;0,IF(AND(ROUND(K87+J88-ROUND(I$6+IF(I$5=$C88,$E$5+$E88,0),2),2)&gt;0,ROUND(K87+J88-ROUND(I$6+IF(I$5=$C88,$E$5+$E88,0),2),2)&lt;=L88,ROUND(K87+J88-ROUND(I$6+IF(I$5=$C88,$E$5+$E88,0),2),2)*10&lt;=ROUND(I$6+IF(I$5=$C88,$E$5+$E88,0),2)),ROUND(K87+J88,2),MIN(ROUND(I$6+IF(I$5=$C88,$E$5+$E88,0),2),ROUND(K87+J88,2))),0)</f>
        <v>0</v>
      </c>
      <c r="J88" s="24">
        <f>IF(K87&gt;0,ROUND(ROUND(K87*100,0)*ROUND(I$7*10000,0)/12000000,0)/100,0)</f>
        <v>0</v>
      </c>
      <c r="K88" s="24">
        <f>IF(K87&gt;0,ROUND(K87+J88-I88,2),0)</f>
        <v>0</v>
      </c>
      <c r="L88" s="24">
        <f>IF(K87&gt;0,ROUND(L87+ROUND(ROUND(L87*100,0)*ROUND(I$7*10000,0)/12000000,0)/100+0.02,2),0)</f>
        <v>0</v>
      </c>
      <c r="M88" s="24">
        <f>IF(O87&gt;0,IF(AND(ROUND(O87+N88-ROUND(M$6+IF(M$5=$C88,$E$5+$E88,0),2),2)&gt;0,ROUND(O87+N88-ROUND(M$6+IF(M$5=$C88,$E$5+$E88,0),2),2)&lt;=P88,ROUND(O87+N88-ROUND(M$6+IF(M$5=$C88,$E$5+$E88,0),2),2)*10&lt;=ROUND(M$6+IF(M$5=$C88,$E$5+$E88,0),2)),ROUND(O87+N88,2),MIN(ROUND(M$6+IF(M$5=$C88,$E$5+$E88,0),2),ROUND(O87+N88,2))),0)</f>
        <v>0</v>
      </c>
      <c r="N88" s="24">
        <f>IF(O87&gt;0,ROUND(ROUND(O87*100,0)*ROUND(M$7*10000,0)/12000000,0)/100,0)</f>
        <v>0</v>
      </c>
      <c r="O88" s="24">
        <f>IF(O87&gt;0,ROUND(O87+N88-M88,2),0)</f>
        <v>0</v>
      </c>
      <c r="P88" s="24">
        <f>IF(O87&gt;0,ROUND(P87+ROUND(ROUND(P87*100,0)*ROUND(M$7*10000,0)/12000000,0)/100+0.02,2),0)</f>
        <v>0</v>
      </c>
      <c r="Q88" s="24">
        <f>IF(S87&gt;0,IF(AND(ROUND(S87+R88-ROUND(Q$6+IF(Q$5=$C88,$E$5+$E88,0),2),2)&gt;0,ROUND(S87+R88-ROUND(Q$6+IF(Q$5=$C88,$E$5+$E88,0),2),2)&lt;=T88,ROUND(S87+R88-ROUND(Q$6+IF(Q$5=$C88,$E$5+$E88,0),2),2)*10&lt;=ROUND(Q$6+IF(Q$5=$C88,$E$5+$E88,0),2)),ROUND(S87+R88,2),MIN(ROUND(Q$6+IF(Q$5=$C88,$E$5+$E88,0),2),ROUND(S87+R88,2))),0)</f>
        <v>0</v>
      </c>
      <c r="R88" s="24">
        <f>IF(S87&gt;0,ROUND(ROUND(S87*100,0)*ROUND(Q$7*10000,0)/12000000,0)/100,0)</f>
        <v>0</v>
      </c>
      <c r="S88" s="24">
        <f>IF(S87&gt;0,ROUND(S87+R88-Q88,2),0)</f>
        <v>0</v>
      </c>
      <c r="T88" s="24">
        <f>IF(S87&gt;0,ROUND(T87+ROUND(ROUND(T87*100,0)*ROUND(Q$7*10000,0)/12000000,0)/100+0.02,2),0)</f>
        <v>0</v>
      </c>
      <c r="U88" s="24">
        <f>IF(W87&gt;0,IF(AND(ROUND(W87+V88-ROUND(U$6+IF(U$5=$C88,$E$5+$E88,0),2),2)&gt;0,ROUND(W87+V88-ROUND(U$6+IF(U$5=$C88,$E$5+$E88,0),2),2)&lt;=X88,ROUND(W87+V88-ROUND(U$6+IF(U$5=$C88,$E$5+$E88,0),2),2)*10&lt;=ROUND(U$6+IF(U$5=$C88,$E$5+$E88,0),2)),ROUND(W87+V88,2),MIN(ROUND(U$6+IF(U$5=$C88,$E$5+$E88,0),2),ROUND(W87+V88,2))),0)</f>
        <v>0</v>
      </c>
      <c r="V88" s="24">
        <f>IF(W87&gt;0,ROUND(ROUND(W87*100,0)*ROUND(U$7*10000,0)/12000000,0)/100,0)</f>
        <v>0</v>
      </c>
      <c r="W88" s="24">
        <f>IF(W87&gt;0,ROUND(W87+V88-U88,2),0)</f>
        <v>0</v>
      </c>
      <c r="X88" s="24">
        <f>IF(W87&gt;0,ROUND(X87+ROUND(ROUND(X87*100,0)*ROUND(U$7*10000,0)/12000000,0)/100+0.02,2),0)</f>
        <v>0</v>
      </c>
      <c r="Y88" s="24">
        <f>IF(AA87&gt;0,IF(AND(ROUND(AA87+Z88-ROUND(Y$6+IF(Y$5=$C88,$E$5+$E88,0),2),2)&gt;0,ROUND(AA87+Z88-ROUND(Y$6+IF(Y$5=$C88,$E$5+$E88,0),2),2)&lt;=AB88,ROUND(AA87+Z88-ROUND(Y$6+IF(Y$5=$C88,$E$5+$E88,0),2),2)*10&lt;=ROUND(Y$6+IF(Y$5=$C88,$E$5+$E88,0),2)),ROUND(AA87+Z88,2),MIN(ROUND(Y$6+IF(Y$5=$C88,$E$5+$E88,0),2),ROUND(AA87+Z88,2))),0)</f>
        <v>0</v>
      </c>
      <c r="Z88" s="24">
        <f>IF(AA87&gt;0,ROUND(ROUND(AA87*100,0)*ROUND(Y$7*10000,0)/12000000,0)/100,0)</f>
        <v>0</v>
      </c>
      <c r="AA88" s="24">
        <f>IF(AA87&gt;0,ROUND(AA87+Z88-Y88,2),0)</f>
        <v>0</v>
      </c>
      <c r="AB88" s="24">
        <f>IF(AA87&gt;0,ROUND(AB87+ROUND(ROUND(AB87*100,0)*ROUND(Y$7*10000,0)/12000000,0)/100+0.02,2),0)</f>
        <v>0</v>
      </c>
      <c r="AC88" s="24">
        <f>IF(AE87&gt;0,IF(AND(ROUND(AE87+AD88-ROUND(AC$6+IF(AC$5=$C88,$E$5+$E88,0),2),2)&gt;0,ROUND(AE87+AD88-ROUND(AC$6+IF(AC$5=$C88,$E$5+$E88,0),2),2)&lt;=AF88,ROUND(AE87+AD88-ROUND(AC$6+IF(AC$5=$C88,$E$5+$E88,0),2),2)*10&lt;=ROUND(AC$6+IF(AC$5=$C88,$E$5+$E88,0),2)),ROUND(AE87+AD88,2),MIN(ROUND(AC$6+IF(AC$5=$C88,$E$5+$E88,0),2),ROUND(AE87+AD88,2))),0)</f>
        <v>0</v>
      </c>
      <c r="AD88" s="24">
        <f>IF(AE87&gt;0,ROUND(ROUND(AE87*100,0)*ROUND(AC$7*10000,0)/12000000,0)/100,0)</f>
        <v>0</v>
      </c>
      <c r="AE88" s="24">
        <f>IF(AE87&gt;0,ROUND(AE87+AD88-AC88,2),0)</f>
        <v>0</v>
      </c>
      <c r="AF88" s="24">
        <f>IF(AE87&gt;0,ROUND(AF87+ROUND(ROUND(AF87*100,0)*ROUND(AC$7*10000,0)/12000000,0)/100+0.02,2),0)</f>
        <v>0</v>
      </c>
      <c r="AG88" s="24">
        <f>IF(AI87&gt;0,IF(AND(ROUND(AI87+AH88-ROUND(AG$6+IF(AG$5=$C88,$E$5+$E88,0),2),2)&gt;0,ROUND(AI87+AH88-ROUND(AG$6+IF(AG$5=$C88,$E$5+$E88,0),2),2)&lt;=AJ88,ROUND(AI87+AH88-ROUND(AG$6+IF(AG$5=$C88,$E$5+$E88,0),2),2)*10&lt;=ROUND(AG$6+IF(AG$5=$C88,$E$5+$E88,0),2)),ROUND(AI87+AH88,2),MIN(ROUND(AG$6+IF(AG$5=$C88,$E$5+$E88,0),2),ROUND(AI87+AH88,2))),0)</f>
        <v>0</v>
      </c>
      <c r="AH88" s="24">
        <f>IF(AI87&gt;0,ROUND(ROUND(AI87*100,0)*ROUND(AG$7*10000,0)/12000000,0)/100,0)</f>
        <v>0</v>
      </c>
      <c r="AI88" s="24">
        <f>IF(AI87&gt;0,ROUND(AI87+AH88-AG88,2),0)</f>
        <v>0</v>
      </c>
      <c r="AJ88" s="24">
        <f>IF(AI87&gt;0,ROUND(AJ87+ROUND(ROUND(AJ87*100,0)*ROUND(AG$7*10000,0)/12000000,0)/100+0.02,2),0)</f>
        <v>0</v>
      </c>
      <c r="AK88" s="24">
        <f>IF(AM87&gt;0,IF(AND(ROUND(AM87+AL88-ROUND(AK$6+IF(AK$5=$C88,$E$5+$E88,0),2),2)&gt;0,ROUND(AM87+AL88-ROUND(AK$6+IF(AK$5=$C88,$E$5+$E88,0),2),2)&lt;=AN88,ROUND(AM87+AL88-ROUND(AK$6+IF(AK$5=$C88,$E$5+$E88,0),2),2)*10&lt;=ROUND(AK$6+IF(AK$5=$C88,$E$5+$E88,0),2)),ROUND(AM87+AL88,2),MIN(ROUND(AK$6+IF(AK$5=$C88,$E$5+$E88,0),2),ROUND(AM87+AL88,2))),0)</f>
        <v>0</v>
      </c>
      <c r="AL88" s="24">
        <f>IF(AM87&gt;0,ROUND(ROUND(AM87*100,0)*ROUND(AK$7*10000,0)/12000000,0)/100,0)</f>
        <v>0</v>
      </c>
      <c r="AM88" s="24">
        <f>IF(AM87&gt;0,ROUND(AM87+AL88-AK88,2),0)</f>
        <v>0</v>
      </c>
      <c r="AN88" s="24">
        <f>IF(AM87&gt;0,ROUND(AN87+ROUND(ROUND(AN87*100,0)*ROUND(AK$7*10000,0)/12000000,0)/100+0.02,2),0)</f>
        <v>0</v>
      </c>
      <c r="AO88" s="24">
        <f>IF(AQ87&gt;0,IF(AND(ROUND(AQ87+AP88-ROUND(AO$6+IF(AO$5=$C88,$E$5+$E88,0),2),2)&gt;0,ROUND(AQ87+AP88-ROUND(AO$6+IF(AO$5=$C88,$E$5+$E88,0),2),2)&lt;=AR88,ROUND(AQ87+AP88-ROUND(AO$6+IF(AO$5=$C88,$E$5+$E88,0),2),2)*10&lt;=ROUND(AO$6+IF(AO$5=$C88,$E$5+$E88,0),2)),ROUND(AQ87+AP88,2),MIN(ROUND(AO$6+IF(AO$5=$C88,$E$5+$E88,0),2),ROUND(AQ87+AP88,2))),0)</f>
        <v>0</v>
      </c>
      <c r="AP88" s="24">
        <f>IF(AQ87&gt;0,ROUND(ROUND(AQ87*100,0)*ROUND(AO$7*10000,0)/12000000,0)/100,0)</f>
        <v>0</v>
      </c>
      <c r="AQ88" s="24">
        <f>IF(AQ87&gt;0,ROUND(AQ87+AP88-AO88,2),0)</f>
        <v>0</v>
      </c>
      <c r="AR88" s="24">
        <f>IF(AQ87&gt;0,ROUND(AR87+ROUND(ROUND(AR87*100,0)*ROUND(AO$7*10000,0)/12000000,0)/100+0.02,2),0)</f>
        <v>0</v>
      </c>
      <c r="AS88" s="24">
        <f>IF(AU87&gt;0,IF(AND(ROUND(AU87+AT88-ROUND(AS$6+IF(AS$5=$C88,$E$5+$E88,0),2),2)&gt;0,ROUND(AU87+AT88-ROUND(AS$6+IF(AS$5=$C88,$E$5+$E88,0),2),2)&lt;=AV88,ROUND(AU87+AT88-ROUND(AS$6+IF(AS$5=$C88,$E$5+$E88,0),2),2)*10&lt;=ROUND(AS$6+IF(AS$5=$C88,$E$5+$E88,0),2)),ROUND(AU87+AT88,2),MIN(ROUND(AS$6+IF(AS$5=$C88,$E$5+$E88,0),2),ROUND(AU87+AT88,2))),0)</f>
        <v>0</v>
      </c>
      <c r="AT88" s="24">
        <f>IF(AU87&gt;0,ROUND(ROUND(AU87*100,0)*ROUND(AS$7*10000,0)/12000000,0)/100,0)</f>
        <v>0</v>
      </c>
      <c r="AU88" s="24">
        <f>IF(AU87&gt;0,ROUND(AU87+AT88-AS88,2),0)</f>
        <v>0</v>
      </c>
      <c r="AV88" s="24">
        <f>IF(AU87&gt;0,ROUND(AV87+ROUND(ROUND(AV87*100,0)*ROUND(AS$7*10000,0)/12000000,0)/100+0.02,2),0)</f>
        <v>0</v>
      </c>
    </row>
    <row r="89" spans="1:48" x14ac:dyDescent="0.25">
      <c r="A89" s="17" t="str">
        <f>IF(F89&gt;0,79,"")</f>
        <v/>
      </c>
      <c r="B89" s="18" t="str">
        <f>IF(F89&gt;0,EDATE($E$6,79),"")</f>
        <v/>
      </c>
      <c r="C89" s="21">
        <f>IF(H88&gt;0,MIN(IF(K88&gt;0,I$5,99),IF(O88&gt;0,M$5,99),IF(S88&gt;0,Q$5,99),IF(W88&gt;0,U$5,99),IF(AA88&gt;0,Y$5,99),IF(AE88&gt;0,AC$5,99),IF(AI88&gt;0,AG$5,99),IF(AM88&gt;0,AK$5,99),IF(AQ88&gt;0,AO$5,99),IF(AU88&gt;0,AS$5,99)),0)</f>
        <v>0</v>
      </c>
      <c r="D89" t="str">
        <f>IF(C89&gt;0,INDEX($I$4:$AV$4,1,MATCH(C89,$I$5:$AV$5,0)),"")</f>
        <v/>
      </c>
      <c r="E89" s="24">
        <f>ROUND(IF(AND(I$8&gt;0,K88=0),I$6,0)+IF(AND(M$8&gt;0,O88=0),M$6,0)+IF(AND(Q$8&gt;0,S88=0),Q$6,0)+IF(AND(U$8&gt;0,W88=0),U$6,0)+IF(AND(Y$8&gt;0,AA88=0),Y$6,0)+IF(AND(AC$8&gt;0,AE88=0),AC$6,0)+IF(AND(AG$8&gt;0,AI88=0),AG$6,0)+IF(AND(AK$8&gt;0,AM88=0),AK$6,0)+IF(AND(AO$8&gt;0,AQ88=0),AO$6,0)+IF(AND(AS$8&gt;0,AU88=0),AS$6,0),2)</f>
        <v>325</v>
      </c>
      <c r="F89" s="24">
        <f>ROUND(I89+M89+Q89+U89+Y89+AC89+AG89+AK89+AO89+AS89,2)</f>
        <v>0</v>
      </c>
      <c r="G89" s="24">
        <f>ROUND(J89+N89+R89+V89+Z89+AD89+AH89+AL89+AP89+AT89,2)</f>
        <v>0</v>
      </c>
      <c r="H89" s="24">
        <f>ROUND(K89+O89+S89+W89+AA89+AE89+AI89+AM89+AQ89+AU89,2)</f>
        <v>0</v>
      </c>
      <c r="I89" s="24">
        <f>IF(K88&gt;0,IF(AND(ROUND(K88+J89-ROUND(I$6+IF(I$5=$C89,$E$5+$E89,0),2),2)&gt;0,ROUND(K88+J89-ROUND(I$6+IF(I$5=$C89,$E$5+$E89,0),2),2)&lt;=L89,ROUND(K88+J89-ROUND(I$6+IF(I$5=$C89,$E$5+$E89,0),2),2)*10&lt;=ROUND(I$6+IF(I$5=$C89,$E$5+$E89,0),2)),ROUND(K88+J89,2),MIN(ROUND(I$6+IF(I$5=$C89,$E$5+$E89,0),2),ROUND(K88+J89,2))),0)</f>
        <v>0</v>
      </c>
      <c r="J89" s="24">
        <f>IF(K88&gt;0,ROUND(ROUND(K88*100,0)*ROUND(I$7*10000,0)/12000000,0)/100,0)</f>
        <v>0</v>
      </c>
      <c r="K89" s="24">
        <f>IF(K88&gt;0,ROUND(K88+J89-I89,2),0)</f>
        <v>0</v>
      </c>
      <c r="L89" s="24">
        <f>IF(K88&gt;0,ROUND(L88+ROUND(ROUND(L88*100,0)*ROUND(I$7*10000,0)/12000000,0)/100+0.02,2),0)</f>
        <v>0</v>
      </c>
      <c r="M89" s="24">
        <f>IF(O88&gt;0,IF(AND(ROUND(O88+N89-ROUND(M$6+IF(M$5=$C89,$E$5+$E89,0),2),2)&gt;0,ROUND(O88+N89-ROUND(M$6+IF(M$5=$C89,$E$5+$E89,0),2),2)&lt;=P89,ROUND(O88+N89-ROUND(M$6+IF(M$5=$C89,$E$5+$E89,0),2),2)*10&lt;=ROUND(M$6+IF(M$5=$C89,$E$5+$E89,0),2)),ROUND(O88+N89,2),MIN(ROUND(M$6+IF(M$5=$C89,$E$5+$E89,0),2),ROUND(O88+N89,2))),0)</f>
        <v>0</v>
      </c>
      <c r="N89" s="24">
        <f>IF(O88&gt;0,ROUND(ROUND(O88*100,0)*ROUND(M$7*10000,0)/12000000,0)/100,0)</f>
        <v>0</v>
      </c>
      <c r="O89" s="24">
        <f>IF(O88&gt;0,ROUND(O88+N89-M89,2),0)</f>
        <v>0</v>
      </c>
      <c r="P89" s="24">
        <f>IF(O88&gt;0,ROUND(P88+ROUND(ROUND(P88*100,0)*ROUND(M$7*10000,0)/12000000,0)/100+0.02,2),0)</f>
        <v>0</v>
      </c>
      <c r="Q89" s="24">
        <f>IF(S88&gt;0,IF(AND(ROUND(S88+R89-ROUND(Q$6+IF(Q$5=$C89,$E$5+$E89,0),2),2)&gt;0,ROUND(S88+R89-ROUND(Q$6+IF(Q$5=$C89,$E$5+$E89,0),2),2)&lt;=T89,ROUND(S88+R89-ROUND(Q$6+IF(Q$5=$C89,$E$5+$E89,0),2),2)*10&lt;=ROUND(Q$6+IF(Q$5=$C89,$E$5+$E89,0),2)),ROUND(S88+R89,2),MIN(ROUND(Q$6+IF(Q$5=$C89,$E$5+$E89,0),2),ROUND(S88+R89,2))),0)</f>
        <v>0</v>
      </c>
      <c r="R89" s="24">
        <f>IF(S88&gt;0,ROUND(ROUND(S88*100,0)*ROUND(Q$7*10000,0)/12000000,0)/100,0)</f>
        <v>0</v>
      </c>
      <c r="S89" s="24">
        <f>IF(S88&gt;0,ROUND(S88+R89-Q89,2),0)</f>
        <v>0</v>
      </c>
      <c r="T89" s="24">
        <f>IF(S88&gt;0,ROUND(T88+ROUND(ROUND(T88*100,0)*ROUND(Q$7*10000,0)/12000000,0)/100+0.02,2),0)</f>
        <v>0</v>
      </c>
      <c r="U89" s="24">
        <f>IF(W88&gt;0,IF(AND(ROUND(W88+V89-ROUND(U$6+IF(U$5=$C89,$E$5+$E89,0),2),2)&gt;0,ROUND(W88+V89-ROUND(U$6+IF(U$5=$C89,$E$5+$E89,0),2),2)&lt;=X89,ROUND(W88+V89-ROUND(U$6+IF(U$5=$C89,$E$5+$E89,0),2),2)*10&lt;=ROUND(U$6+IF(U$5=$C89,$E$5+$E89,0),2)),ROUND(W88+V89,2),MIN(ROUND(U$6+IF(U$5=$C89,$E$5+$E89,0),2),ROUND(W88+V89,2))),0)</f>
        <v>0</v>
      </c>
      <c r="V89" s="24">
        <f>IF(W88&gt;0,ROUND(ROUND(W88*100,0)*ROUND(U$7*10000,0)/12000000,0)/100,0)</f>
        <v>0</v>
      </c>
      <c r="W89" s="24">
        <f>IF(W88&gt;0,ROUND(W88+V89-U89,2),0)</f>
        <v>0</v>
      </c>
      <c r="X89" s="24">
        <f>IF(W88&gt;0,ROUND(X88+ROUND(ROUND(X88*100,0)*ROUND(U$7*10000,0)/12000000,0)/100+0.02,2),0)</f>
        <v>0</v>
      </c>
      <c r="Y89" s="24">
        <f>IF(AA88&gt;0,IF(AND(ROUND(AA88+Z89-ROUND(Y$6+IF(Y$5=$C89,$E$5+$E89,0),2),2)&gt;0,ROUND(AA88+Z89-ROUND(Y$6+IF(Y$5=$C89,$E$5+$E89,0),2),2)&lt;=AB89,ROUND(AA88+Z89-ROUND(Y$6+IF(Y$5=$C89,$E$5+$E89,0),2),2)*10&lt;=ROUND(Y$6+IF(Y$5=$C89,$E$5+$E89,0),2)),ROUND(AA88+Z89,2),MIN(ROUND(Y$6+IF(Y$5=$C89,$E$5+$E89,0),2),ROUND(AA88+Z89,2))),0)</f>
        <v>0</v>
      </c>
      <c r="Z89" s="24">
        <f>IF(AA88&gt;0,ROUND(ROUND(AA88*100,0)*ROUND(Y$7*10000,0)/12000000,0)/100,0)</f>
        <v>0</v>
      </c>
      <c r="AA89" s="24">
        <f>IF(AA88&gt;0,ROUND(AA88+Z89-Y89,2),0)</f>
        <v>0</v>
      </c>
      <c r="AB89" s="24">
        <f>IF(AA88&gt;0,ROUND(AB88+ROUND(ROUND(AB88*100,0)*ROUND(Y$7*10000,0)/12000000,0)/100+0.02,2),0)</f>
        <v>0</v>
      </c>
      <c r="AC89" s="24">
        <f>IF(AE88&gt;0,IF(AND(ROUND(AE88+AD89-ROUND(AC$6+IF(AC$5=$C89,$E$5+$E89,0),2),2)&gt;0,ROUND(AE88+AD89-ROUND(AC$6+IF(AC$5=$C89,$E$5+$E89,0),2),2)&lt;=AF89,ROUND(AE88+AD89-ROUND(AC$6+IF(AC$5=$C89,$E$5+$E89,0),2),2)*10&lt;=ROUND(AC$6+IF(AC$5=$C89,$E$5+$E89,0),2)),ROUND(AE88+AD89,2),MIN(ROUND(AC$6+IF(AC$5=$C89,$E$5+$E89,0),2),ROUND(AE88+AD89,2))),0)</f>
        <v>0</v>
      </c>
      <c r="AD89" s="24">
        <f>IF(AE88&gt;0,ROUND(ROUND(AE88*100,0)*ROUND(AC$7*10000,0)/12000000,0)/100,0)</f>
        <v>0</v>
      </c>
      <c r="AE89" s="24">
        <f>IF(AE88&gt;0,ROUND(AE88+AD89-AC89,2),0)</f>
        <v>0</v>
      </c>
      <c r="AF89" s="24">
        <f>IF(AE88&gt;0,ROUND(AF88+ROUND(ROUND(AF88*100,0)*ROUND(AC$7*10000,0)/12000000,0)/100+0.02,2),0)</f>
        <v>0</v>
      </c>
      <c r="AG89" s="24">
        <f>IF(AI88&gt;0,IF(AND(ROUND(AI88+AH89-ROUND(AG$6+IF(AG$5=$C89,$E$5+$E89,0),2),2)&gt;0,ROUND(AI88+AH89-ROUND(AG$6+IF(AG$5=$C89,$E$5+$E89,0),2),2)&lt;=AJ89,ROUND(AI88+AH89-ROUND(AG$6+IF(AG$5=$C89,$E$5+$E89,0),2),2)*10&lt;=ROUND(AG$6+IF(AG$5=$C89,$E$5+$E89,0),2)),ROUND(AI88+AH89,2),MIN(ROUND(AG$6+IF(AG$5=$C89,$E$5+$E89,0),2),ROUND(AI88+AH89,2))),0)</f>
        <v>0</v>
      </c>
      <c r="AH89" s="24">
        <f>IF(AI88&gt;0,ROUND(ROUND(AI88*100,0)*ROUND(AG$7*10000,0)/12000000,0)/100,0)</f>
        <v>0</v>
      </c>
      <c r="AI89" s="24">
        <f>IF(AI88&gt;0,ROUND(AI88+AH89-AG89,2),0)</f>
        <v>0</v>
      </c>
      <c r="AJ89" s="24">
        <f>IF(AI88&gt;0,ROUND(AJ88+ROUND(ROUND(AJ88*100,0)*ROUND(AG$7*10000,0)/12000000,0)/100+0.02,2),0)</f>
        <v>0</v>
      </c>
      <c r="AK89" s="24">
        <f>IF(AM88&gt;0,IF(AND(ROUND(AM88+AL89-ROUND(AK$6+IF(AK$5=$C89,$E$5+$E89,0),2),2)&gt;0,ROUND(AM88+AL89-ROUND(AK$6+IF(AK$5=$C89,$E$5+$E89,0),2),2)&lt;=AN89,ROUND(AM88+AL89-ROUND(AK$6+IF(AK$5=$C89,$E$5+$E89,0),2),2)*10&lt;=ROUND(AK$6+IF(AK$5=$C89,$E$5+$E89,0),2)),ROUND(AM88+AL89,2),MIN(ROUND(AK$6+IF(AK$5=$C89,$E$5+$E89,0),2),ROUND(AM88+AL89,2))),0)</f>
        <v>0</v>
      </c>
      <c r="AL89" s="24">
        <f>IF(AM88&gt;0,ROUND(ROUND(AM88*100,0)*ROUND(AK$7*10000,0)/12000000,0)/100,0)</f>
        <v>0</v>
      </c>
      <c r="AM89" s="24">
        <f>IF(AM88&gt;0,ROUND(AM88+AL89-AK89,2),0)</f>
        <v>0</v>
      </c>
      <c r="AN89" s="24">
        <f>IF(AM88&gt;0,ROUND(AN88+ROUND(ROUND(AN88*100,0)*ROUND(AK$7*10000,0)/12000000,0)/100+0.02,2),0)</f>
        <v>0</v>
      </c>
      <c r="AO89" s="24">
        <f>IF(AQ88&gt;0,IF(AND(ROUND(AQ88+AP89-ROUND(AO$6+IF(AO$5=$C89,$E$5+$E89,0),2),2)&gt;0,ROUND(AQ88+AP89-ROUND(AO$6+IF(AO$5=$C89,$E$5+$E89,0),2),2)&lt;=AR89,ROUND(AQ88+AP89-ROUND(AO$6+IF(AO$5=$C89,$E$5+$E89,0),2),2)*10&lt;=ROUND(AO$6+IF(AO$5=$C89,$E$5+$E89,0),2)),ROUND(AQ88+AP89,2),MIN(ROUND(AO$6+IF(AO$5=$C89,$E$5+$E89,0),2),ROUND(AQ88+AP89,2))),0)</f>
        <v>0</v>
      </c>
      <c r="AP89" s="24">
        <f>IF(AQ88&gt;0,ROUND(ROUND(AQ88*100,0)*ROUND(AO$7*10000,0)/12000000,0)/100,0)</f>
        <v>0</v>
      </c>
      <c r="AQ89" s="24">
        <f>IF(AQ88&gt;0,ROUND(AQ88+AP89-AO89,2),0)</f>
        <v>0</v>
      </c>
      <c r="AR89" s="24">
        <f>IF(AQ88&gt;0,ROUND(AR88+ROUND(ROUND(AR88*100,0)*ROUND(AO$7*10000,0)/12000000,0)/100+0.02,2),0)</f>
        <v>0</v>
      </c>
      <c r="AS89" s="24">
        <f>IF(AU88&gt;0,IF(AND(ROUND(AU88+AT89-ROUND(AS$6+IF(AS$5=$C89,$E$5+$E89,0),2),2)&gt;0,ROUND(AU88+AT89-ROUND(AS$6+IF(AS$5=$C89,$E$5+$E89,0),2),2)&lt;=AV89,ROUND(AU88+AT89-ROUND(AS$6+IF(AS$5=$C89,$E$5+$E89,0),2),2)*10&lt;=ROUND(AS$6+IF(AS$5=$C89,$E$5+$E89,0),2)),ROUND(AU88+AT89,2),MIN(ROUND(AS$6+IF(AS$5=$C89,$E$5+$E89,0),2),ROUND(AU88+AT89,2))),0)</f>
        <v>0</v>
      </c>
      <c r="AT89" s="24">
        <f>IF(AU88&gt;0,ROUND(ROUND(AU88*100,0)*ROUND(AS$7*10000,0)/12000000,0)/100,0)</f>
        <v>0</v>
      </c>
      <c r="AU89" s="24">
        <f>IF(AU88&gt;0,ROUND(AU88+AT89-AS89,2),0)</f>
        <v>0</v>
      </c>
      <c r="AV89" s="24">
        <f>IF(AU88&gt;0,ROUND(AV88+ROUND(ROUND(AV88*100,0)*ROUND(AS$7*10000,0)/12000000,0)/100+0.02,2),0)</f>
        <v>0</v>
      </c>
    </row>
    <row r="90" spans="1:48" x14ac:dyDescent="0.25">
      <c r="A90" s="17" t="str">
        <f>IF(F90&gt;0,80,"")</f>
        <v/>
      </c>
      <c r="B90" s="18" t="str">
        <f>IF(F90&gt;0,EDATE($E$6,80),"")</f>
        <v/>
      </c>
      <c r="C90" s="21">
        <f>IF(H89&gt;0,MIN(IF(K89&gt;0,I$5,99),IF(O89&gt;0,M$5,99),IF(S89&gt;0,Q$5,99),IF(W89&gt;0,U$5,99),IF(AA89&gt;0,Y$5,99),IF(AE89&gt;0,AC$5,99),IF(AI89&gt;0,AG$5,99),IF(AM89&gt;0,AK$5,99),IF(AQ89&gt;0,AO$5,99),IF(AU89&gt;0,AS$5,99)),0)</f>
        <v>0</v>
      </c>
      <c r="D90" t="str">
        <f>IF(C90&gt;0,INDEX($I$4:$AV$4,1,MATCH(C90,$I$5:$AV$5,0)),"")</f>
        <v/>
      </c>
      <c r="E90" s="24">
        <f>ROUND(IF(AND(I$8&gt;0,K89=0),I$6,0)+IF(AND(M$8&gt;0,O89=0),M$6,0)+IF(AND(Q$8&gt;0,S89=0),Q$6,0)+IF(AND(U$8&gt;0,W89=0),U$6,0)+IF(AND(Y$8&gt;0,AA89=0),Y$6,0)+IF(AND(AC$8&gt;0,AE89=0),AC$6,0)+IF(AND(AG$8&gt;0,AI89=0),AG$6,0)+IF(AND(AK$8&gt;0,AM89=0),AK$6,0)+IF(AND(AO$8&gt;0,AQ89=0),AO$6,0)+IF(AND(AS$8&gt;0,AU89=0),AS$6,0),2)</f>
        <v>325</v>
      </c>
      <c r="F90" s="24">
        <f>ROUND(I90+M90+Q90+U90+Y90+AC90+AG90+AK90+AO90+AS90,2)</f>
        <v>0</v>
      </c>
      <c r="G90" s="24">
        <f>ROUND(J90+N90+R90+V90+Z90+AD90+AH90+AL90+AP90+AT90,2)</f>
        <v>0</v>
      </c>
      <c r="H90" s="24">
        <f>ROUND(K90+O90+S90+W90+AA90+AE90+AI90+AM90+AQ90+AU90,2)</f>
        <v>0</v>
      </c>
      <c r="I90" s="24">
        <f>IF(K89&gt;0,IF(AND(ROUND(K89+J90-ROUND(I$6+IF(I$5=$C90,$E$5+$E90,0),2),2)&gt;0,ROUND(K89+J90-ROUND(I$6+IF(I$5=$C90,$E$5+$E90,0),2),2)&lt;=L90,ROUND(K89+J90-ROUND(I$6+IF(I$5=$C90,$E$5+$E90,0),2),2)*10&lt;=ROUND(I$6+IF(I$5=$C90,$E$5+$E90,0),2)),ROUND(K89+J90,2),MIN(ROUND(I$6+IF(I$5=$C90,$E$5+$E90,0),2),ROUND(K89+J90,2))),0)</f>
        <v>0</v>
      </c>
      <c r="J90" s="24">
        <f>IF(K89&gt;0,ROUND(ROUND(K89*100,0)*ROUND(I$7*10000,0)/12000000,0)/100,0)</f>
        <v>0</v>
      </c>
      <c r="K90" s="24">
        <f>IF(K89&gt;0,ROUND(K89+J90-I90,2),0)</f>
        <v>0</v>
      </c>
      <c r="L90" s="24">
        <f>IF(K89&gt;0,ROUND(L89+ROUND(ROUND(L89*100,0)*ROUND(I$7*10000,0)/12000000,0)/100+0.02,2),0)</f>
        <v>0</v>
      </c>
      <c r="M90" s="24">
        <f>IF(O89&gt;0,IF(AND(ROUND(O89+N90-ROUND(M$6+IF(M$5=$C90,$E$5+$E90,0),2),2)&gt;0,ROUND(O89+N90-ROUND(M$6+IF(M$5=$C90,$E$5+$E90,0),2),2)&lt;=P90,ROUND(O89+N90-ROUND(M$6+IF(M$5=$C90,$E$5+$E90,0),2),2)*10&lt;=ROUND(M$6+IF(M$5=$C90,$E$5+$E90,0),2)),ROUND(O89+N90,2),MIN(ROUND(M$6+IF(M$5=$C90,$E$5+$E90,0),2),ROUND(O89+N90,2))),0)</f>
        <v>0</v>
      </c>
      <c r="N90" s="24">
        <f>IF(O89&gt;0,ROUND(ROUND(O89*100,0)*ROUND(M$7*10000,0)/12000000,0)/100,0)</f>
        <v>0</v>
      </c>
      <c r="O90" s="24">
        <f>IF(O89&gt;0,ROUND(O89+N90-M90,2),0)</f>
        <v>0</v>
      </c>
      <c r="P90" s="24">
        <f>IF(O89&gt;0,ROUND(P89+ROUND(ROUND(P89*100,0)*ROUND(M$7*10000,0)/12000000,0)/100+0.02,2),0)</f>
        <v>0</v>
      </c>
      <c r="Q90" s="24">
        <f>IF(S89&gt;0,IF(AND(ROUND(S89+R90-ROUND(Q$6+IF(Q$5=$C90,$E$5+$E90,0),2),2)&gt;0,ROUND(S89+R90-ROUND(Q$6+IF(Q$5=$C90,$E$5+$E90,0),2),2)&lt;=T90,ROUND(S89+R90-ROUND(Q$6+IF(Q$5=$C90,$E$5+$E90,0),2),2)*10&lt;=ROUND(Q$6+IF(Q$5=$C90,$E$5+$E90,0),2)),ROUND(S89+R90,2),MIN(ROUND(Q$6+IF(Q$5=$C90,$E$5+$E90,0),2),ROUND(S89+R90,2))),0)</f>
        <v>0</v>
      </c>
      <c r="R90" s="24">
        <f>IF(S89&gt;0,ROUND(ROUND(S89*100,0)*ROUND(Q$7*10000,0)/12000000,0)/100,0)</f>
        <v>0</v>
      </c>
      <c r="S90" s="24">
        <f>IF(S89&gt;0,ROUND(S89+R90-Q90,2),0)</f>
        <v>0</v>
      </c>
      <c r="T90" s="24">
        <f>IF(S89&gt;0,ROUND(T89+ROUND(ROUND(T89*100,0)*ROUND(Q$7*10000,0)/12000000,0)/100+0.02,2),0)</f>
        <v>0</v>
      </c>
      <c r="U90" s="24">
        <f>IF(W89&gt;0,IF(AND(ROUND(W89+V90-ROUND(U$6+IF(U$5=$C90,$E$5+$E90,0),2),2)&gt;0,ROUND(W89+V90-ROUND(U$6+IF(U$5=$C90,$E$5+$E90,0),2),2)&lt;=X90,ROUND(W89+V90-ROUND(U$6+IF(U$5=$C90,$E$5+$E90,0),2),2)*10&lt;=ROUND(U$6+IF(U$5=$C90,$E$5+$E90,0),2)),ROUND(W89+V90,2),MIN(ROUND(U$6+IF(U$5=$C90,$E$5+$E90,0),2),ROUND(W89+V90,2))),0)</f>
        <v>0</v>
      </c>
      <c r="V90" s="24">
        <f>IF(W89&gt;0,ROUND(ROUND(W89*100,0)*ROUND(U$7*10000,0)/12000000,0)/100,0)</f>
        <v>0</v>
      </c>
      <c r="W90" s="24">
        <f>IF(W89&gt;0,ROUND(W89+V90-U90,2),0)</f>
        <v>0</v>
      </c>
      <c r="X90" s="24">
        <f>IF(W89&gt;0,ROUND(X89+ROUND(ROUND(X89*100,0)*ROUND(U$7*10000,0)/12000000,0)/100+0.02,2),0)</f>
        <v>0</v>
      </c>
      <c r="Y90" s="24">
        <f>IF(AA89&gt;0,IF(AND(ROUND(AA89+Z90-ROUND(Y$6+IF(Y$5=$C90,$E$5+$E90,0),2),2)&gt;0,ROUND(AA89+Z90-ROUND(Y$6+IF(Y$5=$C90,$E$5+$E90,0),2),2)&lt;=AB90,ROUND(AA89+Z90-ROUND(Y$6+IF(Y$5=$C90,$E$5+$E90,0),2),2)*10&lt;=ROUND(Y$6+IF(Y$5=$C90,$E$5+$E90,0),2)),ROUND(AA89+Z90,2),MIN(ROUND(Y$6+IF(Y$5=$C90,$E$5+$E90,0),2),ROUND(AA89+Z90,2))),0)</f>
        <v>0</v>
      </c>
      <c r="Z90" s="24">
        <f>IF(AA89&gt;0,ROUND(ROUND(AA89*100,0)*ROUND(Y$7*10000,0)/12000000,0)/100,0)</f>
        <v>0</v>
      </c>
      <c r="AA90" s="24">
        <f>IF(AA89&gt;0,ROUND(AA89+Z90-Y90,2),0)</f>
        <v>0</v>
      </c>
      <c r="AB90" s="24">
        <f>IF(AA89&gt;0,ROUND(AB89+ROUND(ROUND(AB89*100,0)*ROUND(Y$7*10000,0)/12000000,0)/100+0.02,2),0)</f>
        <v>0</v>
      </c>
      <c r="AC90" s="24">
        <f>IF(AE89&gt;0,IF(AND(ROUND(AE89+AD90-ROUND(AC$6+IF(AC$5=$C90,$E$5+$E90,0),2),2)&gt;0,ROUND(AE89+AD90-ROUND(AC$6+IF(AC$5=$C90,$E$5+$E90,0),2),2)&lt;=AF90,ROUND(AE89+AD90-ROUND(AC$6+IF(AC$5=$C90,$E$5+$E90,0),2),2)*10&lt;=ROUND(AC$6+IF(AC$5=$C90,$E$5+$E90,0),2)),ROUND(AE89+AD90,2),MIN(ROUND(AC$6+IF(AC$5=$C90,$E$5+$E90,0),2),ROUND(AE89+AD90,2))),0)</f>
        <v>0</v>
      </c>
      <c r="AD90" s="24">
        <f>IF(AE89&gt;0,ROUND(ROUND(AE89*100,0)*ROUND(AC$7*10000,0)/12000000,0)/100,0)</f>
        <v>0</v>
      </c>
      <c r="AE90" s="24">
        <f>IF(AE89&gt;0,ROUND(AE89+AD90-AC90,2),0)</f>
        <v>0</v>
      </c>
      <c r="AF90" s="24">
        <f>IF(AE89&gt;0,ROUND(AF89+ROUND(ROUND(AF89*100,0)*ROUND(AC$7*10000,0)/12000000,0)/100+0.02,2),0)</f>
        <v>0</v>
      </c>
      <c r="AG90" s="24">
        <f>IF(AI89&gt;0,IF(AND(ROUND(AI89+AH90-ROUND(AG$6+IF(AG$5=$C90,$E$5+$E90,0),2),2)&gt;0,ROUND(AI89+AH90-ROUND(AG$6+IF(AG$5=$C90,$E$5+$E90,0),2),2)&lt;=AJ90,ROUND(AI89+AH90-ROUND(AG$6+IF(AG$5=$C90,$E$5+$E90,0),2),2)*10&lt;=ROUND(AG$6+IF(AG$5=$C90,$E$5+$E90,0),2)),ROUND(AI89+AH90,2),MIN(ROUND(AG$6+IF(AG$5=$C90,$E$5+$E90,0),2),ROUND(AI89+AH90,2))),0)</f>
        <v>0</v>
      </c>
      <c r="AH90" s="24">
        <f>IF(AI89&gt;0,ROUND(ROUND(AI89*100,0)*ROUND(AG$7*10000,0)/12000000,0)/100,0)</f>
        <v>0</v>
      </c>
      <c r="AI90" s="24">
        <f>IF(AI89&gt;0,ROUND(AI89+AH90-AG90,2),0)</f>
        <v>0</v>
      </c>
      <c r="AJ90" s="24">
        <f>IF(AI89&gt;0,ROUND(AJ89+ROUND(ROUND(AJ89*100,0)*ROUND(AG$7*10000,0)/12000000,0)/100+0.02,2),0)</f>
        <v>0</v>
      </c>
      <c r="AK90" s="24">
        <f>IF(AM89&gt;0,IF(AND(ROUND(AM89+AL90-ROUND(AK$6+IF(AK$5=$C90,$E$5+$E90,0),2),2)&gt;0,ROUND(AM89+AL90-ROUND(AK$6+IF(AK$5=$C90,$E$5+$E90,0),2),2)&lt;=AN90,ROUND(AM89+AL90-ROUND(AK$6+IF(AK$5=$C90,$E$5+$E90,0),2),2)*10&lt;=ROUND(AK$6+IF(AK$5=$C90,$E$5+$E90,0),2)),ROUND(AM89+AL90,2),MIN(ROUND(AK$6+IF(AK$5=$C90,$E$5+$E90,0),2),ROUND(AM89+AL90,2))),0)</f>
        <v>0</v>
      </c>
      <c r="AL90" s="24">
        <f>IF(AM89&gt;0,ROUND(ROUND(AM89*100,0)*ROUND(AK$7*10000,0)/12000000,0)/100,0)</f>
        <v>0</v>
      </c>
      <c r="AM90" s="24">
        <f>IF(AM89&gt;0,ROUND(AM89+AL90-AK90,2),0)</f>
        <v>0</v>
      </c>
      <c r="AN90" s="24">
        <f>IF(AM89&gt;0,ROUND(AN89+ROUND(ROUND(AN89*100,0)*ROUND(AK$7*10000,0)/12000000,0)/100+0.02,2),0)</f>
        <v>0</v>
      </c>
      <c r="AO90" s="24">
        <f>IF(AQ89&gt;0,IF(AND(ROUND(AQ89+AP90-ROUND(AO$6+IF(AO$5=$C90,$E$5+$E90,0),2),2)&gt;0,ROUND(AQ89+AP90-ROUND(AO$6+IF(AO$5=$C90,$E$5+$E90,0),2),2)&lt;=AR90,ROUND(AQ89+AP90-ROUND(AO$6+IF(AO$5=$C90,$E$5+$E90,0),2),2)*10&lt;=ROUND(AO$6+IF(AO$5=$C90,$E$5+$E90,0),2)),ROUND(AQ89+AP90,2),MIN(ROUND(AO$6+IF(AO$5=$C90,$E$5+$E90,0),2),ROUND(AQ89+AP90,2))),0)</f>
        <v>0</v>
      </c>
      <c r="AP90" s="24">
        <f>IF(AQ89&gt;0,ROUND(ROUND(AQ89*100,0)*ROUND(AO$7*10000,0)/12000000,0)/100,0)</f>
        <v>0</v>
      </c>
      <c r="AQ90" s="24">
        <f>IF(AQ89&gt;0,ROUND(AQ89+AP90-AO90,2),0)</f>
        <v>0</v>
      </c>
      <c r="AR90" s="24">
        <f>IF(AQ89&gt;0,ROUND(AR89+ROUND(ROUND(AR89*100,0)*ROUND(AO$7*10000,0)/12000000,0)/100+0.02,2),0)</f>
        <v>0</v>
      </c>
      <c r="AS90" s="24">
        <f>IF(AU89&gt;0,IF(AND(ROUND(AU89+AT90-ROUND(AS$6+IF(AS$5=$C90,$E$5+$E90,0),2),2)&gt;0,ROUND(AU89+AT90-ROUND(AS$6+IF(AS$5=$C90,$E$5+$E90,0),2),2)&lt;=AV90,ROUND(AU89+AT90-ROUND(AS$6+IF(AS$5=$C90,$E$5+$E90,0),2),2)*10&lt;=ROUND(AS$6+IF(AS$5=$C90,$E$5+$E90,0),2)),ROUND(AU89+AT90,2),MIN(ROUND(AS$6+IF(AS$5=$C90,$E$5+$E90,0),2),ROUND(AU89+AT90,2))),0)</f>
        <v>0</v>
      </c>
      <c r="AT90" s="24">
        <f>IF(AU89&gt;0,ROUND(ROUND(AU89*100,0)*ROUND(AS$7*10000,0)/12000000,0)/100,0)</f>
        <v>0</v>
      </c>
      <c r="AU90" s="24">
        <f>IF(AU89&gt;0,ROUND(AU89+AT90-AS90,2),0)</f>
        <v>0</v>
      </c>
      <c r="AV90" s="24">
        <f>IF(AU89&gt;0,ROUND(AV89+ROUND(ROUND(AV89*100,0)*ROUND(AS$7*10000,0)/12000000,0)/100+0.02,2),0)</f>
        <v>0</v>
      </c>
    </row>
    <row r="91" spans="1:48" x14ac:dyDescent="0.25">
      <c r="A91" s="17" t="str">
        <f>IF(F91&gt;0,81,"")</f>
        <v/>
      </c>
      <c r="B91" s="18" t="str">
        <f>IF(F91&gt;0,EDATE($E$6,81),"")</f>
        <v/>
      </c>
      <c r="C91" s="21">
        <f>IF(H90&gt;0,MIN(IF(K90&gt;0,I$5,99),IF(O90&gt;0,M$5,99),IF(S90&gt;0,Q$5,99),IF(W90&gt;0,U$5,99),IF(AA90&gt;0,Y$5,99),IF(AE90&gt;0,AC$5,99),IF(AI90&gt;0,AG$5,99),IF(AM90&gt;0,AK$5,99),IF(AQ90&gt;0,AO$5,99),IF(AU90&gt;0,AS$5,99)),0)</f>
        <v>0</v>
      </c>
      <c r="D91" t="str">
        <f>IF(C91&gt;0,INDEX($I$4:$AV$4,1,MATCH(C91,$I$5:$AV$5,0)),"")</f>
        <v/>
      </c>
      <c r="E91" s="24">
        <f>ROUND(IF(AND(I$8&gt;0,K90=0),I$6,0)+IF(AND(M$8&gt;0,O90=0),M$6,0)+IF(AND(Q$8&gt;0,S90=0),Q$6,0)+IF(AND(U$8&gt;0,W90=0),U$6,0)+IF(AND(Y$8&gt;0,AA90=0),Y$6,0)+IF(AND(AC$8&gt;0,AE90=0),AC$6,0)+IF(AND(AG$8&gt;0,AI90=0),AG$6,0)+IF(AND(AK$8&gt;0,AM90=0),AK$6,0)+IF(AND(AO$8&gt;0,AQ90=0),AO$6,0)+IF(AND(AS$8&gt;0,AU90=0),AS$6,0),2)</f>
        <v>325</v>
      </c>
      <c r="F91" s="24">
        <f>ROUND(I91+M91+Q91+U91+Y91+AC91+AG91+AK91+AO91+AS91,2)</f>
        <v>0</v>
      </c>
      <c r="G91" s="24">
        <f>ROUND(J91+N91+R91+V91+Z91+AD91+AH91+AL91+AP91+AT91,2)</f>
        <v>0</v>
      </c>
      <c r="H91" s="24">
        <f>ROUND(K91+O91+S91+W91+AA91+AE91+AI91+AM91+AQ91+AU91,2)</f>
        <v>0</v>
      </c>
      <c r="I91" s="24">
        <f>IF(K90&gt;0,IF(AND(ROUND(K90+J91-ROUND(I$6+IF(I$5=$C91,$E$5+$E91,0),2),2)&gt;0,ROUND(K90+J91-ROUND(I$6+IF(I$5=$C91,$E$5+$E91,0),2),2)&lt;=L91,ROUND(K90+J91-ROUND(I$6+IF(I$5=$C91,$E$5+$E91,0),2),2)*10&lt;=ROUND(I$6+IF(I$5=$C91,$E$5+$E91,0),2)),ROUND(K90+J91,2),MIN(ROUND(I$6+IF(I$5=$C91,$E$5+$E91,0),2),ROUND(K90+J91,2))),0)</f>
        <v>0</v>
      </c>
      <c r="J91" s="24">
        <f>IF(K90&gt;0,ROUND(ROUND(K90*100,0)*ROUND(I$7*10000,0)/12000000,0)/100,0)</f>
        <v>0</v>
      </c>
      <c r="K91" s="24">
        <f>IF(K90&gt;0,ROUND(K90+J91-I91,2),0)</f>
        <v>0</v>
      </c>
      <c r="L91" s="24">
        <f>IF(K90&gt;0,ROUND(L90+ROUND(ROUND(L90*100,0)*ROUND(I$7*10000,0)/12000000,0)/100+0.02,2),0)</f>
        <v>0</v>
      </c>
      <c r="M91" s="24">
        <f>IF(O90&gt;0,IF(AND(ROUND(O90+N91-ROUND(M$6+IF(M$5=$C91,$E$5+$E91,0),2),2)&gt;0,ROUND(O90+N91-ROUND(M$6+IF(M$5=$C91,$E$5+$E91,0),2),2)&lt;=P91,ROUND(O90+N91-ROUND(M$6+IF(M$5=$C91,$E$5+$E91,0),2),2)*10&lt;=ROUND(M$6+IF(M$5=$C91,$E$5+$E91,0),2)),ROUND(O90+N91,2),MIN(ROUND(M$6+IF(M$5=$C91,$E$5+$E91,0),2),ROUND(O90+N91,2))),0)</f>
        <v>0</v>
      </c>
      <c r="N91" s="24">
        <f>IF(O90&gt;0,ROUND(ROUND(O90*100,0)*ROUND(M$7*10000,0)/12000000,0)/100,0)</f>
        <v>0</v>
      </c>
      <c r="O91" s="24">
        <f>IF(O90&gt;0,ROUND(O90+N91-M91,2),0)</f>
        <v>0</v>
      </c>
      <c r="P91" s="24">
        <f>IF(O90&gt;0,ROUND(P90+ROUND(ROUND(P90*100,0)*ROUND(M$7*10000,0)/12000000,0)/100+0.02,2),0)</f>
        <v>0</v>
      </c>
      <c r="Q91" s="24">
        <f>IF(S90&gt;0,IF(AND(ROUND(S90+R91-ROUND(Q$6+IF(Q$5=$C91,$E$5+$E91,0),2),2)&gt;0,ROUND(S90+R91-ROUND(Q$6+IF(Q$5=$C91,$E$5+$E91,0),2),2)&lt;=T91,ROUND(S90+R91-ROUND(Q$6+IF(Q$5=$C91,$E$5+$E91,0),2),2)*10&lt;=ROUND(Q$6+IF(Q$5=$C91,$E$5+$E91,0),2)),ROUND(S90+R91,2),MIN(ROUND(Q$6+IF(Q$5=$C91,$E$5+$E91,0),2),ROUND(S90+R91,2))),0)</f>
        <v>0</v>
      </c>
      <c r="R91" s="24">
        <f>IF(S90&gt;0,ROUND(ROUND(S90*100,0)*ROUND(Q$7*10000,0)/12000000,0)/100,0)</f>
        <v>0</v>
      </c>
      <c r="S91" s="24">
        <f>IF(S90&gt;0,ROUND(S90+R91-Q91,2),0)</f>
        <v>0</v>
      </c>
      <c r="T91" s="24">
        <f>IF(S90&gt;0,ROUND(T90+ROUND(ROUND(T90*100,0)*ROUND(Q$7*10000,0)/12000000,0)/100+0.02,2),0)</f>
        <v>0</v>
      </c>
      <c r="U91" s="24">
        <f>IF(W90&gt;0,IF(AND(ROUND(W90+V91-ROUND(U$6+IF(U$5=$C91,$E$5+$E91,0),2),2)&gt;0,ROUND(W90+V91-ROUND(U$6+IF(U$5=$C91,$E$5+$E91,0),2),2)&lt;=X91,ROUND(W90+V91-ROUND(U$6+IF(U$5=$C91,$E$5+$E91,0),2),2)*10&lt;=ROUND(U$6+IF(U$5=$C91,$E$5+$E91,0),2)),ROUND(W90+V91,2),MIN(ROUND(U$6+IF(U$5=$C91,$E$5+$E91,0),2),ROUND(W90+V91,2))),0)</f>
        <v>0</v>
      </c>
      <c r="V91" s="24">
        <f>IF(W90&gt;0,ROUND(ROUND(W90*100,0)*ROUND(U$7*10000,0)/12000000,0)/100,0)</f>
        <v>0</v>
      </c>
      <c r="W91" s="24">
        <f>IF(W90&gt;0,ROUND(W90+V91-U91,2),0)</f>
        <v>0</v>
      </c>
      <c r="X91" s="24">
        <f>IF(W90&gt;0,ROUND(X90+ROUND(ROUND(X90*100,0)*ROUND(U$7*10000,0)/12000000,0)/100+0.02,2),0)</f>
        <v>0</v>
      </c>
      <c r="Y91" s="24">
        <f>IF(AA90&gt;0,IF(AND(ROUND(AA90+Z91-ROUND(Y$6+IF(Y$5=$C91,$E$5+$E91,0),2),2)&gt;0,ROUND(AA90+Z91-ROUND(Y$6+IF(Y$5=$C91,$E$5+$E91,0),2),2)&lt;=AB91,ROUND(AA90+Z91-ROUND(Y$6+IF(Y$5=$C91,$E$5+$E91,0),2),2)*10&lt;=ROUND(Y$6+IF(Y$5=$C91,$E$5+$E91,0),2)),ROUND(AA90+Z91,2),MIN(ROUND(Y$6+IF(Y$5=$C91,$E$5+$E91,0),2),ROUND(AA90+Z91,2))),0)</f>
        <v>0</v>
      </c>
      <c r="Z91" s="24">
        <f>IF(AA90&gt;0,ROUND(ROUND(AA90*100,0)*ROUND(Y$7*10000,0)/12000000,0)/100,0)</f>
        <v>0</v>
      </c>
      <c r="AA91" s="24">
        <f>IF(AA90&gt;0,ROUND(AA90+Z91-Y91,2),0)</f>
        <v>0</v>
      </c>
      <c r="AB91" s="24">
        <f>IF(AA90&gt;0,ROUND(AB90+ROUND(ROUND(AB90*100,0)*ROUND(Y$7*10000,0)/12000000,0)/100+0.02,2),0)</f>
        <v>0</v>
      </c>
      <c r="AC91" s="24">
        <f>IF(AE90&gt;0,IF(AND(ROUND(AE90+AD91-ROUND(AC$6+IF(AC$5=$C91,$E$5+$E91,0),2),2)&gt;0,ROUND(AE90+AD91-ROUND(AC$6+IF(AC$5=$C91,$E$5+$E91,0),2),2)&lt;=AF91,ROUND(AE90+AD91-ROUND(AC$6+IF(AC$5=$C91,$E$5+$E91,0),2),2)*10&lt;=ROUND(AC$6+IF(AC$5=$C91,$E$5+$E91,0),2)),ROUND(AE90+AD91,2),MIN(ROUND(AC$6+IF(AC$5=$C91,$E$5+$E91,0),2),ROUND(AE90+AD91,2))),0)</f>
        <v>0</v>
      </c>
      <c r="AD91" s="24">
        <f>IF(AE90&gt;0,ROUND(ROUND(AE90*100,0)*ROUND(AC$7*10000,0)/12000000,0)/100,0)</f>
        <v>0</v>
      </c>
      <c r="AE91" s="24">
        <f>IF(AE90&gt;0,ROUND(AE90+AD91-AC91,2),0)</f>
        <v>0</v>
      </c>
      <c r="AF91" s="24">
        <f>IF(AE90&gt;0,ROUND(AF90+ROUND(ROUND(AF90*100,0)*ROUND(AC$7*10000,0)/12000000,0)/100+0.02,2),0)</f>
        <v>0</v>
      </c>
      <c r="AG91" s="24">
        <f>IF(AI90&gt;0,IF(AND(ROUND(AI90+AH91-ROUND(AG$6+IF(AG$5=$C91,$E$5+$E91,0),2),2)&gt;0,ROUND(AI90+AH91-ROUND(AG$6+IF(AG$5=$C91,$E$5+$E91,0),2),2)&lt;=AJ91,ROUND(AI90+AH91-ROUND(AG$6+IF(AG$5=$C91,$E$5+$E91,0),2),2)*10&lt;=ROUND(AG$6+IF(AG$5=$C91,$E$5+$E91,0),2)),ROUND(AI90+AH91,2),MIN(ROUND(AG$6+IF(AG$5=$C91,$E$5+$E91,0),2),ROUND(AI90+AH91,2))),0)</f>
        <v>0</v>
      </c>
      <c r="AH91" s="24">
        <f>IF(AI90&gt;0,ROUND(ROUND(AI90*100,0)*ROUND(AG$7*10000,0)/12000000,0)/100,0)</f>
        <v>0</v>
      </c>
      <c r="AI91" s="24">
        <f>IF(AI90&gt;0,ROUND(AI90+AH91-AG91,2),0)</f>
        <v>0</v>
      </c>
      <c r="AJ91" s="24">
        <f>IF(AI90&gt;0,ROUND(AJ90+ROUND(ROUND(AJ90*100,0)*ROUND(AG$7*10000,0)/12000000,0)/100+0.02,2),0)</f>
        <v>0</v>
      </c>
      <c r="AK91" s="24">
        <f>IF(AM90&gt;0,IF(AND(ROUND(AM90+AL91-ROUND(AK$6+IF(AK$5=$C91,$E$5+$E91,0),2),2)&gt;0,ROUND(AM90+AL91-ROUND(AK$6+IF(AK$5=$C91,$E$5+$E91,0),2),2)&lt;=AN91,ROUND(AM90+AL91-ROUND(AK$6+IF(AK$5=$C91,$E$5+$E91,0),2),2)*10&lt;=ROUND(AK$6+IF(AK$5=$C91,$E$5+$E91,0),2)),ROUND(AM90+AL91,2),MIN(ROUND(AK$6+IF(AK$5=$C91,$E$5+$E91,0),2),ROUND(AM90+AL91,2))),0)</f>
        <v>0</v>
      </c>
      <c r="AL91" s="24">
        <f>IF(AM90&gt;0,ROUND(ROUND(AM90*100,0)*ROUND(AK$7*10000,0)/12000000,0)/100,0)</f>
        <v>0</v>
      </c>
      <c r="AM91" s="24">
        <f>IF(AM90&gt;0,ROUND(AM90+AL91-AK91,2),0)</f>
        <v>0</v>
      </c>
      <c r="AN91" s="24">
        <f>IF(AM90&gt;0,ROUND(AN90+ROUND(ROUND(AN90*100,0)*ROUND(AK$7*10000,0)/12000000,0)/100+0.02,2),0)</f>
        <v>0</v>
      </c>
      <c r="AO91" s="24">
        <f>IF(AQ90&gt;0,IF(AND(ROUND(AQ90+AP91-ROUND(AO$6+IF(AO$5=$C91,$E$5+$E91,0),2),2)&gt;0,ROUND(AQ90+AP91-ROUND(AO$6+IF(AO$5=$C91,$E$5+$E91,0),2),2)&lt;=AR91,ROUND(AQ90+AP91-ROUND(AO$6+IF(AO$5=$C91,$E$5+$E91,0),2),2)*10&lt;=ROUND(AO$6+IF(AO$5=$C91,$E$5+$E91,0),2)),ROUND(AQ90+AP91,2),MIN(ROUND(AO$6+IF(AO$5=$C91,$E$5+$E91,0),2),ROUND(AQ90+AP91,2))),0)</f>
        <v>0</v>
      </c>
      <c r="AP91" s="24">
        <f>IF(AQ90&gt;0,ROUND(ROUND(AQ90*100,0)*ROUND(AO$7*10000,0)/12000000,0)/100,0)</f>
        <v>0</v>
      </c>
      <c r="AQ91" s="24">
        <f>IF(AQ90&gt;0,ROUND(AQ90+AP91-AO91,2),0)</f>
        <v>0</v>
      </c>
      <c r="AR91" s="24">
        <f>IF(AQ90&gt;0,ROUND(AR90+ROUND(ROUND(AR90*100,0)*ROUND(AO$7*10000,0)/12000000,0)/100+0.02,2),0)</f>
        <v>0</v>
      </c>
      <c r="AS91" s="24">
        <f>IF(AU90&gt;0,IF(AND(ROUND(AU90+AT91-ROUND(AS$6+IF(AS$5=$C91,$E$5+$E91,0),2),2)&gt;0,ROUND(AU90+AT91-ROUND(AS$6+IF(AS$5=$C91,$E$5+$E91,0),2),2)&lt;=AV91,ROUND(AU90+AT91-ROUND(AS$6+IF(AS$5=$C91,$E$5+$E91,0),2),2)*10&lt;=ROUND(AS$6+IF(AS$5=$C91,$E$5+$E91,0),2)),ROUND(AU90+AT91,2),MIN(ROUND(AS$6+IF(AS$5=$C91,$E$5+$E91,0),2),ROUND(AU90+AT91,2))),0)</f>
        <v>0</v>
      </c>
      <c r="AT91" s="24">
        <f>IF(AU90&gt;0,ROUND(ROUND(AU90*100,0)*ROUND(AS$7*10000,0)/12000000,0)/100,0)</f>
        <v>0</v>
      </c>
      <c r="AU91" s="24">
        <f>IF(AU90&gt;0,ROUND(AU90+AT91-AS91,2),0)</f>
        <v>0</v>
      </c>
      <c r="AV91" s="24">
        <f>IF(AU90&gt;0,ROUND(AV90+ROUND(ROUND(AV90*100,0)*ROUND(AS$7*10000,0)/12000000,0)/100+0.02,2),0)</f>
        <v>0</v>
      </c>
    </row>
    <row r="92" spans="1:48" x14ac:dyDescent="0.25">
      <c r="A92" s="17" t="str">
        <f>IF(F92&gt;0,82,"")</f>
        <v/>
      </c>
      <c r="B92" s="18" t="str">
        <f>IF(F92&gt;0,EDATE($E$6,82),"")</f>
        <v/>
      </c>
      <c r="C92" s="21">
        <f>IF(H91&gt;0,MIN(IF(K91&gt;0,I$5,99),IF(O91&gt;0,M$5,99),IF(S91&gt;0,Q$5,99),IF(W91&gt;0,U$5,99),IF(AA91&gt;0,Y$5,99),IF(AE91&gt;0,AC$5,99),IF(AI91&gt;0,AG$5,99),IF(AM91&gt;0,AK$5,99),IF(AQ91&gt;0,AO$5,99),IF(AU91&gt;0,AS$5,99)),0)</f>
        <v>0</v>
      </c>
      <c r="D92" t="str">
        <f>IF(C92&gt;0,INDEX($I$4:$AV$4,1,MATCH(C92,$I$5:$AV$5,0)),"")</f>
        <v/>
      </c>
      <c r="E92" s="24">
        <f>ROUND(IF(AND(I$8&gt;0,K91=0),I$6,0)+IF(AND(M$8&gt;0,O91=0),M$6,0)+IF(AND(Q$8&gt;0,S91=0),Q$6,0)+IF(AND(U$8&gt;0,W91=0),U$6,0)+IF(AND(Y$8&gt;0,AA91=0),Y$6,0)+IF(AND(AC$8&gt;0,AE91=0),AC$6,0)+IF(AND(AG$8&gt;0,AI91=0),AG$6,0)+IF(AND(AK$8&gt;0,AM91=0),AK$6,0)+IF(AND(AO$8&gt;0,AQ91=0),AO$6,0)+IF(AND(AS$8&gt;0,AU91=0),AS$6,0),2)</f>
        <v>325</v>
      </c>
      <c r="F92" s="24">
        <f>ROUND(I92+M92+Q92+U92+Y92+AC92+AG92+AK92+AO92+AS92,2)</f>
        <v>0</v>
      </c>
      <c r="G92" s="24">
        <f>ROUND(J92+N92+R92+V92+Z92+AD92+AH92+AL92+AP92+AT92,2)</f>
        <v>0</v>
      </c>
      <c r="H92" s="24">
        <f>ROUND(K92+O92+S92+W92+AA92+AE92+AI92+AM92+AQ92+AU92,2)</f>
        <v>0</v>
      </c>
      <c r="I92" s="24">
        <f>IF(K91&gt;0,IF(AND(ROUND(K91+J92-ROUND(I$6+IF(I$5=$C92,$E$5+$E92,0),2),2)&gt;0,ROUND(K91+J92-ROUND(I$6+IF(I$5=$C92,$E$5+$E92,0),2),2)&lt;=L92,ROUND(K91+J92-ROUND(I$6+IF(I$5=$C92,$E$5+$E92,0),2),2)*10&lt;=ROUND(I$6+IF(I$5=$C92,$E$5+$E92,0),2)),ROUND(K91+J92,2),MIN(ROUND(I$6+IF(I$5=$C92,$E$5+$E92,0),2),ROUND(K91+J92,2))),0)</f>
        <v>0</v>
      </c>
      <c r="J92" s="24">
        <f>IF(K91&gt;0,ROUND(ROUND(K91*100,0)*ROUND(I$7*10000,0)/12000000,0)/100,0)</f>
        <v>0</v>
      </c>
      <c r="K92" s="24">
        <f>IF(K91&gt;0,ROUND(K91+J92-I92,2),0)</f>
        <v>0</v>
      </c>
      <c r="L92" s="24">
        <f>IF(K91&gt;0,ROUND(L91+ROUND(ROUND(L91*100,0)*ROUND(I$7*10000,0)/12000000,0)/100+0.02,2),0)</f>
        <v>0</v>
      </c>
      <c r="M92" s="24">
        <f>IF(O91&gt;0,IF(AND(ROUND(O91+N92-ROUND(M$6+IF(M$5=$C92,$E$5+$E92,0),2),2)&gt;0,ROUND(O91+N92-ROUND(M$6+IF(M$5=$C92,$E$5+$E92,0),2),2)&lt;=P92,ROUND(O91+N92-ROUND(M$6+IF(M$5=$C92,$E$5+$E92,0),2),2)*10&lt;=ROUND(M$6+IF(M$5=$C92,$E$5+$E92,0),2)),ROUND(O91+N92,2),MIN(ROUND(M$6+IF(M$5=$C92,$E$5+$E92,0),2),ROUND(O91+N92,2))),0)</f>
        <v>0</v>
      </c>
      <c r="N92" s="24">
        <f>IF(O91&gt;0,ROUND(ROUND(O91*100,0)*ROUND(M$7*10000,0)/12000000,0)/100,0)</f>
        <v>0</v>
      </c>
      <c r="O92" s="24">
        <f>IF(O91&gt;0,ROUND(O91+N92-M92,2),0)</f>
        <v>0</v>
      </c>
      <c r="P92" s="24">
        <f>IF(O91&gt;0,ROUND(P91+ROUND(ROUND(P91*100,0)*ROUND(M$7*10000,0)/12000000,0)/100+0.02,2),0)</f>
        <v>0</v>
      </c>
      <c r="Q92" s="24">
        <f>IF(S91&gt;0,IF(AND(ROUND(S91+R92-ROUND(Q$6+IF(Q$5=$C92,$E$5+$E92,0),2),2)&gt;0,ROUND(S91+R92-ROUND(Q$6+IF(Q$5=$C92,$E$5+$E92,0),2),2)&lt;=T92,ROUND(S91+R92-ROUND(Q$6+IF(Q$5=$C92,$E$5+$E92,0),2),2)*10&lt;=ROUND(Q$6+IF(Q$5=$C92,$E$5+$E92,0),2)),ROUND(S91+R92,2),MIN(ROUND(Q$6+IF(Q$5=$C92,$E$5+$E92,0),2),ROUND(S91+R92,2))),0)</f>
        <v>0</v>
      </c>
      <c r="R92" s="24">
        <f>IF(S91&gt;0,ROUND(ROUND(S91*100,0)*ROUND(Q$7*10000,0)/12000000,0)/100,0)</f>
        <v>0</v>
      </c>
      <c r="S92" s="24">
        <f>IF(S91&gt;0,ROUND(S91+R92-Q92,2),0)</f>
        <v>0</v>
      </c>
      <c r="T92" s="24">
        <f>IF(S91&gt;0,ROUND(T91+ROUND(ROUND(T91*100,0)*ROUND(Q$7*10000,0)/12000000,0)/100+0.02,2),0)</f>
        <v>0</v>
      </c>
      <c r="U92" s="24">
        <f>IF(W91&gt;0,IF(AND(ROUND(W91+V92-ROUND(U$6+IF(U$5=$C92,$E$5+$E92,0),2),2)&gt;0,ROUND(W91+V92-ROUND(U$6+IF(U$5=$C92,$E$5+$E92,0),2),2)&lt;=X92,ROUND(W91+V92-ROUND(U$6+IF(U$5=$C92,$E$5+$E92,0),2),2)*10&lt;=ROUND(U$6+IF(U$5=$C92,$E$5+$E92,0),2)),ROUND(W91+V92,2),MIN(ROUND(U$6+IF(U$5=$C92,$E$5+$E92,0),2),ROUND(W91+V92,2))),0)</f>
        <v>0</v>
      </c>
      <c r="V92" s="24">
        <f>IF(W91&gt;0,ROUND(ROUND(W91*100,0)*ROUND(U$7*10000,0)/12000000,0)/100,0)</f>
        <v>0</v>
      </c>
      <c r="W92" s="24">
        <f>IF(W91&gt;0,ROUND(W91+V92-U92,2),0)</f>
        <v>0</v>
      </c>
      <c r="X92" s="24">
        <f>IF(W91&gt;0,ROUND(X91+ROUND(ROUND(X91*100,0)*ROUND(U$7*10000,0)/12000000,0)/100+0.02,2),0)</f>
        <v>0</v>
      </c>
      <c r="Y92" s="24">
        <f>IF(AA91&gt;0,IF(AND(ROUND(AA91+Z92-ROUND(Y$6+IF(Y$5=$C92,$E$5+$E92,0),2),2)&gt;0,ROUND(AA91+Z92-ROUND(Y$6+IF(Y$5=$C92,$E$5+$E92,0),2),2)&lt;=AB92,ROUND(AA91+Z92-ROUND(Y$6+IF(Y$5=$C92,$E$5+$E92,0),2),2)*10&lt;=ROUND(Y$6+IF(Y$5=$C92,$E$5+$E92,0),2)),ROUND(AA91+Z92,2),MIN(ROUND(Y$6+IF(Y$5=$C92,$E$5+$E92,0),2),ROUND(AA91+Z92,2))),0)</f>
        <v>0</v>
      </c>
      <c r="Z92" s="24">
        <f>IF(AA91&gt;0,ROUND(ROUND(AA91*100,0)*ROUND(Y$7*10000,0)/12000000,0)/100,0)</f>
        <v>0</v>
      </c>
      <c r="AA92" s="24">
        <f>IF(AA91&gt;0,ROUND(AA91+Z92-Y92,2),0)</f>
        <v>0</v>
      </c>
      <c r="AB92" s="24">
        <f>IF(AA91&gt;0,ROUND(AB91+ROUND(ROUND(AB91*100,0)*ROUND(Y$7*10000,0)/12000000,0)/100+0.02,2),0)</f>
        <v>0</v>
      </c>
      <c r="AC92" s="24">
        <f>IF(AE91&gt;0,IF(AND(ROUND(AE91+AD92-ROUND(AC$6+IF(AC$5=$C92,$E$5+$E92,0),2),2)&gt;0,ROUND(AE91+AD92-ROUND(AC$6+IF(AC$5=$C92,$E$5+$E92,0),2),2)&lt;=AF92,ROUND(AE91+AD92-ROUND(AC$6+IF(AC$5=$C92,$E$5+$E92,0),2),2)*10&lt;=ROUND(AC$6+IF(AC$5=$C92,$E$5+$E92,0),2)),ROUND(AE91+AD92,2),MIN(ROUND(AC$6+IF(AC$5=$C92,$E$5+$E92,0),2),ROUND(AE91+AD92,2))),0)</f>
        <v>0</v>
      </c>
      <c r="AD92" s="24">
        <f>IF(AE91&gt;0,ROUND(ROUND(AE91*100,0)*ROUND(AC$7*10000,0)/12000000,0)/100,0)</f>
        <v>0</v>
      </c>
      <c r="AE92" s="24">
        <f>IF(AE91&gt;0,ROUND(AE91+AD92-AC92,2),0)</f>
        <v>0</v>
      </c>
      <c r="AF92" s="24">
        <f>IF(AE91&gt;0,ROUND(AF91+ROUND(ROUND(AF91*100,0)*ROUND(AC$7*10000,0)/12000000,0)/100+0.02,2),0)</f>
        <v>0</v>
      </c>
      <c r="AG92" s="24">
        <f>IF(AI91&gt;0,IF(AND(ROUND(AI91+AH92-ROUND(AG$6+IF(AG$5=$C92,$E$5+$E92,0),2),2)&gt;0,ROUND(AI91+AH92-ROUND(AG$6+IF(AG$5=$C92,$E$5+$E92,0),2),2)&lt;=AJ92,ROUND(AI91+AH92-ROUND(AG$6+IF(AG$5=$C92,$E$5+$E92,0),2),2)*10&lt;=ROUND(AG$6+IF(AG$5=$C92,$E$5+$E92,0),2)),ROUND(AI91+AH92,2),MIN(ROUND(AG$6+IF(AG$5=$C92,$E$5+$E92,0),2),ROUND(AI91+AH92,2))),0)</f>
        <v>0</v>
      </c>
      <c r="AH92" s="24">
        <f>IF(AI91&gt;0,ROUND(ROUND(AI91*100,0)*ROUND(AG$7*10000,0)/12000000,0)/100,0)</f>
        <v>0</v>
      </c>
      <c r="AI92" s="24">
        <f>IF(AI91&gt;0,ROUND(AI91+AH92-AG92,2),0)</f>
        <v>0</v>
      </c>
      <c r="AJ92" s="24">
        <f>IF(AI91&gt;0,ROUND(AJ91+ROUND(ROUND(AJ91*100,0)*ROUND(AG$7*10000,0)/12000000,0)/100+0.02,2),0)</f>
        <v>0</v>
      </c>
      <c r="AK92" s="24">
        <f>IF(AM91&gt;0,IF(AND(ROUND(AM91+AL92-ROUND(AK$6+IF(AK$5=$C92,$E$5+$E92,0),2),2)&gt;0,ROUND(AM91+AL92-ROUND(AK$6+IF(AK$5=$C92,$E$5+$E92,0),2),2)&lt;=AN92,ROUND(AM91+AL92-ROUND(AK$6+IF(AK$5=$C92,$E$5+$E92,0),2),2)*10&lt;=ROUND(AK$6+IF(AK$5=$C92,$E$5+$E92,0),2)),ROUND(AM91+AL92,2),MIN(ROUND(AK$6+IF(AK$5=$C92,$E$5+$E92,0),2),ROUND(AM91+AL92,2))),0)</f>
        <v>0</v>
      </c>
      <c r="AL92" s="24">
        <f>IF(AM91&gt;0,ROUND(ROUND(AM91*100,0)*ROUND(AK$7*10000,0)/12000000,0)/100,0)</f>
        <v>0</v>
      </c>
      <c r="AM92" s="24">
        <f>IF(AM91&gt;0,ROUND(AM91+AL92-AK92,2),0)</f>
        <v>0</v>
      </c>
      <c r="AN92" s="24">
        <f>IF(AM91&gt;0,ROUND(AN91+ROUND(ROUND(AN91*100,0)*ROUND(AK$7*10000,0)/12000000,0)/100+0.02,2),0)</f>
        <v>0</v>
      </c>
      <c r="AO92" s="24">
        <f>IF(AQ91&gt;0,IF(AND(ROUND(AQ91+AP92-ROUND(AO$6+IF(AO$5=$C92,$E$5+$E92,0),2),2)&gt;0,ROUND(AQ91+AP92-ROUND(AO$6+IF(AO$5=$C92,$E$5+$E92,0),2),2)&lt;=AR92,ROUND(AQ91+AP92-ROUND(AO$6+IF(AO$5=$C92,$E$5+$E92,0),2),2)*10&lt;=ROUND(AO$6+IF(AO$5=$C92,$E$5+$E92,0),2)),ROUND(AQ91+AP92,2),MIN(ROUND(AO$6+IF(AO$5=$C92,$E$5+$E92,0),2),ROUND(AQ91+AP92,2))),0)</f>
        <v>0</v>
      </c>
      <c r="AP92" s="24">
        <f>IF(AQ91&gt;0,ROUND(ROUND(AQ91*100,0)*ROUND(AO$7*10000,0)/12000000,0)/100,0)</f>
        <v>0</v>
      </c>
      <c r="AQ92" s="24">
        <f>IF(AQ91&gt;0,ROUND(AQ91+AP92-AO92,2),0)</f>
        <v>0</v>
      </c>
      <c r="AR92" s="24">
        <f>IF(AQ91&gt;0,ROUND(AR91+ROUND(ROUND(AR91*100,0)*ROUND(AO$7*10000,0)/12000000,0)/100+0.02,2),0)</f>
        <v>0</v>
      </c>
      <c r="AS92" s="24">
        <f>IF(AU91&gt;0,IF(AND(ROUND(AU91+AT92-ROUND(AS$6+IF(AS$5=$C92,$E$5+$E92,0),2),2)&gt;0,ROUND(AU91+AT92-ROUND(AS$6+IF(AS$5=$C92,$E$5+$E92,0),2),2)&lt;=AV92,ROUND(AU91+AT92-ROUND(AS$6+IF(AS$5=$C92,$E$5+$E92,0),2),2)*10&lt;=ROUND(AS$6+IF(AS$5=$C92,$E$5+$E92,0),2)),ROUND(AU91+AT92,2),MIN(ROUND(AS$6+IF(AS$5=$C92,$E$5+$E92,0),2),ROUND(AU91+AT92,2))),0)</f>
        <v>0</v>
      </c>
      <c r="AT92" s="24">
        <f>IF(AU91&gt;0,ROUND(ROUND(AU91*100,0)*ROUND(AS$7*10000,0)/12000000,0)/100,0)</f>
        <v>0</v>
      </c>
      <c r="AU92" s="24">
        <f>IF(AU91&gt;0,ROUND(AU91+AT92-AS92,2),0)</f>
        <v>0</v>
      </c>
      <c r="AV92" s="24">
        <f>IF(AU91&gt;0,ROUND(AV91+ROUND(ROUND(AV91*100,0)*ROUND(AS$7*10000,0)/12000000,0)/100+0.02,2),0)</f>
        <v>0</v>
      </c>
    </row>
    <row r="93" spans="1:48" x14ac:dyDescent="0.25">
      <c r="A93" s="17" t="str">
        <f>IF(F93&gt;0,83,"")</f>
        <v/>
      </c>
      <c r="B93" s="18" t="str">
        <f>IF(F93&gt;0,EDATE($E$6,83),"")</f>
        <v/>
      </c>
      <c r="C93" s="21">
        <f>IF(H92&gt;0,MIN(IF(K92&gt;0,I$5,99),IF(O92&gt;0,M$5,99),IF(S92&gt;0,Q$5,99),IF(W92&gt;0,U$5,99),IF(AA92&gt;0,Y$5,99),IF(AE92&gt;0,AC$5,99),IF(AI92&gt;0,AG$5,99),IF(AM92&gt;0,AK$5,99),IF(AQ92&gt;0,AO$5,99),IF(AU92&gt;0,AS$5,99)),0)</f>
        <v>0</v>
      </c>
      <c r="D93" t="str">
        <f>IF(C93&gt;0,INDEX($I$4:$AV$4,1,MATCH(C93,$I$5:$AV$5,0)),"")</f>
        <v/>
      </c>
      <c r="E93" s="24">
        <f>ROUND(IF(AND(I$8&gt;0,K92=0),I$6,0)+IF(AND(M$8&gt;0,O92=0),M$6,0)+IF(AND(Q$8&gt;0,S92=0),Q$6,0)+IF(AND(U$8&gt;0,W92=0),U$6,0)+IF(AND(Y$8&gt;0,AA92=0),Y$6,0)+IF(AND(AC$8&gt;0,AE92=0),AC$6,0)+IF(AND(AG$8&gt;0,AI92=0),AG$6,0)+IF(AND(AK$8&gt;0,AM92=0),AK$6,0)+IF(AND(AO$8&gt;0,AQ92=0),AO$6,0)+IF(AND(AS$8&gt;0,AU92=0),AS$6,0),2)</f>
        <v>325</v>
      </c>
      <c r="F93" s="24">
        <f>ROUND(I93+M93+Q93+U93+Y93+AC93+AG93+AK93+AO93+AS93,2)</f>
        <v>0</v>
      </c>
      <c r="G93" s="24">
        <f>ROUND(J93+N93+R93+V93+Z93+AD93+AH93+AL93+AP93+AT93,2)</f>
        <v>0</v>
      </c>
      <c r="H93" s="24">
        <f>ROUND(K93+O93+S93+W93+AA93+AE93+AI93+AM93+AQ93+AU93,2)</f>
        <v>0</v>
      </c>
      <c r="I93" s="24">
        <f>IF(K92&gt;0,IF(AND(ROUND(K92+J93-ROUND(I$6+IF(I$5=$C93,$E$5+$E93,0),2),2)&gt;0,ROUND(K92+J93-ROUND(I$6+IF(I$5=$C93,$E$5+$E93,0),2),2)&lt;=L93,ROUND(K92+J93-ROUND(I$6+IF(I$5=$C93,$E$5+$E93,0),2),2)*10&lt;=ROUND(I$6+IF(I$5=$C93,$E$5+$E93,0),2)),ROUND(K92+J93,2),MIN(ROUND(I$6+IF(I$5=$C93,$E$5+$E93,0),2),ROUND(K92+J93,2))),0)</f>
        <v>0</v>
      </c>
      <c r="J93" s="24">
        <f>IF(K92&gt;0,ROUND(ROUND(K92*100,0)*ROUND(I$7*10000,0)/12000000,0)/100,0)</f>
        <v>0</v>
      </c>
      <c r="K93" s="24">
        <f>IF(K92&gt;0,ROUND(K92+J93-I93,2),0)</f>
        <v>0</v>
      </c>
      <c r="L93" s="24">
        <f>IF(K92&gt;0,ROUND(L92+ROUND(ROUND(L92*100,0)*ROUND(I$7*10000,0)/12000000,0)/100+0.02,2),0)</f>
        <v>0</v>
      </c>
      <c r="M93" s="24">
        <f>IF(O92&gt;0,IF(AND(ROUND(O92+N93-ROUND(M$6+IF(M$5=$C93,$E$5+$E93,0),2),2)&gt;0,ROUND(O92+N93-ROUND(M$6+IF(M$5=$C93,$E$5+$E93,0),2),2)&lt;=P93,ROUND(O92+N93-ROUND(M$6+IF(M$5=$C93,$E$5+$E93,0),2),2)*10&lt;=ROUND(M$6+IF(M$5=$C93,$E$5+$E93,0),2)),ROUND(O92+N93,2),MIN(ROUND(M$6+IF(M$5=$C93,$E$5+$E93,0),2),ROUND(O92+N93,2))),0)</f>
        <v>0</v>
      </c>
      <c r="N93" s="24">
        <f>IF(O92&gt;0,ROUND(ROUND(O92*100,0)*ROUND(M$7*10000,0)/12000000,0)/100,0)</f>
        <v>0</v>
      </c>
      <c r="O93" s="24">
        <f>IF(O92&gt;0,ROUND(O92+N93-M93,2),0)</f>
        <v>0</v>
      </c>
      <c r="P93" s="24">
        <f>IF(O92&gt;0,ROUND(P92+ROUND(ROUND(P92*100,0)*ROUND(M$7*10000,0)/12000000,0)/100+0.02,2),0)</f>
        <v>0</v>
      </c>
      <c r="Q93" s="24">
        <f>IF(S92&gt;0,IF(AND(ROUND(S92+R93-ROUND(Q$6+IF(Q$5=$C93,$E$5+$E93,0),2),2)&gt;0,ROUND(S92+R93-ROUND(Q$6+IF(Q$5=$C93,$E$5+$E93,0),2),2)&lt;=T93,ROUND(S92+R93-ROUND(Q$6+IF(Q$5=$C93,$E$5+$E93,0),2),2)*10&lt;=ROUND(Q$6+IF(Q$5=$C93,$E$5+$E93,0),2)),ROUND(S92+R93,2),MIN(ROUND(Q$6+IF(Q$5=$C93,$E$5+$E93,0),2),ROUND(S92+R93,2))),0)</f>
        <v>0</v>
      </c>
      <c r="R93" s="24">
        <f>IF(S92&gt;0,ROUND(ROUND(S92*100,0)*ROUND(Q$7*10000,0)/12000000,0)/100,0)</f>
        <v>0</v>
      </c>
      <c r="S93" s="24">
        <f>IF(S92&gt;0,ROUND(S92+R93-Q93,2),0)</f>
        <v>0</v>
      </c>
      <c r="T93" s="24">
        <f>IF(S92&gt;0,ROUND(T92+ROUND(ROUND(T92*100,0)*ROUND(Q$7*10000,0)/12000000,0)/100+0.02,2),0)</f>
        <v>0</v>
      </c>
      <c r="U93" s="24">
        <f>IF(W92&gt;0,IF(AND(ROUND(W92+V93-ROUND(U$6+IF(U$5=$C93,$E$5+$E93,0),2),2)&gt;0,ROUND(W92+V93-ROUND(U$6+IF(U$5=$C93,$E$5+$E93,0),2),2)&lt;=X93,ROUND(W92+V93-ROUND(U$6+IF(U$5=$C93,$E$5+$E93,0),2),2)*10&lt;=ROUND(U$6+IF(U$5=$C93,$E$5+$E93,0),2)),ROUND(W92+V93,2),MIN(ROUND(U$6+IF(U$5=$C93,$E$5+$E93,0),2),ROUND(W92+V93,2))),0)</f>
        <v>0</v>
      </c>
      <c r="V93" s="24">
        <f>IF(W92&gt;0,ROUND(ROUND(W92*100,0)*ROUND(U$7*10000,0)/12000000,0)/100,0)</f>
        <v>0</v>
      </c>
      <c r="W93" s="24">
        <f>IF(W92&gt;0,ROUND(W92+V93-U93,2),0)</f>
        <v>0</v>
      </c>
      <c r="X93" s="24">
        <f>IF(W92&gt;0,ROUND(X92+ROUND(ROUND(X92*100,0)*ROUND(U$7*10000,0)/12000000,0)/100+0.02,2),0)</f>
        <v>0</v>
      </c>
      <c r="Y93" s="24">
        <f>IF(AA92&gt;0,IF(AND(ROUND(AA92+Z93-ROUND(Y$6+IF(Y$5=$C93,$E$5+$E93,0),2),2)&gt;0,ROUND(AA92+Z93-ROUND(Y$6+IF(Y$5=$C93,$E$5+$E93,0),2),2)&lt;=AB93,ROUND(AA92+Z93-ROUND(Y$6+IF(Y$5=$C93,$E$5+$E93,0),2),2)*10&lt;=ROUND(Y$6+IF(Y$5=$C93,$E$5+$E93,0),2)),ROUND(AA92+Z93,2),MIN(ROUND(Y$6+IF(Y$5=$C93,$E$5+$E93,0),2),ROUND(AA92+Z93,2))),0)</f>
        <v>0</v>
      </c>
      <c r="Z93" s="24">
        <f>IF(AA92&gt;0,ROUND(ROUND(AA92*100,0)*ROUND(Y$7*10000,0)/12000000,0)/100,0)</f>
        <v>0</v>
      </c>
      <c r="AA93" s="24">
        <f>IF(AA92&gt;0,ROUND(AA92+Z93-Y93,2),0)</f>
        <v>0</v>
      </c>
      <c r="AB93" s="24">
        <f>IF(AA92&gt;0,ROUND(AB92+ROUND(ROUND(AB92*100,0)*ROUND(Y$7*10000,0)/12000000,0)/100+0.02,2),0)</f>
        <v>0</v>
      </c>
      <c r="AC93" s="24">
        <f>IF(AE92&gt;0,IF(AND(ROUND(AE92+AD93-ROUND(AC$6+IF(AC$5=$C93,$E$5+$E93,0),2),2)&gt;0,ROUND(AE92+AD93-ROUND(AC$6+IF(AC$5=$C93,$E$5+$E93,0),2),2)&lt;=AF93,ROUND(AE92+AD93-ROUND(AC$6+IF(AC$5=$C93,$E$5+$E93,0),2),2)*10&lt;=ROUND(AC$6+IF(AC$5=$C93,$E$5+$E93,0),2)),ROUND(AE92+AD93,2),MIN(ROUND(AC$6+IF(AC$5=$C93,$E$5+$E93,0),2),ROUND(AE92+AD93,2))),0)</f>
        <v>0</v>
      </c>
      <c r="AD93" s="24">
        <f>IF(AE92&gt;0,ROUND(ROUND(AE92*100,0)*ROUND(AC$7*10000,0)/12000000,0)/100,0)</f>
        <v>0</v>
      </c>
      <c r="AE93" s="24">
        <f>IF(AE92&gt;0,ROUND(AE92+AD93-AC93,2),0)</f>
        <v>0</v>
      </c>
      <c r="AF93" s="24">
        <f>IF(AE92&gt;0,ROUND(AF92+ROUND(ROUND(AF92*100,0)*ROUND(AC$7*10000,0)/12000000,0)/100+0.02,2),0)</f>
        <v>0</v>
      </c>
      <c r="AG93" s="24">
        <f>IF(AI92&gt;0,IF(AND(ROUND(AI92+AH93-ROUND(AG$6+IF(AG$5=$C93,$E$5+$E93,0),2),2)&gt;0,ROUND(AI92+AH93-ROUND(AG$6+IF(AG$5=$C93,$E$5+$E93,0),2),2)&lt;=AJ93,ROUND(AI92+AH93-ROUND(AG$6+IF(AG$5=$C93,$E$5+$E93,0),2),2)*10&lt;=ROUND(AG$6+IF(AG$5=$C93,$E$5+$E93,0),2)),ROUND(AI92+AH93,2),MIN(ROUND(AG$6+IF(AG$5=$C93,$E$5+$E93,0),2),ROUND(AI92+AH93,2))),0)</f>
        <v>0</v>
      </c>
      <c r="AH93" s="24">
        <f>IF(AI92&gt;0,ROUND(ROUND(AI92*100,0)*ROUND(AG$7*10000,0)/12000000,0)/100,0)</f>
        <v>0</v>
      </c>
      <c r="AI93" s="24">
        <f>IF(AI92&gt;0,ROUND(AI92+AH93-AG93,2),0)</f>
        <v>0</v>
      </c>
      <c r="AJ93" s="24">
        <f>IF(AI92&gt;0,ROUND(AJ92+ROUND(ROUND(AJ92*100,0)*ROUND(AG$7*10000,0)/12000000,0)/100+0.02,2),0)</f>
        <v>0</v>
      </c>
      <c r="AK93" s="24">
        <f>IF(AM92&gt;0,IF(AND(ROUND(AM92+AL93-ROUND(AK$6+IF(AK$5=$C93,$E$5+$E93,0),2),2)&gt;0,ROUND(AM92+AL93-ROUND(AK$6+IF(AK$5=$C93,$E$5+$E93,0),2),2)&lt;=AN93,ROUND(AM92+AL93-ROUND(AK$6+IF(AK$5=$C93,$E$5+$E93,0),2),2)*10&lt;=ROUND(AK$6+IF(AK$5=$C93,$E$5+$E93,0),2)),ROUND(AM92+AL93,2),MIN(ROUND(AK$6+IF(AK$5=$C93,$E$5+$E93,0),2),ROUND(AM92+AL93,2))),0)</f>
        <v>0</v>
      </c>
      <c r="AL93" s="24">
        <f>IF(AM92&gt;0,ROUND(ROUND(AM92*100,0)*ROUND(AK$7*10000,0)/12000000,0)/100,0)</f>
        <v>0</v>
      </c>
      <c r="AM93" s="24">
        <f>IF(AM92&gt;0,ROUND(AM92+AL93-AK93,2),0)</f>
        <v>0</v>
      </c>
      <c r="AN93" s="24">
        <f>IF(AM92&gt;0,ROUND(AN92+ROUND(ROUND(AN92*100,0)*ROUND(AK$7*10000,0)/12000000,0)/100+0.02,2),0)</f>
        <v>0</v>
      </c>
      <c r="AO93" s="24">
        <f>IF(AQ92&gt;0,IF(AND(ROUND(AQ92+AP93-ROUND(AO$6+IF(AO$5=$C93,$E$5+$E93,0),2),2)&gt;0,ROUND(AQ92+AP93-ROUND(AO$6+IF(AO$5=$C93,$E$5+$E93,0),2),2)&lt;=AR93,ROUND(AQ92+AP93-ROUND(AO$6+IF(AO$5=$C93,$E$5+$E93,0),2),2)*10&lt;=ROUND(AO$6+IF(AO$5=$C93,$E$5+$E93,0),2)),ROUND(AQ92+AP93,2),MIN(ROUND(AO$6+IF(AO$5=$C93,$E$5+$E93,0),2),ROUND(AQ92+AP93,2))),0)</f>
        <v>0</v>
      </c>
      <c r="AP93" s="24">
        <f>IF(AQ92&gt;0,ROUND(ROUND(AQ92*100,0)*ROUND(AO$7*10000,0)/12000000,0)/100,0)</f>
        <v>0</v>
      </c>
      <c r="AQ93" s="24">
        <f>IF(AQ92&gt;0,ROUND(AQ92+AP93-AO93,2),0)</f>
        <v>0</v>
      </c>
      <c r="AR93" s="24">
        <f>IF(AQ92&gt;0,ROUND(AR92+ROUND(ROUND(AR92*100,0)*ROUND(AO$7*10000,0)/12000000,0)/100+0.02,2),0)</f>
        <v>0</v>
      </c>
      <c r="AS93" s="24">
        <f>IF(AU92&gt;0,IF(AND(ROUND(AU92+AT93-ROUND(AS$6+IF(AS$5=$C93,$E$5+$E93,0),2),2)&gt;0,ROUND(AU92+AT93-ROUND(AS$6+IF(AS$5=$C93,$E$5+$E93,0),2),2)&lt;=AV93,ROUND(AU92+AT93-ROUND(AS$6+IF(AS$5=$C93,$E$5+$E93,0),2),2)*10&lt;=ROUND(AS$6+IF(AS$5=$C93,$E$5+$E93,0),2)),ROUND(AU92+AT93,2),MIN(ROUND(AS$6+IF(AS$5=$C93,$E$5+$E93,0),2),ROUND(AU92+AT93,2))),0)</f>
        <v>0</v>
      </c>
      <c r="AT93" s="24">
        <f>IF(AU92&gt;0,ROUND(ROUND(AU92*100,0)*ROUND(AS$7*10000,0)/12000000,0)/100,0)</f>
        <v>0</v>
      </c>
      <c r="AU93" s="24">
        <f>IF(AU92&gt;0,ROUND(AU92+AT93-AS93,2),0)</f>
        <v>0</v>
      </c>
      <c r="AV93" s="24">
        <f>IF(AU92&gt;0,ROUND(AV92+ROUND(ROUND(AV92*100,0)*ROUND(AS$7*10000,0)/12000000,0)/100+0.02,2),0)</f>
        <v>0</v>
      </c>
    </row>
    <row r="94" spans="1:48" x14ac:dyDescent="0.25">
      <c r="A94" s="17" t="str">
        <f>IF(F94&gt;0,84,"")</f>
        <v/>
      </c>
      <c r="B94" s="18" t="str">
        <f>IF(F94&gt;0,EDATE($E$6,84),"")</f>
        <v/>
      </c>
      <c r="C94" s="21">
        <f>IF(H93&gt;0,MIN(IF(K93&gt;0,I$5,99),IF(O93&gt;0,M$5,99),IF(S93&gt;0,Q$5,99),IF(W93&gt;0,U$5,99),IF(AA93&gt;0,Y$5,99),IF(AE93&gt;0,AC$5,99),IF(AI93&gt;0,AG$5,99),IF(AM93&gt;0,AK$5,99),IF(AQ93&gt;0,AO$5,99),IF(AU93&gt;0,AS$5,99)),0)</f>
        <v>0</v>
      </c>
      <c r="D94" t="str">
        <f>IF(C94&gt;0,INDEX($I$4:$AV$4,1,MATCH(C94,$I$5:$AV$5,0)),"")</f>
        <v/>
      </c>
      <c r="E94" s="24">
        <f>ROUND(IF(AND(I$8&gt;0,K93=0),I$6,0)+IF(AND(M$8&gt;0,O93=0),M$6,0)+IF(AND(Q$8&gt;0,S93=0),Q$6,0)+IF(AND(U$8&gt;0,W93=0),U$6,0)+IF(AND(Y$8&gt;0,AA93=0),Y$6,0)+IF(AND(AC$8&gt;0,AE93=0),AC$6,0)+IF(AND(AG$8&gt;0,AI93=0),AG$6,0)+IF(AND(AK$8&gt;0,AM93=0),AK$6,0)+IF(AND(AO$8&gt;0,AQ93=0),AO$6,0)+IF(AND(AS$8&gt;0,AU93=0),AS$6,0),2)</f>
        <v>325</v>
      </c>
      <c r="F94" s="24">
        <f>ROUND(I94+M94+Q94+U94+Y94+AC94+AG94+AK94+AO94+AS94,2)</f>
        <v>0</v>
      </c>
      <c r="G94" s="24">
        <f>ROUND(J94+N94+R94+V94+Z94+AD94+AH94+AL94+AP94+AT94,2)</f>
        <v>0</v>
      </c>
      <c r="H94" s="24">
        <f>ROUND(K94+O94+S94+W94+AA94+AE94+AI94+AM94+AQ94+AU94,2)</f>
        <v>0</v>
      </c>
      <c r="I94" s="24">
        <f>IF(K93&gt;0,IF(AND(ROUND(K93+J94-ROUND(I$6+IF(I$5=$C94,$E$5+$E94,0),2),2)&gt;0,ROUND(K93+J94-ROUND(I$6+IF(I$5=$C94,$E$5+$E94,0),2),2)&lt;=L94,ROUND(K93+J94-ROUND(I$6+IF(I$5=$C94,$E$5+$E94,0),2),2)*10&lt;=ROUND(I$6+IF(I$5=$C94,$E$5+$E94,0),2)),ROUND(K93+J94,2),MIN(ROUND(I$6+IF(I$5=$C94,$E$5+$E94,0),2),ROUND(K93+J94,2))),0)</f>
        <v>0</v>
      </c>
      <c r="J94" s="24">
        <f>IF(K93&gt;0,ROUND(ROUND(K93*100,0)*ROUND(I$7*10000,0)/12000000,0)/100,0)</f>
        <v>0</v>
      </c>
      <c r="K94" s="24">
        <f>IF(K93&gt;0,ROUND(K93+J94-I94,2),0)</f>
        <v>0</v>
      </c>
      <c r="L94" s="24">
        <f>IF(K93&gt;0,ROUND(L93+ROUND(ROUND(L93*100,0)*ROUND(I$7*10000,0)/12000000,0)/100+0.02,2),0)</f>
        <v>0</v>
      </c>
      <c r="M94" s="24">
        <f>IF(O93&gt;0,IF(AND(ROUND(O93+N94-ROUND(M$6+IF(M$5=$C94,$E$5+$E94,0),2),2)&gt;0,ROUND(O93+N94-ROUND(M$6+IF(M$5=$C94,$E$5+$E94,0),2),2)&lt;=P94,ROUND(O93+N94-ROUND(M$6+IF(M$5=$C94,$E$5+$E94,0),2),2)*10&lt;=ROUND(M$6+IF(M$5=$C94,$E$5+$E94,0),2)),ROUND(O93+N94,2),MIN(ROUND(M$6+IF(M$5=$C94,$E$5+$E94,0),2),ROUND(O93+N94,2))),0)</f>
        <v>0</v>
      </c>
      <c r="N94" s="24">
        <f>IF(O93&gt;0,ROUND(ROUND(O93*100,0)*ROUND(M$7*10000,0)/12000000,0)/100,0)</f>
        <v>0</v>
      </c>
      <c r="O94" s="24">
        <f>IF(O93&gt;0,ROUND(O93+N94-M94,2),0)</f>
        <v>0</v>
      </c>
      <c r="P94" s="24">
        <f>IF(O93&gt;0,ROUND(P93+ROUND(ROUND(P93*100,0)*ROUND(M$7*10000,0)/12000000,0)/100+0.02,2),0)</f>
        <v>0</v>
      </c>
      <c r="Q94" s="24">
        <f>IF(S93&gt;0,IF(AND(ROUND(S93+R94-ROUND(Q$6+IF(Q$5=$C94,$E$5+$E94,0),2),2)&gt;0,ROUND(S93+R94-ROUND(Q$6+IF(Q$5=$C94,$E$5+$E94,0),2),2)&lt;=T94,ROUND(S93+R94-ROUND(Q$6+IF(Q$5=$C94,$E$5+$E94,0),2),2)*10&lt;=ROUND(Q$6+IF(Q$5=$C94,$E$5+$E94,0),2)),ROUND(S93+R94,2),MIN(ROUND(Q$6+IF(Q$5=$C94,$E$5+$E94,0),2),ROUND(S93+R94,2))),0)</f>
        <v>0</v>
      </c>
      <c r="R94" s="24">
        <f>IF(S93&gt;0,ROUND(ROUND(S93*100,0)*ROUND(Q$7*10000,0)/12000000,0)/100,0)</f>
        <v>0</v>
      </c>
      <c r="S94" s="24">
        <f>IF(S93&gt;0,ROUND(S93+R94-Q94,2),0)</f>
        <v>0</v>
      </c>
      <c r="T94" s="24">
        <f>IF(S93&gt;0,ROUND(T93+ROUND(ROUND(T93*100,0)*ROUND(Q$7*10000,0)/12000000,0)/100+0.02,2),0)</f>
        <v>0</v>
      </c>
      <c r="U94" s="24">
        <f>IF(W93&gt;0,IF(AND(ROUND(W93+V94-ROUND(U$6+IF(U$5=$C94,$E$5+$E94,0),2),2)&gt;0,ROUND(W93+V94-ROUND(U$6+IF(U$5=$C94,$E$5+$E94,0),2),2)&lt;=X94,ROUND(W93+V94-ROUND(U$6+IF(U$5=$C94,$E$5+$E94,0),2),2)*10&lt;=ROUND(U$6+IF(U$5=$C94,$E$5+$E94,0),2)),ROUND(W93+V94,2),MIN(ROUND(U$6+IF(U$5=$C94,$E$5+$E94,0),2),ROUND(W93+V94,2))),0)</f>
        <v>0</v>
      </c>
      <c r="V94" s="24">
        <f>IF(W93&gt;0,ROUND(ROUND(W93*100,0)*ROUND(U$7*10000,0)/12000000,0)/100,0)</f>
        <v>0</v>
      </c>
      <c r="W94" s="24">
        <f>IF(W93&gt;0,ROUND(W93+V94-U94,2),0)</f>
        <v>0</v>
      </c>
      <c r="X94" s="24">
        <f>IF(W93&gt;0,ROUND(X93+ROUND(ROUND(X93*100,0)*ROUND(U$7*10000,0)/12000000,0)/100+0.02,2),0)</f>
        <v>0</v>
      </c>
      <c r="Y94" s="24">
        <f>IF(AA93&gt;0,IF(AND(ROUND(AA93+Z94-ROUND(Y$6+IF(Y$5=$C94,$E$5+$E94,0),2),2)&gt;0,ROUND(AA93+Z94-ROUND(Y$6+IF(Y$5=$C94,$E$5+$E94,0),2),2)&lt;=AB94,ROUND(AA93+Z94-ROUND(Y$6+IF(Y$5=$C94,$E$5+$E94,0),2),2)*10&lt;=ROUND(Y$6+IF(Y$5=$C94,$E$5+$E94,0),2)),ROUND(AA93+Z94,2),MIN(ROUND(Y$6+IF(Y$5=$C94,$E$5+$E94,0),2),ROUND(AA93+Z94,2))),0)</f>
        <v>0</v>
      </c>
      <c r="Z94" s="24">
        <f>IF(AA93&gt;0,ROUND(ROUND(AA93*100,0)*ROUND(Y$7*10000,0)/12000000,0)/100,0)</f>
        <v>0</v>
      </c>
      <c r="AA94" s="24">
        <f>IF(AA93&gt;0,ROUND(AA93+Z94-Y94,2),0)</f>
        <v>0</v>
      </c>
      <c r="AB94" s="24">
        <f>IF(AA93&gt;0,ROUND(AB93+ROUND(ROUND(AB93*100,0)*ROUND(Y$7*10000,0)/12000000,0)/100+0.02,2),0)</f>
        <v>0</v>
      </c>
      <c r="AC94" s="24">
        <f>IF(AE93&gt;0,IF(AND(ROUND(AE93+AD94-ROUND(AC$6+IF(AC$5=$C94,$E$5+$E94,0),2),2)&gt;0,ROUND(AE93+AD94-ROUND(AC$6+IF(AC$5=$C94,$E$5+$E94,0),2),2)&lt;=AF94,ROUND(AE93+AD94-ROUND(AC$6+IF(AC$5=$C94,$E$5+$E94,0),2),2)*10&lt;=ROUND(AC$6+IF(AC$5=$C94,$E$5+$E94,0),2)),ROUND(AE93+AD94,2),MIN(ROUND(AC$6+IF(AC$5=$C94,$E$5+$E94,0),2),ROUND(AE93+AD94,2))),0)</f>
        <v>0</v>
      </c>
      <c r="AD94" s="24">
        <f>IF(AE93&gt;0,ROUND(ROUND(AE93*100,0)*ROUND(AC$7*10000,0)/12000000,0)/100,0)</f>
        <v>0</v>
      </c>
      <c r="AE94" s="24">
        <f>IF(AE93&gt;0,ROUND(AE93+AD94-AC94,2),0)</f>
        <v>0</v>
      </c>
      <c r="AF94" s="24">
        <f>IF(AE93&gt;0,ROUND(AF93+ROUND(ROUND(AF93*100,0)*ROUND(AC$7*10000,0)/12000000,0)/100+0.02,2),0)</f>
        <v>0</v>
      </c>
      <c r="AG94" s="24">
        <f>IF(AI93&gt;0,IF(AND(ROUND(AI93+AH94-ROUND(AG$6+IF(AG$5=$C94,$E$5+$E94,0),2),2)&gt;0,ROUND(AI93+AH94-ROUND(AG$6+IF(AG$5=$C94,$E$5+$E94,0),2),2)&lt;=AJ94,ROUND(AI93+AH94-ROUND(AG$6+IF(AG$5=$C94,$E$5+$E94,0),2),2)*10&lt;=ROUND(AG$6+IF(AG$5=$C94,$E$5+$E94,0),2)),ROUND(AI93+AH94,2),MIN(ROUND(AG$6+IF(AG$5=$C94,$E$5+$E94,0),2),ROUND(AI93+AH94,2))),0)</f>
        <v>0</v>
      </c>
      <c r="AH94" s="24">
        <f>IF(AI93&gt;0,ROUND(ROUND(AI93*100,0)*ROUND(AG$7*10000,0)/12000000,0)/100,0)</f>
        <v>0</v>
      </c>
      <c r="AI94" s="24">
        <f>IF(AI93&gt;0,ROUND(AI93+AH94-AG94,2),0)</f>
        <v>0</v>
      </c>
      <c r="AJ94" s="24">
        <f>IF(AI93&gt;0,ROUND(AJ93+ROUND(ROUND(AJ93*100,0)*ROUND(AG$7*10000,0)/12000000,0)/100+0.02,2),0)</f>
        <v>0</v>
      </c>
      <c r="AK94" s="24">
        <f>IF(AM93&gt;0,IF(AND(ROUND(AM93+AL94-ROUND(AK$6+IF(AK$5=$C94,$E$5+$E94,0),2),2)&gt;0,ROUND(AM93+AL94-ROUND(AK$6+IF(AK$5=$C94,$E$5+$E94,0),2),2)&lt;=AN94,ROUND(AM93+AL94-ROUND(AK$6+IF(AK$5=$C94,$E$5+$E94,0),2),2)*10&lt;=ROUND(AK$6+IF(AK$5=$C94,$E$5+$E94,0),2)),ROUND(AM93+AL94,2),MIN(ROUND(AK$6+IF(AK$5=$C94,$E$5+$E94,0),2),ROUND(AM93+AL94,2))),0)</f>
        <v>0</v>
      </c>
      <c r="AL94" s="24">
        <f>IF(AM93&gt;0,ROUND(ROUND(AM93*100,0)*ROUND(AK$7*10000,0)/12000000,0)/100,0)</f>
        <v>0</v>
      </c>
      <c r="AM94" s="24">
        <f>IF(AM93&gt;0,ROUND(AM93+AL94-AK94,2),0)</f>
        <v>0</v>
      </c>
      <c r="AN94" s="24">
        <f>IF(AM93&gt;0,ROUND(AN93+ROUND(ROUND(AN93*100,0)*ROUND(AK$7*10000,0)/12000000,0)/100+0.02,2),0)</f>
        <v>0</v>
      </c>
      <c r="AO94" s="24">
        <f>IF(AQ93&gt;0,IF(AND(ROUND(AQ93+AP94-ROUND(AO$6+IF(AO$5=$C94,$E$5+$E94,0),2),2)&gt;0,ROUND(AQ93+AP94-ROUND(AO$6+IF(AO$5=$C94,$E$5+$E94,0),2),2)&lt;=AR94,ROUND(AQ93+AP94-ROUND(AO$6+IF(AO$5=$C94,$E$5+$E94,0),2),2)*10&lt;=ROUND(AO$6+IF(AO$5=$C94,$E$5+$E94,0),2)),ROUND(AQ93+AP94,2),MIN(ROUND(AO$6+IF(AO$5=$C94,$E$5+$E94,0),2),ROUND(AQ93+AP94,2))),0)</f>
        <v>0</v>
      </c>
      <c r="AP94" s="24">
        <f>IF(AQ93&gt;0,ROUND(ROUND(AQ93*100,0)*ROUND(AO$7*10000,0)/12000000,0)/100,0)</f>
        <v>0</v>
      </c>
      <c r="AQ94" s="24">
        <f>IF(AQ93&gt;0,ROUND(AQ93+AP94-AO94,2),0)</f>
        <v>0</v>
      </c>
      <c r="AR94" s="24">
        <f>IF(AQ93&gt;0,ROUND(AR93+ROUND(ROUND(AR93*100,0)*ROUND(AO$7*10000,0)/12000000,0)/100+0.02,2),0)</f>
        <v>0</v>
      </c>
      <c r="AS94" s="24">
        <f>IF(AU93&gt;0,IF(AND(ROUND(AU93+AT94-ROUND(AS$6+IF(AS$5=$C94,$E$5+$E94,0),2),2)&gt;0,ROUND(AU93+AT94-ROUND(AS$6+IF(AS$5=$C94,$E$5+$E94,0),2),2)&lt;=AV94,ROUND(AU93+AT94-ROUND(AS$6+IF(AS$5=$C94,$E$5+$E94,0),2),2)*10&lt;=ROUND(AS$6+IF(AS$5=$C94,$E$5+$E94,0),2)),ROUND(AU93+AT94,2),MIN(ROUND(AS$6+IF(AS$5=$C94,$E$5+$E94,0),2),ROUND(AU93+AT94,2))),0)</f>
        <v>0</v>
      </c>
      <c r="AT94" s="24">
        <f>IF(AU93&gt;0,ROUND(ROUND(AU93*100,0)*ROUND(AS$7*10000,0)/12000000,0)/100,0)</f>
        <v>0</v>
      </c>
      <c r="AU94" s="24">
        <f>IF(AU93&gt;0,ROUND(AU93+AT94-AS94,2),0)</f>
        <v>0</v>
      </c>
      <c r="AV94" s="24">
        <f>IF(AU93&gt;0,ROUND(AV93+ROUND(ROUND(AV93*100,0)*ROUND(AS$7*10000,0)/12000000,0)/100+0.02,2),0)</f>
        <v>0</v>
      </c>
    </row>
    <row r="95" spans="1:48" x14ac:dyDescent="0.25">
      <c r="A95" s="17" t="str">
        <f>IF(F95&gt;0,85,"")</f>
        <v/>
      </c>
      <c r="B95" s="18" t="str">
        <f>IF(F95&gt;0,EDATE($E$6,85),"")</f>
        <v/>
      </c>
      <c r="C95" s="21">
        <f>IF(H94&gt;0,MIN(IF(K94&gt;0,I$5,99),IF(O94&gt;0,M$5,99),IF(S94&gt;0,Q$5,99),IF(W94&gt;0,U$5,99),IF(AA94&gt;0,Y$5,99),IF(AE94&gt;0,AC$5,99),IF(AI94&gt;0,AG$5,99),IF(AM94&gt;0,AK$5,99),IF(AQ94&gt;0,AO$5,99),IF(AU94&gt;0,AS$5,99)),0)</f>
        <v>0</v>
      </c>
      <c r="D95" t="str">
        <f>IF(C95&gt;0,INDEX($I$4:$AV$4,1,MATCH(C95,$I$5:$AV$5,0)),"")</f>
        <v/>
      </c>
      <c r="E95" s="24">
        <f>ROUND(IF(AND(I$8&gt;0,K94=0),I$6,0)+IF(AND(M$8&gt;0,O94=0),M$6,0)+IF(AND(Q$8&gt;0,S94=0),Q$6,0)+IF(AND(U$8&gt;0,W94=0),U$6,0)+IF(AND(Y$8&gt;0,AA94=0),Y$6,0)+IF(AND(AC$8&gt;0,AE94=0),AC$6,0)+IF(AND(AG$8&gt;0,AI94=0),AG$6,0)+IF(AND(AK$8&gt;0,AM94=0),AK$6,0)+IF(AND(AO$8&gt;0,AQ94=0),AO$6,0)+IF(AND(AS$8&gt;0,AU94=0),AS$6,0),2)</f>
        <v>325</v>
      </c>
      <c r="F95" s="24">
        <f>ROUND(I95+M95+Q95+U95+Y95+AC95+AG95+AK95+AO95+AS95,2)</f>
        <v>0</v>
      </c>
      <c r="G95" s="24">
        <f>ROUND(J95+N95+R95+V95+Z95+AD95+AH95+AL95+AP95+AT95,2)</f>
        <v>0</v>
      </c>
      <c r="H95" s="24">
        <f>ROUND(K95+O95+S95+W95+AA95+AE95+AI95+AM95+AQ95+AU95,2)</f>
        <v>0</v>
      </c>
      <c r="I95" s="24">
        <f>IF(K94&gt;0,IF(AND(ROUND(K94+J95-ROUND(I$6+IF(I$5=$C95,$E$5+$E95,0),2),2)&gt;0,ROUND(K94+J95-ROUND(I$6+IF(I$5=$C95,$E$5+$E95,0),2),2)&lt;=L95,ROUND(K94+J95-ROUND(I$6+IF(I$5=$C95,$E$5+$E95,0),2),2)*10&lt;=ROUND(I$6+IF(I$5=$C95,$E$5+$E95,0),2)),ROUND(K94+J95,2),MIN(ROUND(I$6+IF(I$5=$C95,$E$5+$E95,0),2),ROUND(K94+J95,2))),0)</f>
        <v>0</v>
      </c>
      <c r="J95" s="24">
        <f>IF(K94&gt;0,ROUND(ROUND(K94*100,0)*ROUND(I$7*10000,0)/12000000,0)/100,0)</f>
        <v>0</v>
      </c>
      <c r="K95" s="24">
        <f>IF(K94&gt;0,ROUND(K94+J95-I95,2),0)</f>
        <v>0</v>
      </c>
      <c r="L95" s="24">
        <f>IF(K94&gt;0,ROUND(L94+ROUND(ROUND(L94*100,0)*ROUND(I$7*10000,0)/12000000,0)/100+0.02,2),0)</f>
        <v>0</v>
      </c>
      <c r="M95" s="24">
        <f>IF(O94&gt;0,IF(AND(ROUND(O94+N95-ROUND(M$6+IF(M$5=$C95,$E$5+$E95,0),2),2)&gt;0,ROUND(O94+N95-ROUND(M$6+IF(M$5=$C95,$E$5+$E95,0),2),2)&lt;=P95,ROUND(O94+N95-ROUND(M$6+IF(M$5=$C95,$E$5+$E95,0),2),2)*10&lt;=ROUND(M$6+IF(M$5=$C95,$E$5+$E95,0),2)),ROUND(O94+N95,2),MIN(ROUND(M$6+IF(M$5=$C95,$E$5+$E95,0),2),ROUND(O94+N95,2))),0)</f>
        <v>0</v>
      </c>
      <c r="N95" s="24">
        <f>IF(O94&gt;0,ROUND(ROUND(O94*100,0)*ROUND(M$7*10000,0)/12000000,0)/100,0)</f>
        <v>0</v>
      </c>
      <c r="O95" s="24">
        <f>IF(O94&gt;0,ROUND(O94+N95-M95,2),0)</f>
        <v>0</v>
      </c>
      <c r="P95" s="24">
        <f>IF(O94&gt;0,ROUND(P94+ROUND(ROUND(P94*100,0)*ROUND(M$7*10000,0)/12000000,0)/100+0.02,2),0)</f>
        <v>0</v>
      </c>
      <c r="Q95" s="24">
        <f>IF(S94&gt;0,IF(AND(ROUND(S94+R95-ROUND(Q$6+IF(Q$5=$C95,$E$5+$E95,0),2),2)&gt;0,ROUND(S94+R95-ROUND(Q$6+IF(Q$5=$C95,$E$5+$E95,0),2),2)&lt;=T95,ROUND(S94+R95-ROUND(Q$6+IF(Q$5=$C95,$E$5+$E95,0),2),2)*10&lt;=ROUND(Q$6+IF(Q$5=$C95,$E$5+$E95,0),2)),ROUND(S94+R95,2),MIN(ROUND(Q$6+IF(Q$5=$C95,$E$5+$E95,0),2),ROUND(S94+R95,2))),0)</f>
        <v>0</v>
      </c>
      <c r="R95" s="24">
        <f>IF(S94&gt;0,ROUND(ROUND(S94*100,0)*ROUND(Q$7*10000,0)/12000000,0)/100,0)</f>
        <v>0</v>
      </c>
      <c r="S95" s="24">
        <f>IF(S94&gt;0,ROUND(S94+R95-Q95,2),0)</f>
        <v>0</v>
      </c>
      <c r="T95" s="24">
        <f>IF(S94&gt;0,ROUND(T94+ROUND(ROUND(T94*100,0)*ROUND(Q$7*10000,0)/12000000,0)/100+0.02,2),0)</f>
        <v>0</v>
      </c>
      <c r="U95" s="24">
        <f>IF(W94&gt;0,IF(AND(ROUND(W94+V95-ROUND(U$6+IF(U$5=$C95,$E$5+$E95,0),2),2)&gt;0,ROUND(W94+V95-ROUND(U$6+IF(U$5=$C95,$E$5+$E95,0),2),2)&lt;=X95,ROUND(W94+V95-ROUND(U$6+IF(U$5=$C95,$E$5+$E95,0),2),2)*10&lt;=ROUND(U$6+IF(U$5=$C95,$E$5+$E95,0),2)),ROUND(W94+V95,2),MIN(ROUND(U$6+IF(U$5=$C95,$E$5+$E95,0),2),ROUND(W94+V95,2))),0)</f>
        <v>0</v>
      </c>
      <c r="V95" s="24">
        <f>IF(W94&gt;0,ROUND(ROUND(W94*100,0)*ROUND(U$7*10000,0)/12000000,0)/100,0)</f>
        <v>0</v>
      </c>
      <c r="W95" s="24">
        <f>IF(W94&gt;0,ROUND(W94+V95-U95,2),0)</f>
        <v>0</v>
      </c>
      <c r="X95" s="24">
        <f>IF(W94&gt;0,ROUND(X94+ROUND(ROUND(X94*100,0)*ROUND(U$7*10000,0)/12000000,0)/100+0.02,2),0)</f>
        <v>0</v>
      </c>
      <c r="Y95" s="24">
        <f>IF(AA94&gt;0,IF(AND(ROUND(AA94+Z95-ROUND(Y$6+IF(Y$5=$C95,$E$5+$E95,0),2),2)&gt;0,ROUND(AA94+Z95-ROUND(Y$6+IF(Y$5=$C95,$E$5+$E95,0),2),2)&lt;=AB95,ROUND(AA94+Z95-ROUND(Y$6+IF(Y$5=$C95,$E$5+$E95,0),2),2)*10&lt;=ROUND(Y$6+IF(Y$5=$C95,$E$5+$E95,0),2)),ROUND(AA94+Z95,2),MIN(ROUND(Y$6+IF(Y$5=$C95,$E$5+$E95,0),2),ROUND(AA94+Z95,2))),0)</f>
        <v>0</v>
      </c>
      <c r="Z95" s="24">
        <f>IF(AA94&gt;0,ROUND(ROUND(AA94*100,0)*ROUND(Y$7*10000,0)/12000000,0)/100,0)</f>
        <v>0</v>
      </c>
      <c r="AA95" s="24">
        <f>IF(AA94&gt;0,ROUND(AA94+Z95-Y95,2),0)</f>
        <v>0</v>
      </c>
      <c r="AB95" s="24">
        <f>IF(AA94&gt;0,ROUND(AB94+ROUND(ROUND(AB94*100,0)*ROUND(Y$7*10000,0)/12000000,0)/100+0.02,2),0)</f>
        <v>0</v>
      </c>
      <c r="AC95" s="24">
        <f>IF(AE94&gt;0,IF(AND(ROUND(AE94+AD95-ROUND(AC$6+IF(AC$5=$C95,$E$5+$E95,0),2),2)&gt;0,ROUND(AE94+AD95-ROUND(AC$6+IF(AC$5=$C95,$E$5+$E95,0),2),2)&lt;=AF95,ROUND(AE94+AD95-ROUND(AC$6+IF(AC$5=$C95,$E$5+$E95,0),2),2)*10&lt;=ROUND(AC$6+IF(AC$5=$C95,$E$5+$E95,0),2)),ROUND(AE94+AD95,2),MIN(ROUND(AC$6+IF(AC$5=$C95,$E$5+$E95,0),2),ROUND(AE94+AD95,2))),0)</f>
        <v>0</v>
      </c>
      <c r="AD95" s="24">
        <f>IF(AE94&gt;0,ROUND(ROUND(AE94*100,0)*ROUND(AC$7*10000,0)/12000000,0)/100,0)</f>
        <v>0</v>
      </c>
      <c r="AE95" s="24">
        <f>IF(AE94&gt;0,ROUND(AE94+AD95-AC95,2),0)</f>
        <v>0</v>
      </c>
      <c r="AF95" s="24">
        <f>IF(AE94&gt;0,ROUND(AF94+ROUND(ROUND(AF94*100,0)*ROUND(AC$7*10000,0)/12000000,0)/100+0.02,2),0)</f>
        <v>0</v>
      </c>
      <c r="AG95" s="24">
        <f>IF(AI94&gt;0,IF(AND(ROUND(AI94+AH95-ROUND(AG$6+IF(AG$5=$C95,$E$5+$E95,0),2),2)&gt;0,ROUND(AI94+AH95-ROUND(AG$6+IF(AG$5=$C95,$E$5+$E95,0),2),2)&lt;=AJ95,ROUND(AI94+AH95-ROUND(AG$6+IF(AG$5=$C95,$E$5+$E95,0),2),2)*10&lt;=ROUND(AG$6+IF(AG$5=$C95,$E$5+$E95,0),2)),ROUND(AI94+AH95,2),MIN(ROUND(AG$6+IF(AG$5=$C95,$E$5+$E95,0),2),ROUND(AI94+AH95,2))),0)</f>
        <v>0</v>
      </c>
      <c r="AH95" s="24">
        <f>IF(AI94&gt;0,ROUND(ROUND(AI94*100,0)*ROUND(AG$7*10000,0)/12000000,0)/100,0)</f>
        <v>0</v>
      </c>
      <c r="AI95" s="24">
        <f>IF(AI94&gt;0,ROUND(AI94+AH95-AG95,2),0)</f>
        <v>0</v>
      </c>
      <c r="AJ95" s="24">
        <f>IF(AI94&gt;0,ROUND(AJ94+ROUND(ROUND(AJ94*100,0)*ROUND(AG$7*10000,0)/12000000,0)/100+0.02,2),0)</f>
        <v>0</v>
      </c>
      <c r="AK95" s="24">
        <f>IF(AM94&gt;0,IF(AND(ROUND(AM94+AL95-ROUND(AK$6+IF(AK$5=$C95,$E$5+$E95,0),2),2)&gt;0,ROUND(AM94+AL95-ROUND(AK$6+IF(AK$5=$C95,$E$5+$E95,0),2),2)&lt;=AN95,ROUND(AM94+AL95-ROUND(AK$6+IF(AK$5=$C95,$E$5+$E95,0),2),2)*10&lt;=ROUND(AK$6+IF(AK$5=$C95,$E$5+$E95,0),2)),ROUND(AM94+AL95,2),MIN(ROUND(AK$6+IF(AK$5=$C95,$E$5+$E95,0),2),ROUND(AM94+AL95,2))),0)</f>
        <v>0</v>
      </c>
      <c r="AL95" s="24">
        <f>IF(AM94&gt;0,ROUND(ROUND(AM94*100,0)*ROUND(AK$7*10000,0)/12000000,0)/100,0)</f>
        <v>0</v>
      </c>
      <c r="AM95" s="24">
        <f>IF(AM94&gt;0,ROUND(AM94+AL95-AK95,2),0)</f>
        <v>0</v>
      </c>
      <c r="AN95" s="24">
        <f>IF(AM94&gt;0,ROUND(AN94+ROUND(ROUND(AN94*100,0)*ROUND(AK$7*10000,0)/12000000,0)/100+0.02,2),0)</f>
        <v>0</v>
      </c>
      <c r="AO95" s="24">
        <f>IF(AQ94&gt;0,IF(AND(ROUND(AQ94+AP95-ROUND(AO$6+IF(AO$5=$C95,$E$5+$E95,0),2),2)&gt;0,ROUND(AQ94+AP95-ROUND(AO$6+IF(AO$5=$C95,$E$5+$E95,0),2),2)&lt;=AR95,ROUND(AQ94+AP95-ROUND(AO$6+IF(AO$5=$C95,$E$5+$E95,0),2),2)*10&lt;=ROUND(AO$6+IF(AO$5=$C95,$E$5+$E95,0),2)),ROUND(AQ94+AP95,2),MIN(ROUND(AO$6+IF(AO$5=$C95,$E$5+$E95,0),2),ROUND(AQ94+AP95,2))),0)</f>
        <v>0</v>
      </c>
      <c r="AP95" s="24">
        <f>IF(AQ94&gt;0,ROUND(ROUND(AQ94*100,0)*ROUND(AO$7*10000,0)/12000000,0)/100,0)</f>
        <v>0</v>
      </c>
      <c r="AQ95" s="24">
        <f>IF(AQ94&gt;0,ROUND(AQ94+AP95-AO95,2),0)</f>
        <v>0</v>
      </c>
      <c r="AR95" s="24">
        <f>IF(AQ94&gt;0,ROUND(AR94+ROUND(ROUND(AR94*100,0)*ROUND(AO$7*10000,0)/12000000,0)/100+0.02,2),0)</f>
        <v>0</v>
      </c>
      <c r="AS95" s="24">
        <f>IF(AU94&gt;0,IF(AND(ROUND(AU94+AT95-ROUND(AS$6+IF(AS$5=$C95,$E$5+$E95,0),2),2)&gt;0,ROUND(AU94+AT95-ROUND(AS$6+IF(AS$5=$C95,$E$5+$E95,0),2),2)&lt;=AV95,ROUND(AU94+AT95-ROUND(AS$6+IF(AS$5=$C95,$E$5+$E95,0),2),2)*10&lt;=ROUND(AS$6+IF(AS$5=$C95,$E$5+$E95,0),2)),ROUND(AU94+AT95,2),MIN(ROUND(AS$6+IF(AS$5=$C95,$E$5+$E95,0),2),ROUND(AU94+AT95,2))),0)</f>
        <v>0</v>
      </c>
      <c r="AT95" s="24">
        <f>IF(AU94&gt;0,ROUND(ROUND(AU94*100,0)*ROUND(AS$7*10000,0)/12000000,0)/100,0)</f>
        <v>0</v>
      </c>
      <c r="AU95" s="24">
        <f>IF(AU94&gt;0,ROUND(AU94+AT95-AS95,2),0)</f>
        <v>0</v>
      </c>
      <c r="AV95" s="24">
        <f>IF(AU94&gt;0,ROUND(AV94+ROUND(ROUND(AV94*100,0)*ROUND(AS$7*10000,0)/12000000,0)/100+0.02,2),0)</f>
        <v>0</v>
      </c>
    </row>
    <row r="96" spans="1:48" x14ac:dyDescent="0.25">
      <c r="A96" s="17" t="str">
        <f>IF(F96&gt;0,86,"")</f>
        <v/>
      </c>
      <c r="B96" s="18" t="str">
        <f>IF(F96&gt;0,EDATE($E$6,86),"")</f>
        <v/>
      </c>
      <c r="C96" s="21">
        <f>IF(H95&gt;0,MIN(IF(K95&gt;0,I$5,99),IF(O95&gt;0,M$5,99),IF(S95&gt;0,Q$5,99),IF(W95&gt;0,U$5,99),IF(AA95&gt;0,Y$5,99),IF(AE95&gt;0,AC$5,99),IF(AI95&gt;0,AG$5,99),IF(AM95&gt;0,AK$5,99),IF(AQ95&gt;0,AO$5,99),IF(AU95&gt;0,AS$5,99)),0)</f>
        <v>0</v>
      </c>
      <c r="D96" t="str">
        <f>IF(C96&gt;0,INDEX($I$4:$AV$4,1,MATCH(C96,$I$5:$AV$5,0)),"")</f>
        <v/>
      </c>
      <c r="E96" s="24">
        <f>ROUND(IF(AND(I$8&gt;0,K95=0),I$6,0)+IF(AND(M$8&gt;0,O95=0),M$6,0)+IF(AND(Q$8&gt;0,S95=0),Q$6,0)+IF(AND(U$8&gt;0,W95=0),U$6,0)+IF(AND(Y$8&gt;0,AA95=0),Y$6,0)+IF(AND(AC$8&gt;0,AE95=0),AC$6,0)+IF(AND(AG$8&gt;0,AI95=0),AG$6,0)+IF(AND(AK$8&gt;0,AM95=0),AK$6,0)+IF(AND(AO$8&gt;0,AQ95=0),AO$6,0)+IF(AND(AS$8&gt;0,AU95=0),AS$6,0),2)</f>
        <v>325</v>
      </c>
      <c r="F96" s="24">
        <f>ROUND(I96+M96+Q96+U96+Y96+AC96+AG96+AK96+AO96+AS96,2)</f>
        <v>0</v>
      </c>
      <c r="G96" s="24">
        <f>ROUND(J96+N96+R96+V96+Z96+AD96+AH96+AL96+AP96+AT96,2)</f>
        <v>0</v>
      </c>
      <c r="H96" s="24">
        <f>ROUND(K96+O96+S96+W96+AA96+AE96+AI96+AM96+AQ96+AU96,2)</f>
        <v>0</v>
      </c>
      <c r="I96" s="24">
        <f>IF(K95&gt;0,IF(AND(ROUND(K95+J96-ROUND(I$6+IF(I$5=$C96,$E$5+$E96,0),2),2)&gt;0,ROUND(K95+J96-ROUND(I$6+IF(I$5=$C96,$E$5+$E96,0),2),2)&lt;=L96,ROUND(K95+J96-ROUND(I$6+IF(I$5=$C96,$E$5+$E96,0),2),2)*10&lt;=ROUND(I$6+IF(I$5=$C96,$E$5+$E96,0),2)),ROUND(K95+J96,2),MIN(ROUND(I$6+IF(I$5=$C96,$E$5+$E96,0),2),ROUND(K95+J96,2))),0)</f>
        <v>0</v>
      </c>
      <c r="J96" s="24">
        <f>IF(K95&gt;0,ROUND(ROUND(K95*100,0)*ROUND(I$7*10000,0)/12000000,0)/100,0)</f>
        <v>0</v>
      </c>
      <c r="K96" s="24">
        <f>IF(K95&gt;0,ROUND(K95+J96-I96,2),0)</f>
        <v>0</v>
      </c>
      <c r="L96" s="24">
        <f>IF(K95&gt;0,ROUND(L95+ROUND(ROUND(L95*100,0)*ROUND(I$7*10000,0)/12000000,0)/100+0.02,2),0)</f>
        <v>0</v>
      </c>
      <c r="M96" s="24">
        <f>IF(O95&gt;0,IF(AND(ROUND(O95+N96-ROUND(M$6+IF(M$5=$C96,$E$5+$E96,0),2),2)&gt;0,ROUND(O95+N96-ROUND(M$6+IF(M$5=$C96,$E$5+$E96,0),2),2)&lt;=P96,ROUND(O95+N96-ROUND(M$6+IF(M$5=$C96,$E$5+$E96,0),2),2)*10&lt;=ROUND(M$6+IF(M$5=$C96,$E$5+$E96,0),2)),ROUND(O95+N96,2),MIN(ROUND(M$6+IF(M$5=$C96,$E$5+$E96,0),2),ROUND(O95+N96,2))),0)</f>
        <v>0</v>
      </c>
      <c r="N96" s="24">
        <f>IF(O95&gt;0,ROUND(ROUND(O95*100,0)*ROUND(M$7*10000,0)/12000000,0)/100,0)</f>
        <v>0</v>
      </c>
      <c r="O96" s="24">
        <f>IF(O95&gt;0,ROUND(O95+N96-M96,2),0)</f>
        <v>0</v>
      </c>
      <c r="P96" s="24">
        <f>IF(O95&gt;0,ROUND(P95+ROUND(ROUND(P95*100,0)*ROUND(M$7*10000,0)/12000000,0)/100+0.02,2),0)</f>
        <v>0</v>
      </c>
      <c r="Q96" s="24">
        <f>IF(S95&gt;0,IF(AND(ROUND(S95+R96-ROUND(Q$6+IF(Q$5=$C96,$E$5+$E96,0),2),2)&gt;0,ROUND(S95+R96-ROUND(Q$6+IF(Q$5=$C96,$E$5+$E96,0),2),2)&lt;=T96,ROUND(S95+R96-ROUND(Q$6+IF(Q$5=$C96,$E$5+$E96,0),2),2)*10&lt;=ROUND(Q$6+IF(Q$5=$C96,$E$5+$E96,0),2)),ROUND(S95+R96,2),MIN(ROUND(Q$6+IF(Q$5=$C96,$E$5+$E96,0),2),ROUND(S95+R96,2))),0)</f>
        <v>0</v>
      </c>
      <c r="R96" s="24">
        <f>IF(S95&gt;0,ROUND(ROUND(S95*100,0)*ROUND(Q$7*10000,0)/12000000,0)/100,0)</f>
        <v>0</v>
      </c>
      <c r="S96" s="24">
        <f>IF(S95&gt;0,ROUND(S95+R96-Q96,2),0)</f>
        <v>0</v>
      </c>
      <c r="T96" s="24">
        <f>IF(S95&gt;0,ROUND(T95+ROUND(ROUND(T95*100,0)*ROUND(Q$7*10000,0)/12000000,0)/100+0.02,2),0)</f>
        <v>0</v>
      </c>
      <c r="U96" s="24">
        <f>IF(W95&gt;0,IF(AND(ROUND(W95+V96-ROUND(U$6+IF(U$5=$C96,$E$5+$E96,0),2),2)&gt;0,ROUND(W95+V96-ROUND(U$6+IF(U$5=$C96,$E$5+$E96,0),2),2)&lt;=X96,ROUND(W95+V96-ROUND(U$6+IF(U$5=$C96,$E$5+$E96,0),2),2)*10&lt;=ROUND(U$6+IF(U$5=$C96,$E$5+$E96,0),2)),ROUND(W95+V96,2),MIN(ROUND(U$6+IF(U$5=$C96,$E$5+$E96,0),2),ROUND(W95+V96,2))),0)</f>
        <v>0</v>
      </c>
      <c r="V96" s="24">
        <f>IF(W95&gt;0,ROUND(ROUND(W95*100,0)*ROUND(U$7*10000,0)/12000000,0)/100,0)</f>
        <v>0</v>
      </c>
      <c r="W96" s="24">
        <f>IF(W95&gt;0,ROUND(W95+V96-U96,2),0)</f>
        <v>0</v>
      </c>
      <c r="X96" s="24">
        <f>IF(W95&gt;0,ROUND(X95+ROUND(ROUND(X95*100,0)*ROUND(U$7*10000,0)/12000000,0)/100+0.02,2),0)</f>
        <v>0</v>
      </c>
      <c r="Y96" s="24">
        <f>IF(AA95&gt;0,IF(AND(ROUND(AA95+Z96-ROUND(Y$6+IF(Y$5=$C96,$E$5+$E96,0),2),2)&gt;0,ROUND(AA95+Z96-ROUND(Y$6+IF(Y$5=$C96,$E$5+$E96,0),2),2)&lt;=AB96,ROUND(AA95+Z96-ROUND(Y$6+IF(Y$5=$C96,$E$5+$E96,0),2),2)*10&lt;=ROUND(Y$6+IF(Y$5=$C96,$E$5+$E96,0),2)),ROUND(AA95+Z96,2),MIN(ROUND(Y$6+IF(Y$5=$C96,$E$5+$E96,0),2),ROUND(AA95+Z96,2))),0)</f>
        <v>0</v>
      </c>
      <c r="Z96" s="24">
        <f>IF(AA95&gt;0,ROUND(ROUND(AA95*100,0)*ROUND(Y$7*10000,0)/12000000,0)/100,0)</f>
        <v>0</v>
      </c>
      <c r="AA96" s="24">
        <f>IF(AA95&gt;0,ROUND(AA95+Z96-Y96,2),0)</f>
        <v>0</v>
      </c>
      <c r="AB96" s="24">
        <f>IF(AA95&gt;0,ROUND(AB95+ROUND(ROUND(AB95*100,0)*ROUND(Y$7*10000,0)/12000000,0)/100+0.02,2),0)</f>
        <v>0</v>
      </c>
      <c r="AC96" s="24">
        <f>IF(AE95&gt;0,IF(AND(ROUND(AE95+AD96-ROUND(AC$6+IF(AC$5=$C96,$E$5+$E96,0),2),2)&gt;0,ROUND(AE95+AD96-ROUND(AC$6+IF(AC$5=$C96,$E$5+$E96,0),2),2)&lt;=AF96,ROUND(AE95+AD96-ROUND(AC$6+IF(AC$5=$C96,$E$5+$E96,0),2),2)*10&lt;=ROUND(AC$6+IF(AC$5=$C96,$E$5+$E96,0),2)),ROUND(AE95+AD96,2),MIN(ROUND(AC$6+IF(AC$5=$C96,$E$5+$E96,0),2),ROUND(AE95+AD96,2))),0)</f>
        <v>0</v>
      </c>
      <c r="AD96" s="24">
        <f>IF(AE95&gt;0,ROUND(ROUND(AE95*100,0)*ROUND(AC$7*10000,0)/12000000,0)/100,0)</f>
        <v>0</v>
      </c>
      <c r="AE96" s="24">
        <f>IF(AE95&gt;0,ROUND(AE95+AD96-AC96,2),0)</f>
        <v>0</v>
      </c>
      <c r="AF96" s="24">
        <f>IF(AE95&gt;0,ROUND(AF95+ROUND(ROUND(AF95*100,0)*ROUND(AC$7*10000,0)/12000000,0)/100+0.02,2),0)</f>
        <v>0</v>
      </c>
      <c r="AG96" s="24">
        <f>IF(AI95&gt;0,IF(AND(ROUND(AI95+AH96-ROUND(AG$6+IF(AG$5=$C96,$E$5+$E96,0),2),2)&gt;0,ROUND(AI95+AH96-ROUND(AG$6+IF(AG$5=$C96,$E$5+$E96,0),2),2)&lt;=AJ96,ROUND(AI95+AH96-ROUND(AG$6+IF(AG$5=$C96,$E$5+$E96,0),2),2)*10&lt;=ROUND(AG$6+IF(AG$5=$C96,$E$5+$E96,0),2)),ROUND(AI95+AH96,2),MIN(ROUND(AG$6+IF(AG$5=$C96,$E$5+$E96,0),2),ROUND(AI95+AH96,2))),0)</f>
        <v>0</v>
      </c>
      <c r="AH96" s="24">
        <f>IF(AI95&gt;0,ROUND(ROUND(AI95*100,0)*ROUND(AG$7*10000,0)/12000000,0)/100,0)</f>
        <v>0</v>
      </c>
      <c r="AI96" s="24">
        <f>IF(AI95&gt;0,ROUND(AI95+AH96-AG96,2),0)</f>
        <v>0</v>
      </c>
      <c r="AJ96" s="24">
        <f>IF(AI95&gt;0,ROUND(AJ95+ROUND(ROUND(AJ95*100,0)*ROUND(AG$7*10000,0)/12000000,0)/100+0.02,2),0)</f>
        <v>0</v>
      </c>
      <c r="AK96" s="24">
        <f>IF(AM95&gt;0,IF(AND(ROUND(AM95+AL96-ROUND(AK$6+IF(AK$5=$C96,$E$5+$E96,0),2),2)&gt;0,ROUND(AM95+AL96-ROUND(AK$6+IF(AK$5=$C96,$E$5+$E96,0),2),2)&lt;=AN96,ROUND(AM95+AL96-ROUND(AK$6+IF(AK$5=$C96,$E$5+$E96,0),2),2)*10&lt;=ROUND(AK$6+IF(AK$5=$C96,$E$5+$E96,0),2)),ROUND(AM95+AL96,2),MIN(ROUND(AK$6+IF(AK$5=$C96,$E$5+$E96,0),2),ROUND(AM95+AL96,2))),0)</f>
        <v>0</v>
      </c>
      <c r="AL96" s="24">
        <f>IF(AM95&gt;0,ROUND(ROUND(AM95*100,0)*ROUND(AK$7*10000,0)/12000000,0)/100,0)</f>
        <v>0</v>
      </c>
      <c r="AM96" s="24">
        <f>IF(AM95&gt;0,ROUND(AM95+AL96-AK96,2),0)</f>
        <v>0</v>
      </c>
      <c r="AN96" s="24">
        <f>IF(AM95&gt;0,ROUND(AN95+ROUND(ROUND(AN95*100,0)*ROUND(AK$7*10000,0)/12000000,0)/100+0.02,2),0)</f>
        <v>0</v>
      </c>
      <c r="AO96" s="24">
        <f>IF(AQ95&gt;0,IF(AND(ROUND(AQ95+AP96-ROUND(AO$6+IF(AO$5=$C96,$E$5+$E96,0),2),2)&gt;0,ROUND(AQ95+AP96-ROUND(AO$6+IF(AO$5=$C96,$E$5+$E96,0),2),2)&lt;=AR96,ROUND(AQ95+AP96-ROUND(AO$6+IF(AO$5=$C96,$E$5+$E96,0),2),2)*10&lt;=ROUND(AO$6+IF(AO$5=$C96,$E$5+$E96,0),2)),ROUND(AQ95+AP96,2),MIN(ROUND(AO$6+IF(AO$5=$C96,$E$5+$E96,0),2),ROUND(AQ95+AP96,2))),0)</f>
        <v>0</v>
      </c>
      <c r="AP96" s="24">
        <f>IF(AQ95&gt;0,ROUND(ROUND(AQ95*100,0)*ROUND(AO$7*10000,0)/12000000,0)/100,0)</f>
        <v>0</v>
      </c>
      <c r="AQ96" s="24">
        <f>IF(AQ95&gt;0,ROUND(AQ95+AP96-AO96,2),0)</f>
        <v>0</v>
      </c>
      <c r="AR96" s="24">
        <f>IF(AQ95&gt;0,ROUND(AR95+ROUND(ROUND(AR95*100,0)*ROUND(AO$7*10000,0)/12000000,0)/100+0.02,2),0)</f>
        <v>0</v>
      </c>
      <c r="AS96" s="24">
        <f>IF(AU95&gt;0,IF(AND(ROUND(AU95+AT96-ROUND(AS$6+IF(AS$5=$C96,$E$5+$E96,0),2),2)&gt;0,ROUND(AU95+AT96-ROUND(AS$6+IF(AS$5=$C96,$E$5+$E96,0),2),2)&lt;=AV96,ROUND(AU95+AT96-ROUND(AS$6+IF(AS$5=$C96,$E$5+$E96,0),2),2)*10&lt;=ROUND(AS$6+IF(AS$5=$C96,$E$5+$E96,0),2)),ROUND(AU95+AT96,2),MIN(ROUND(AS$6+IF(AS$5=$C96,$E$5+$E96,0),2),ROUND(AU95+AT96,2))),0)</f>
        <v>0</v>
      </c>
      <c r="AT96" s="24">
        <f>IF(AU95&gt;0,ROUND(ROUND(AU95*100,0)*ROUND(AS$7*10000,0)/12000000,0)/100,0)</f>
        <v>0</v>
      </c>
      <c r="AU96" s="24">
        <f>IF(AU95&gt;0,ROUND(AU95+AT96-AS96,2),0)</f>
        <v>0</v>
      </c>
      <c r="AV96" s="24">
        <f>IF(AU95&gt;0,ROUND(AV95+ROUND(ROUND(AV95*100,0)*ROUND(AS$7*10000,0)/12000000,0)/100+0.02,2),0)</f>
        <v>0</v>
      </c>
    </row>
    <row r="97" spans="1:48" x14ac:dyDescent="0.25">
      <c r="A97" s="17" t="str">
        <f>IF(F97&gt;0,87,"")</f>
        <v/>
      </c>
      <c r="B97" s="18" t="str">
        <f>IF(F97&gt;0,EDATE($E$6,87),"")</f>
        <v/>
      </c>
      <c r="C97" s="21">
        <f>IF(H96&gt;0,MIN(IF(K96&gt;0,I$5,99),IF(O96&gt;0,M$5,99),IF(S96&gt;0,Q$5,99),IF(W96&gt;0,U$5,99),IF(AA96&gt;0,Y$5,99),IF(AE96&gt;0,AC$5,99),IF(AI96&gt;0,AG$5,99),IF(AM96&gt;0,AK$5,99),IF(AQ96&gt;0,AO$5,99),IF(AU96&gt;0,AS$5,99)),0)</f>
        <v>0</v>
      </c>
      <c r="D97" t="str">
        <f>IF(C97&gt;0,INDEX($I$4:$AV$4,1,MATCH(C97,$I$5:$AV$5,0)),"")</f>
        <v/>
      </c>
      <c r="E97" s="24">
        <f>ROUND(IF(AND(I$8&gt;0,K96=0),I$6,0)+IF(AND(M$8&gt;0,O96=0),M$6,0)+IF(AND(Q$8&gt;0,S96=0),Q$6,0)+IF(AND(U$8&gt;0,W96=0),U$6,0)+IF(AND(Y$8&gt;0,AA96=0),Y$6,0)+IF(AND(AC$8&gt;0,AE96=0),AC$6,0)+IF(AND(AG$8&gt;0,AI96=0),AG$6,0)+IF(AND(AK$8&gt;0,AM96=0),AK$6,0)+IF(AND(AO$8&gt;0,AQ96=0),AO$6,0)+IF(AND(AS$8&gt;0,AU96=0),AS$6,0),2)</f>
        <v>325</v>
      </c>
      <c r="F97" s="24">
        <f>ROUND(I97+M97+Q97+U97+Y97+AC97+AG97+AK97+AO97+AS97,2)</f>
        <v>0</v>
      </c>
      <c r="G97" s="24">
        <f>ROUND(J97+N97+R97+V97+Z97+AD97+AH97+AL97+AP97+AT97,2)</f>
        <v>0</v>
      </c>
      <c r="H97" s="24">
        <f>ROUND(K97+O97+S97+W97+AA97+AE97+AI97+AM97+AQ97+AU97,2)</f>
        <v>0</v>
      </c>
      <c r="I97" s="24">
        <f>IF(K96&gt;0,IF(AND(ROUND(K96+J97-ROUND(I$6+IF(I$5=$C97,$E$5+$E97,0),2),2)&gt;0,ROUND(K96+J97-ROUND(I$6+IF(I$5=$C97,$E$5+$E97,0),2),2)&lt;=L97,ROUND(K96+J97-ROUND(I$6+IF(I$5=$C97,$E$5+$E97,0),2),2)*10&lt;=ROUND(I$6+IF(I$5=$C97,$E$5+$E97,0),2)),ROUND(K96+J97,2),MIN(ROUND(I$6+IF(I$5=$C97,$E$5+$E97,0),2),ROUND(K96+J97,2))),0)</f>
        <v>0</v>
      </c>
      <c r="J97" s="24">
        <f>IF(K96&gt;0,ROUND(ROUND(K96*100,0)*ROUND(I$7*10000,0)/12000000,0)/100,0)</f>
        <v>0</v>
      </c>
      <c r="K97" s="24">
        <f>IF(K96&gt;0,ROUND(K96+J97-I97,2),0)</f>
        <v>0</v>
      </c>
      <c r="L97" s="24">
        <f>IF(K96&gt;0,ROUND(L96+ROUND(ROUND(L96*100,0)*ROUND(I$7*10000,0)/12000000,0)/100+0.02,2),0)</f>
        <v>0</v>
      </c>
      <c r="M97" s="24">
        <f>IF(O96&gt;0,IF(AND(ROUND(O96+N97-ROUND(M$6+IF(M$5=$C97,$E$5+$E97,0),2),2)&gt;0,ROUND(O96+N97-ROUND(M$6+IF(M$5=$C97,$E$5+$E97,0),2),2)&lt;=P97,ROUND(O96+N97-ROUND(M$6+IF(M$5=$C97,$E$5+$E97,0),2),2)*10&lt;=ROUND(M$6+IF(M$5=$C97,$E$5+$E97,0),2)),ROUND(O96+N97,2),MIN(ROUND(M$6+IF(M$5=$C97,$E$5+$E97,0),2),ROUND(O96+N97,2))),0)</f>
        <v>0</v>
      </c>
      <c r="N97" s="24">
        <f>IF(O96&gt;0,ROUND(ROUND(O96*100,0)*ROUND(M$7*10000,0)/12000000,0)/100,0)</f>
        <v>0</v>
      </c>
      <c r="O97" s="24">
        <f>IF(O96&gt;0,ROUND(O96+N97-M97,2),0)</f>
        <v>0</v>
      </c>
      <c r="P97" s="24">
        <f>IF(O96&gt;0,ROUND(P96+ROUND(ROUND(P96*100,0)*ROUND(M$7*10000,0)/12000000,0)/100+0.02,2),0)</f>
        <v>0</v>
      </c>
      <c r="Q97" s="24">
        <f>IF(S96&gt;0,IF(AND(ROUND(S96+R97-ROUND(Q$6+IF(Q$5=$C97,$E$5+$E97,0),2),2)&gt;0,ROUND(S96+R97-ROUND(Q$6+IF(Q$5=$C97,$E$5+$E97,0),2),2)&lt;=T97,ROUND(S96+R97-ROUND(Q$6+IF(Q$5=$C97,$E$5+$E97,0),2),2)*10&lt;=ROUND(Q$6+IF(Q$5=$C97,$E$5+$E97,0),2)),ROUND(S96+R97,2),MIN(ROUND(Q$6+IF(Q$5=$C97,$E$5+$E97,0),2),ROUND(S96+R97,2))),0)</f>
        <v>0</v>
      </c>
      <c r="R97" s="24">
        <f>IF(S96&gt;0,ROUND(ROUND(S96*100,0)*ROUND(Q$7*10000,0)/12000000,0)/100,0)</f>
        <v>0</v>
      </c>
      <c r="S97" s="24">
        <f>IF(S96&gt;0,ROUND(S96+R97-Q97,2),0)</f>
        <v>0</v>
      </c>
      <c r="T97" s="24">
        <f>IF(S96&gt;0,ROUND(T96+ROUND(ROUND(T96*100,0)*ROUND(Q$7*10000,0)/12000000,0)/100+0.02,2),0)</f>
        <v>0</v>
      </c>
      <c r="U97" s="24">
        <f>IF(W96&gt;0,IF(AND(ROUND(W96+V97-ROUND(U$6+IF(U$5=$C97,$E$5+$E97,0),2),2)&gt;0,ROUND(W96+V97-ROUND(U$6+IF(U$5=$C97,$E$5+$E97,0),2),2)&lt;=X97,ROUND(W96+V97-ROUND(U$6+IF(U$5=$C97,$E$5+$E97,0),2),2)*10&lt;=ROUND(U$6+IF(U$5=$C97,$E$5+$E97,0),2)),ROUND(W96+V97,2),MIN(ROUND(U$6+IF(U$5=$C97,$E$5+$E97,0),2),ROUND(W96+V97,2))),0)</f>
        <v>0</v>
      </c>
      <c r="V97" s="24">
        <f>IF(W96&gt;0,ROUND(ROUND(W96*100,0)*ROUND(U$7*10000,0)/12000000,0)/100,0)</f>
        <v>0</v>
      </c>
      <c r="W97" s="24">
        <f>IF(W96&gt;0,ROUND(W96+V97-U97,2),0)</f>
        <v>0</v>
      </c>
      <c r="X97" s="24">
        <f>IF(W96&gt;0,ROUND(X96+ROUND(ROUND(X96*100,0)*ROUND(U$7*10000,0)/12000000,0)/100+0.02,2),0)</f>
        <v>0</v>
      </c>
      <c r="Y97" s="24">
        <f>IF(AA96&gt;0,IF(AND(ROUND(AA96+Z97-ROUND(Y$6+IF(Y$5=$C97,$E$5+$E97,0),2),2)&gt;0,ROUND(AA96+Z97-ROUND(Y$6+IF(Y$5=$C97,$E$5+$E97,0),2),2)&lt;=AB97,ROUND(AA96+Z97-ROUND(Y$6+IF(Y$5=$C97,$E$5+$E97,0),2),2)*10&lt;=ROUND(Y$6+IF(Y$5=$C97,$E$5+$E97,0),2)),ROUND(AA96+Z97,2),MIN(ROUND(Y$6+IF(Y$5=$C97,$E$5+$E97,0),2),ROUND(AA96+Z97,2))),0)</f>
        <v>0</v>
      </c>
      <c r="Z97" s="24">
        <f>IF(AA96&gt;0,ROUND(ROUND(AA96*100,0)*ROUND(Y$7*10000,0)/12000000,0)/100,0)</f>
        <v>0</v>
      </c>
      <c r="AA97" s="24">
        <f>IF(AA96&gt;0,ROUND(AA96+Z97-Y97,2),0)</f>
        <v>0</v>
      </c>
      <c r="AB97" s="24">
        <f>IF(AA96&gt;0,ROUND(AB96+ROUND(ROUND(AB96*100,0)*ROUND(Y$7*10000,0)/12000000,0)/100+0.02,2),0)</f>
        <v>0</v>
      </c>
      <c r="AC97" s="24">
        <f>IF(AE96&gt;0,IF(AND(ROUND(AE96+AD97-ROUND(AC$6+IF(AC$5=$C97,$E$5+$E97,0),2),2)&gt;0,ROUND(AE96+AD97-ROUND(AC$6+IF(AC$5=$C97,$E$5+$E97,0),2),2)&lt;=AF97,ROUND(AE96+AD97-ROUND(AC$6+IF(AC$5=$C97,$E$5+$E97,0),2),2)*10&lt;=ROUND(AC$6+IF(AC$5=$C97,$E$5+$E97,0),2)),ROUND(AE96+AD97,2),MIN(ROUND(AC$6+IF(AC$5=$C97,$E$5+$E97,0),2),ROUND(AE96+AD97,2))),0)</f>
        <v>0</v>
      </c>
      <c r="AD97" s="24">
        <f>IF(AE96&gt;0,ROUND(ROUND(AE96*100,0)*ROUND(AC$7*10000,0)/12000000,0)/100,0)</f>
        <v>0</v>
      </c>
      <c r="AE97" s="24">
        <f>IF(AE96&gt;0,ROUND(AE96+AD97-AC97,2),0)</f>
        <v>0</v>
      </c>
      <c r="AF97" s="24">
        <f>IF(AE96&gt;0,ROUND(AF96+ROUND(ROUND(AF96*100,0)*ROUND(AC$7*10000,0)/12000000,0)/100+0.02,2),0)</f>
        <v>0</v>
      </c>
      <c r="AG97" s="24">
        <f>IF(AI96&gt;0,IF(AND(ROUND(AI96+AH97-ROUND(AG$6+IF(AG$5=$C97,$E$5+$E97,0),2),2)&gt;0,ROUND(AI96+AH97-ROUND(AG$6+IF(AG$5=$C97,$E$5+$E97,0),2),2)&lt;=AJ97,ROUND(AI96+AH97-ROUND(AG$6+IF(AG$5=$C97,$E$5+$E97,0),2),2)*10&lt;=ROUND(AG$6+IF(AG$5=$C97,$E$5+$E97,0),2)),ROUND(AI96+AH97,2),MIN(ROUND(AG$6+IF(AG$5=$C97,$E$5+$E97,0),2),ROUND(AI96+AH97,2))),0)</f>
        <v>0</v>
      </c>
      <c r="AH97" s="24">
        <f>IF(AI96&gt;0,ROUND(ROUND(AI96*100,0)*ROUND(AG$7*10000,0)/12000000,0)/100,0)</f>
        <v>0</v>
      </c>
      <c r="AI97" s="24">
        <f>IF(AI96&gt;0,ROUND(AI96+AH97-AG97,2),0)</f>
        <v>0</v>
      </c>
      <c r="AJ97" s="24">
        <f>IF(AI96&gt;0,ROUND(AJ96+ROUND(ROUND(AJ96*100,0)*ROUND(AG$7*10000,0)/12000000,0)/100+0.02,2),0)</f>
        <v>0</v>
      </c>
      <c r="AK97" s="24">
        <f>IF(AM96&gt;0,IF(AND(ROUND(AM96+AL97-ROUND(AK$6+IF(AK$5=$C97,$E$5+$E97,0),2),2)&gt;0,ROUND(AM96+AL97-ROUND(AK$6+IF(AK$5=$C97,$E$5+$E97,0),2),2)&lt;=AN97,ROUND(AM96+AL97-ROUND(AK$6+IF(AK$5=$C97,$E$5+$E97,0),2),2)*10&lt;=ROUND(AK$6+IF(AK$5=$C97,$E$5+$E97,0),2)),ROUND(AM96+AL97,2),MIN(ROUND(AK$6+IF(AK$5=$C97,$E$5+$E97,0),2),ROUND(AM96+AL97,2))),0)</f>
        <v>0</v>
      </c>
      <c r="AL97" s="24">
        <f>IF(AM96&gt;0,ROUND(ROUND(AM96*100,0)*ROUND(AK$7*10000,0)/12000000,0)/100,0)</f>
        <v>0</v>
      </c>
      <c r="AM97" s="24">
        <f>IF(AM96&gt;0,ROUND(AM96+AL97-AK97,2),0)</f>
        <v>0</v>
      </c>
      <c r="AN97" s="24">
        <f>IF(AM96&gt;0,ROUND(AN96+ROUND(ROUND(AN96*100,0)*ROUND(AK$7*10000,0)/12000000,0)/100+0.02,2),0)</f>
        <v>0</v>
      </c>
      <c r="AO97" s="24">
        <f>IF(AQ96&gt;0,IF(AND(ROUND(AQ96+AP97-ROUND(AO$6+IF(AO$5=$C97,$E$5+$E97,0),2),2)&gt;0,ROUND(AQ96+AP97-ROUND(AO$6+IF(AO$5=$C97,$E$5+$E97,0),2),2)&lt;=AR97,ROUND(AQ96+AP97-ROUND(AO$6+IF(AO$5=$C97,$E$5+$E97,0),2),2)*10&lt;=ROUND(AO$6+IF(AO$5=$C97,$E$5+$E97,0),2)),ROUND(AQ96+AP97,2),MIN(ROUND(AO$6+IF(AO$5=$C97,$E$5+$E97,0),2),ROUND(AQ96+AP97,2))),0)</f>
        <v>0</v>
      </c>
      <c r="AP97" s="24">
        <f>IF(AQ96&gt;0,ROUND(ROUND(AQ96*100,0)*ROUND(AO$7*10000,0)/12000000,0)/100,0)</f>
        <v>0</v>
      </c>
      <c r="AQ97" s="24">
        <f>IF(AQ96&gt;0,ROUND(AQ96+AP97-AO97,2),0)</f>
        <v>0</v>
      </c>
      <c r="AR97" s="24">
        <f>IF(AQ96&gt;0,ROUND(AR96+ROUND(ROUND(AR96*100,0)*ROUND(AO$7*10000,0)/12000000,0)/100+0.02,2),0)</f>
        <v>0</v>
      </c>
      <c r="AS97" s="24">
        <f>IF(AU96&gt;0,IF(AND(ROUND(AU96+AT97-ROUND(AS$6+IF(AS$5=$C97,$E$5+$E97,0),2),2)&gt;0,ROUND(AU96+AT97-ROUND(AS$6+IF(AS$5=$C97,$E$5+$E97,0),2),2)&lt;=AV97,ROUND(AU96+AT97-ROUND(AS$6+IF(AS$5=$C97,$E$5+$E97,0),2),2)*10&lt;=ROUND(AS$6+IF(AS$5=$C97,$E$5+$E97,0),2)),ROUND(AU96+AT97,2),MIN(ROUND(AS$6+IF(AS$5=$C97,$E$5+$E97,0),2),ROUND(AU96+AT97,2))),0)</f>
        <v>0</v>
      </c>
      <c r="AT97" s="24">
        <f>IF(AU96&gt;0,ROUND(ROUND(AU96*100,0)*ROUND(AS$7*10000,0)/12000000,0)/100,0)</f>
        <v>0</v>
      </c>
      <c r="AU97" s="24">
        <f>IF(AU96&gt;0,ROUND(AU96+AT97-AS97,2),0)</f>
        <v>0</v>
      </c>
      <c r="AV97" s="24">
        <f>IF(AU96&gt;0,ROUND(AV96+ROUND(ROUND(AV96*100,0)*ROUND(AS$7*10000,0)/12000000,0)/100+0.02,2),0)</f>
        <v>0</v>
      </c>
    </row>
    <row r="98" spans="1:48" x14ac:dyDescent="0.25">
      <c r="A98" s="17" t="str">
        <f>IF(F98&gt;0,88,"")</f>
        <v/>
      </c>
      <c r="B98" s="18" t="str">
        <f>IF(F98&gt;0,EDATE($E$6,88),"")</f>
        <v/>
      </c>
      <c r="C98" s="21">
        <f>IF(H97&gt;0,MIN(IF(K97&gt;0,I$5,99),IF(O97&gt;0,M$5,99),IF(S97&gt;0,Q$5,99),IF(W97&gt;0,U$5,99),IF(AA97&gt;0,Y$5,99),IF(AE97&gt;0,AC$5,99),IF(AI97&gt;0,AG$5,99),IF(AM97&gt;0,AK$5,99),IF(AQ97&gt;0,AO$5,99),IF(AU97&gt;0,AS$5,99)),0)</f>
        <v>0</v>
      </c>
      <c r="D98" t="str">
        <f>IF(C98&gt;0,INDEX($I$4:$AV$4,1,MATCH(C98,$I$5:$AV$5,0)),"")</f>
        <v/>
      </c>
      <c r="E98" s="24">
        <f>ROUND(IF(AND(I$8&gt;0,K97=0),I$6,0)+IF(AND(M$8&gt;0,O97=0),M$6,0)+IF(AND(Q$8&gt;0,S97=0),Q$6,0)+IF(AND(U$8&gt;0,W97=0),U$6,0)+IF(AND(Y$8&gt;0,AA97=0),Y$6,0)+IF(AND(AC$8&gt;0,AE97=0),AC$6,0)+IF(AND(AG$8&gt;0,AI97=0),AG$6,0)+IF(AND(AK$8&gt;0,AM97=0),AK$6,0)+IF(AND(AO$8&gt;0,AQ97=0),AO$6,0)+IF(AND(AS$8&gt;0,AU97=0),AS$6,0),2)</f>
        <v>325</v>
      </c>
      <c r="F98" s="24">
        <f>ROUND(I98+M98+Q98+U98+Y98+AC98+AG98+AK98+AO98+AS98,2)</f>
        <v>0</v>
      </c>
      <c r="G98" s="24">
        <f>ROUND(J98+N98+R98+V98+Z98+AD98+AH98+AL98+AP98+AT98,2)</f>
        <v>0</v>
      </c>
      <c r="H98" s="24">
        <f>ROUND(K98+O98+S98+W98+AA98+AE98+AI98+AM98+AQ98+AU98,2)</f>
        <v>0</v>
      </c>
      <c r="I98" s="24">
        <f>IF(K97&gt;0,IF(AND(ROUND(K97+J98-ROUND(I$6+IF(I$5=$C98,$E$5+$E98,0),2),2)&gt;0,ROUND(K97+J98-ROUND(I$6+IF(I$5=$C98,$E$5+$E98,0),2),2)&lt;=L98,ROUND(K97+J98-ROUND(I$6+IF(I$5=$C98,$E$5+$E98,0),2),2)*10&lt;=ROUND(I$6+IF(I$5=$C98,$E$5+$E98,0),2)),ROUND(K97+J98,2),MIN(ROUND(I$6+IF(I$5=$C98,$E$5+$E98,0),2),ROUND(K97+J98,2))),0)</f>
        <v>0</v>
      </c>
      <c r="J98" s="24">
        <f>IF(K97&gt;0,ROUND(ROUND(K97*100,0)*ROUND(I$7*10000,0)/12000000,0)/100,0)</f>
        <v>0</v>
      </c>
      <c r="K98" s="24">
        <f>IF(K97&gt;0,ROUND(K97+J98-I98,2),0)</f>
        <v>0</v>
      </c>
      <c r="L98" s="24">
        <f>IF(K97&gt;0,ROUND(L97+ROUND(ROUND(L97*100,0)*ROUND(I$7*10000,0)/12000000,0)/100+0.02,2),0)</f>
        <v>0</v>
      </c>
      <c r="M98" s="24">
        <f>IF(O97&gt;0,IF(AND(ROUND(O97+N98-ROUND(M$6+IF(M$5=$C98,$E$5+$E98,0),2),2)&gt;0,ROUND(O97+N98-ROUND(M$6+IF(M$5=$C98,$E$5+$E98,0),2),2)&lt;=P98,ROUND(O97+N98-ROUND(M$6+IF(M$5=$C98,$E$5+$E98,0),2),2)*10&lt;=ROUND(M$6+IF(M$5=$C98,$E$5+$E98,0),2)),ROUND(O97+N98,2),MIN(ROUND(M$6+IF(M$5=$C98,$E$5+$E98,0),2),ROUND(O97+N98,2))),0)</f>
        <v>0</v>
      </c>
      <c r="N98" s="24">
        <f>IF(O97&gt;0,ROUND(ROUND(O97*100,0)*ROUND(M$7*10000,0)/12000000,0)/100,0)</f>
        <v>0</v>
      </c>
      <c r="O98" s="24">
        <f>IF(O97&gt;0,ROUND(O97+N98-M98,2),0)</f>
        <v>0</v>
      </c>
      <c r="P98" s="24">
        <f>IF(O97&gt;0,ROUND(P97+ROUND(ROUND(P97*100,0)*ROUND(M$7*10000,0)/12000000,0)/100+0.02,2),0)</f>
        <v>0</v>
      </c>
      <c r="Q98" s="24">
        <f>IF(S97&gt;0,IF(AND(ROUND(S97+R98-ROUND(Q$6+IF(Q$5=$C98,$E$5+$E98,0),2),2)&gt;0,ROUND(S97+R98-ROUND(Q$6+IF(Q$5=$C98,$E$5+$E98,0),2),2)&lt;=T98,ROUND(S97+R98-ROUND(Q$6+IF(Q$5=$C98,$E$5+$E98,0),2),2)*10&lt;=ROUND(Q$6+IF(Q$5=$C98,$E$5+$E98,0),2)),ROUND(S97+R98,2),MIN(ROUND(Q$6+IF(Q$5=$C98,$E$5+$E98,0),2),ROUND(S97+R98,2))),0)</f>
        <v>0</v>
      </c>
      <c r="R98" s="24">
        <f>IF(S97&gt;0,ROUND(ROUND(S97*100,0)*ROUND(Q$7*10000,0)/12000000,0)/100,0)</f>
        <v>0</v>
      </c>
      <c r="S98" s="24">
        <f>IF(S97&gt;0,ROUND(S97+R98-Q98,2),0)</f>
        <v>0</v>
      </c>
      <c r="T98" s="24">
        <f>IF(S97&gt;0,ROUND(T97+ROUND(ROUND(T97*100,0)*ROUND(Q$7*10000,0)/12000000,0)/100+0.02,2),0)</f>
        <v>0</v>
      </c>
      <c r="U98" s="24">
        <f>IF(W97&gt;0,IF(AND(ROUND(W97+V98-ROUND(U$6+IF(U$5=$C98,$E$5+$E98,0),2),2)&gt;0,ROUND(W97+V98-ROUND(U$6+IF(U$5=$C98,$E$5+$E98,0),2),2)&lt;=X98,ROUND(W97+V98-ROUND(U$6+IF(U$5=$C98,$E$5+$E98,0),2),2)*10&lt;=ROUND(U$6+IF(U$5=$C98,$E$5+$E98,0),2)),ROUND(W97+V98,2),MIN(ROUND(U$6+IF(U$5=$C98,$E$5+$E98,0),2),ROUND(W97+V98,2))),0)</f>
        <v>0</v>
      </c>
      <c r="V98" s="24">
        <f>IF(W97&gt;0,ROUND(ROUND(W97*100,0)*ROUND(U$7*10000,0)/12000000,0)/100,0)</f>
        <v>0</v>
      </c>
      <c r="W98" s="24">
        <f>IF(W97&gt;0,ROUND(W97+V98-U98,2),0)</f>
        <v>0</v>
      </c>
      <c r="X98" s="24">
        <f>IF(W97&gt;0,ROUND(X97+ROUND(ROUND(X97*100,0)*ROUND(U$7*10000,0)/12000000,0)/100+0.02,2),0)</f>
        <v>0</v>
      </c>
      <c r="Y98" s="24">
        <f>IF(AA97&gt;0,IF(AND(ROUND(AA97+Z98-ROUND(Y$6+IF(Y$5=$C98,$E$5+$E98,0),2),2)&gt;0,ROUND(AA97+Z98-ROUND(Y$6+IF(Y$5=$C98,$E$5+$E98,0),2),2)&lt;=AB98,ROUND(AA97+Z98-ROUND(Y$6+IF(Y$5=$C98,$E$5+$E98,0),2),2)*10&lt;=ROUND(Y$6+IF(Y$5=$C98,$E$5+$E98,0),2)),ROUND(AA97+Z98,2),MIN(ROUND(Y$6+IF(Y$5=$C98,$E$5+$E98,0),2),ROUND(AA97+Z98,2))),0)</f>
        <v>0</v>
      </c>
      <c r="Z98" s="24">
        <f>IF(AA97&gt;0,ROUND(ROUND(AA97*100,0)*ROUND(Y$7*10000,0)/12000000,0)/100,0)</f>
        <v>0</v>
      </c>
      <c r="AA98" s="24">
        <f>IF(AA97&gt;0,ROUND(AA97+Z98-Y98,2),0)</f>
        <v>0</v>
      </c>
      <c r="AB98" s="24">
        <f>IF(AA97&gt;0,ROUND(AB97+ROUND(ROUND(AB97*100,0)*ROUND(Y$7*10000,0)/12000000,0)/100+0.02,2),0)</f>
        <v>0</v>
      </c>
      <c r="AC98" s="24">
        <f>IF(AE97&gt;0,IF(AND(ROUND(AE97+AD98-ROUND(AC$6+IF(AC$5=$C98,$E$5+$E98,0),2),2)&gt;0,ROUND(AE97+AD98-ROUND(AC$6+IF(AC$5=$C98,$E$5+$E98,0),2),2)&lt;=AF98,ROUND(AE97+AD98-ROUND(AC$6+IF(AC$5=$C98,$E$5+$E98,0),2),2)*10&lt;=ROUND(AC$6+IF(AC$5=$C98,$E$5+$E98,0),2)),ROUND(AE97+AD98,2),MIN(ROUND(AC$6+IF(AC$5=$C98,$E$5+$E98,0),2),ROUND(AE97+AD98,2))),0)</f>
        <v>0</v>
      </c>
      <c r="AD98" s="24">
        <f>IF(AE97&gt;0,ROUND(ROUND(AE97*100,0)*ROUND(AC$7*10000,0)/12000000,0)/100,0)</f>
        <v>0</v>
      </c>
      <c r="AE98" s="24">
        <f>IF(AE97&gt;0,ROUND(AE97+AD98-AC98,2),0)</f>
        <v>0</v>
      </c>
      <c r="AF98" s="24">
        <f>IF(AE97&gt;0,ROUND(AF97+ROUND(ROUND(AF97*100,0)*ROUND(AC$7*10000,0)/12000000,0)/100+0.02,2),0)</f>
        <v>0</v>
      </c>
      <c r="AG98" s="24">
        <f>IF(AI97&gt;0,IF(AND(ROUND(AI97+AH98-ROUND(AG$6+IF(AG$5=$C98,$E$5+$E98,0),2),2)&gt;0,ROUND(AI97+AH98-ROUND(AG$6+IF(AG$5=$C98,$E$5+$E98,0),2),2)&lt;=AJ98,ROUND(AI97+AH98-ROUND(AG$6+IF(AG$5=$C98,$E$5+$E98,0),2),2)*10&lt;=ROUND(AG$6+IF(AG$5=$C98,$E$5+$E98,0),2)),ROUND(AI97+AH98,2),MIN(ROUND(AG$6+IF(AG$5=$C98,$E$5+$E98,0),2),ROUND(AI97+AH98,2))),0)</f>
        <v>0</v>
      </c>
      <c r="AH98" s="24">
        <f>IF(AI97&gt;0,ROUND(ROUND(AI97*100,0)*ROUND(AG$7*10000,0)/12000000,0)/100,0)</f>
        <v>0</v>
      </c>
      <c r="AI98" s="24">
        <f>IF(AI97&gt;0,ROUND(AI97+AH98-AG98,2),0)</f>
        <v>0</v>
      </c>
      <c r="AJ98" s="24">
        <f>IF(AI97&gt;0,ROUND(AJ97+ROUND(ROUND(AJ97*100,0)*ROUND(AG$7*10000,0)/12000000,0)/100+0.02,2),0)</f>
        <v>0</v>
      </c>
      <c r="AK98" s="24">
        <f>IF(AM97&gt;0,IF(AND(ROUND(AM97+AL98-ROUND(AK$6+IF(AK$5=$C98,$E$5+$E98,0),2),2)&gt;0,ROUND(AM97+AL98-ROUND(AK$6+IF(AK$5=$C98,$E$5+$E98,0),2),2)&lt;=AN98,ROUND(AM97+AL98-ROUND(AK$6+IF(AK$5=$C98,$E$5+$E98,0),2),2)*10&lt;=ROUND(AK$6+IF(AK$5=$C98,$E$5+$E98,0),2)),ROUND(AM97+AL98,2),MIN(ROUND(AK$6+IF(AK$5=$C98,$E$5+$E98,0),2),ROUND(AM97+AL98,2))),0)</f>
        <v>0</v>
      </c>
      <c r="AL98" s="24">
        <f>IF(AM97&gt;0,ROUND(ROUND(AM97*100,0)*ROUND(AK$7*10000,0)/12000000,0)/100,0)</f>
        <v>0</v>
      </c>
      <c r="AM98" s="24">
        <f>IF(AM97&gt;0,ROUND(AM97+AL98-AK98,2),0)</f>
        <v>0</v>
      </c>
      <c r="AN98" s="24">
        <f>IF(AM97&gt;0,ROUND(AN97+ROUND(ROUND(AN97*100,0)*ROUND(AK$7*10000,0)/12000000,0)/100+0.02,2),0)</f>
        <v>0</v>
      </c>
      <c r="AO98" s="24">
        <f>IF(AQ97&gt;0,IF(AND(ROUND(AQ97+AP98-ROUND(AO$6+IF(AO$5=$C98,$E$5+$E98,0),2),2)&gt;0,ROUND(AQ97+AP98-ROUND(AO$6+IF(AO$5=$C98,$E$5+$E98,0),2),2)&lt;=AR98,ROUND(AQ97+AP98-ROUND(AO$6+IF(AO$5=$C98,$E$5+$E98,0),2),2)*10&lt;=ROUND(AO$6+IF(AO$5=$C98,$E$5+$E98,0),2)),ROUND(AQ97+AP98,2),MIN(ROUND(AO$6+IF(AO$5=$C98,$E$5+$E98,0),2),ROUND(AQ97+AP98,2))),0)</f>
        <v>0</v>
      </c>
      <c r="AP98" s="24">
        <f>IF(AQ97&gt;0,ROUND(ROUND(AQ97*100,0)*ROUND(AO$7*10000,0)/12000000,0)/100,0)</f>
        <v>0</v>
      </c>
      <c r="AQ98" s="24">
        <f>IF(AQ97&gt;0,ROUND(AQ97+AP98-AO98,2),0)</f>
        <v>0</v>
      </c>
      <c r="AR98" s="24">
        <f>IF(AQ97&gt;0,ROUND(AR97+ROUND(ROUND(AR97*100,0)*ROUND(AO$7*10000,0)/12000000,0)/100+0.02,2),0)</f>
        <v>0</v>
      </c>
      <c r="AS98" s="24">
        <f>IF(AU97&gt;0,IF(AND(ROUND(AU97+AT98-ROUND(AS$6+IF(AS$5=$C98,$E$5+$E98,0),2),2)&gt;0,ROUND(AU97+AT98-ROUND(AS$6+IF(AS$5=$C98,$E$5+$E98,0),2),2)&lt;=AV98,ROUND(AU97+AT98-ROUND(AS$6+IF(AS$5=$C98,$E$5+$E98,0),2),2)*10&lt;=ROUND(AS$6+IF(AS$5=$C98,$E$5+$E98,0),2)),ROUND(AU97+AT98,2),MIN(ROUND(AS$6+IF(AS$5=$C98,$E$5+$E98,0),2),ROUND(AU97+AT98,2))),0)</f>
        <v>0</v>
      </c>
      <c r="AT98" s="24">
        <f>IF(AU97&gt;0,ROUND(ROUND(AU97*100,0)*ROUND(AS$7*10000,0)/12000000,0)/100,0)</f>
        <v>0</v>
      </c>
      <c r="AU98" s="24">
        <f>IF(AU97&gt;0,ROUND(AU97+AT98-AS98,2),0)</f>
        <v>0</v>
      </c>
      <c r="AV98" s="24">
        <f>IF(AU97&gt;0,ROUND(AV97+ROUND(ROUND(AV97*100,0)*ROUND(AS$7*10000,0)/12000000,0)/100+0.02,2),0)</f>
        <v>0</v>
      </c>
    </row>
    <row r="99" spans="1:48" x14ac:dyDescent="0.25">
      <c r="A99" s="17" t="str">
        <f>IF(F99&gt;0,89,"")</f>
        <v/>
      </c>
      <c r="B99" s="18" t="str">
        <f>IF(F99&gt;0,EDATE($E$6,89),"")</f>
        <v/>
      </c>
      <c r="C99" s="21">
        <f>IF(H98&gt;0,MIN(IF(K98&gt;0,I$5,99),IF(O98&gt;0,M$5,99),IF(S98&gt;0,Q$5,99),IF(W98&gt;0,U$5,99),IF(AA98&gt;0,Y$5,99),IF(AE98&gt;0,AC$5,99),IF(AI98&gt;0,AG$5,99),IF(AM98&gt;0,AK$5,99),IF(AQ98&gt;0,AO$5,99),IF(AU98&gt;0,AS$5,99)),0)</f>
        <v>0</v>
      </c>
      <c r="D99" t="str">
        <f>IF(C99&gt;0,INDEX($I$4:$AV$4,1,MATCH(C99,$I$5:$AV$5,0)),"")</f>
        <v/>
      </c>
      <c r="E99" s="24">
        <f>ROUND(IF(AND(I$8&gt;0,K98=0),I$6,0)+IF(AND(M$8&gt;0,O98=0),M$6,0)+IF(AND(Q$8&gt;0,S98=0),Q$6,0)+IF(AND(U$8&gt;0,W98=0),U$6,0)+IF(AND(Y$8&gt;0,AA98=0),Y$6,0)+IF(AND(AC$8&gt;0,AE98=0),AC$6,0)+IF(AND(AG$8&gt;0,AI98=0),AG$6,0)+IF(AND(AK$8&gt;0,AM98=0),AK$6,0)+IF(AND(AO$8&gt;0,AQ98=0),AO$6,0)+IF(AND(AS$8&gt;0,AU98=0),AS$6,0),2)</f>
        <v>325</v>
      </c>
      <c r="F99" s="24">
        <f>ROUND(I99+M99+Q99+U99+Y99+AC99+AG99+AK99+AO99+AS99,2)</f>
        <v>0</v>
      </c>
      <c r="G99" s="24">
        <f>ROUND(J99+N99+R99+V99+Z99+AD99+AH99+AL99+AP99+AT99,2)</f>
        <v>0</v>
      </c>
      <c r="H99" s="24">
        <f>ROUND(K99+O99+S99+W99+AA99+AE99+AI99+AM99+AQ99+AU99,2)</f>
        <v>0</v>
      </c>
      <c r="I99" s="24">
        <f>IF(K98&gt;0,IF(AND(ROUND(K98+J99-ROUND(I$6+IF(I$5=$C99,$E$5+$E99,0),2),2)&gt;0,ROUND(K98+J99-ROUND(I$6+IF(I$5=$C99,$E$5+$E99,0),2),2)&lt;=L99,ROUND(K98+J99-ROUND(I$6+IF(I$5=$C99,$E$5+$E99,0),2),2)*10&lt;=ROUND(I$6+IF(I$5=$C99,$E$5+$E99,0),2)),ROUND(K98+J99,2),MIN(ROUND(I$6+IF(I$5=$C99,$E$5+$E99,0),2),ROUND(K98+J99,2))),0)</f>
        <v>0</v>
      </c>
      <c r="J99" s="24">
        <f>IF(K98&gt;0,ROUND(ROUND(K98*100,0)*ROUND(I$7*10000,0)/12000000,0)/100,0)</f>
        <v>0</v>
      </c>
      <c r="K99" s="24">
        <f>IF(K98&gt;0,ROUND(K98+J99-I99,2),0)</f>
        <v>0</v>
      </c>
      <c r="L99" s="24">
        <f>IF(K98&gt;0,ROUND(L98+ROUND(ROUND(L98*100,0)*ROUND(I$7*10000,0)/12000000,0)/100+0.02,2),0)</f>
        <v>0</v>
      </c>
      <c r="M99" s="24">
        <f>IF(O98&gt;0,IF(AND(ROUND(O98+N99-ROUND(M$6+IF(M$5=$C99,$E$5+$E99,0),2),2)&gt;0,ROUND(O98+N99-ROUND(M$6+IF(M$5=$C99,$E$5+$E99,0),2),2)&lt;=P99,ROUND(O98+N99-ROUND(M$6+IF(M$5=$C99,$E$5+$E99,0),2),2)*10&lt;=ROUND(M$6+IF(M$5=$C99,$E$5+$E99,0),2)),ROUND(O98+N99,2),MIN(ROUND(M$6+IF(M$5=$C99,$E$5+$E99,0),2),ROUND(O98+N99,2))),0)</f>
        <v>0</v>
      </c>
      <c r="N99" s="24">
        <f>IF(O98&gt;0,ROUND(ROUND(O98*100,0)*ROUND(M$7*10000,0)/12000000,0)/100,0)</f>
        <v>0</v>
      </c>
      <c r="O99" s="24">
        <f>IF(O98&gt;0,ROUND(O98+N99-M99,2),0)</f>
        <v>0</v>
      </c>
      <c r="P99" s="24">
        <f>IF(O98&gt;0,ROUND(P98+ROUND(ROUND(P98*100,0)*ROUND(M$7*10000,0)/12000000,0)/100+0.02,2),0)</f>
        <v>0</v>
      </c>
      <c r="Q99" s="24">
        <f>IF(S98&gt;0,IF(AND(ROUND(S98+R99-ROUND(Q$6+IF(Q$5=$C99,$E$5+$E99,0),2),2)&gt;0,ROUND(S98+R99-ROUND(Q$6+IF(Q$5=$C99,$E$5+$E99,0),2),2)&lt;=T99,ROUND(S98+R99-ROUND(Q$6+IF(Q$5=$C99,$E$5+$E99,0),2),2)*10&lt;=ROUND(Q$6+IF(Q$5=$C99,$E$5+$E99,0),2)),ROUND(S98+R99,2),MIN(ROUND(Q$6+IF(Q$5=$C99,$E$5+$E99,0),2),ROUND(S98+R99,2))),0)</f>
        <v>0</v>
      </c>
      <c r="R99" s="24">
        <f>IF(S98&gt;0,ROUND(ROUND(S98*100,0)*ROUND(Q$7*10000,0)/12000000,0)/100,0)</f>
        <v>0</v>
      </c>
      <c r="S99" s="24">
        <f>IF(S98&gt;0,ROUND(S98+R99-Q99,2),0)</f>
        <v>0</v>
      </c>
      <c r="T99" s="24">
        <f>IF(S98&gt;0,ROUND(T98+ROUND(ROUND(T98*100,0)*ROUND(Q$7*10000,0)/12000000,0)/100+0.02,2),0)</f>
        <v>0</v>
      </c>
      <c r="U99" s="24">
        <f>IF(W98&gt;0,IF(AND(ROUND(W98+V99-ROUND(U$6+IF(U$5=$C99,$E$5+$E99,0),2),2)&gt;0,ROUND(W98+V99-ROUND(U$6+IF(U$5=$C99,$E$5+$E99,0),2),2)&lt;=X99,ROUND(W98+V99-ROUND(U$6+IF(U$5=$C99,$E$5+$E99,0),2),2)*10&lt;=ROUND(U$6+IF(U$5=$C99,$E$5+$E99,0),2)),ROUND(W98+V99,2),MIN(ROUND(U$6+IF(U$5=$C99,$E$5+$E99,0),2),ROUND(W98+V99,2))),0)</f>
        <v>0</v>
      </c>
      <c r="V99" s="24">
        <f>IF(W98&gt;0,ROUND(ROUND(W98*100,0)*ROUND(U$7*10000,0)/12000000,0)/100,0)</f>
        <v>0</v>
      </c>
      <c r="W99" s="24">
        <f>IF(W98&gt;0,ROUND(W98+V99-U99,2),0)</f>
        <v>0</v>
      </c>
      <c r="X99" s="24">
        <f>IF(W98&gt;0,ROUND(X98+ROUND(ROUND(X98*100,0)*ROUND(U$7*10000,0)/12000000,0)/100+0.02,2),0)</f>
        <v>0</v>
      </c>
      <c r="Y99" s="24">
        <f>IF(AA98&gt;0,IF(AND(ROUND(AA98+Z99-ROUND(Y$6+IF(Y$5=$C99,$E$5+$E99,0),2),2)&gt;0,ROUND(AA98+Z99-ROUND(Y$6+IF(Y$5=$C99,$E$5+$E99,0),2),2)&lt;=AB99,ROUND(AA98+Z99-ROUND(Y$6+IF(Y$5=$C99,$E$5+$E99,0),2),2)*10&lt;=ROUND(Y$6+IF(Y$5=$C99,$E$5+$E99,0),2)),ROUND(AA98+Z99,2),MIN(ROUND(Y$6+IF(Y$5=$C99,$E$5+$E99,0),2),ROUND(AA98+Z99,2))),0)</f>
        <v>0</v>
      </c>
      <c r="Z99" s="24">
        <f>IF(AA98&gt;0,ROUND(ROUND(AA98*100,0)*ROUND(Y$7*10000,0)/12000000,0)/100,0)</f>
        <v>0</v>
      </c>
      <c r="AA99" s="24">
        <f>IF(AA98&gt;0,ROUND(AA98+Z99-Y99,2),0)</f>
        <v>0</v>
      </c>
      <c r="AB99" s="24">
        <f>IF(AA98&gt;0,ROUND(AB98+ROUND(ROUND(AB98*100,0)*ROUND(Y$7*10000,0)/12000000,0)/100+0.02,2),0)</f>
        <v>0</v>
      </c>
      <c r="AC99" s="24">
        <f>IF(AE98&gt;0,IF(AND(ROUND(AE98+AD99-ROUND(AC$6+IF(AC$5=$C99,$E$5+$E99,0),2),2)&gt;0,ROUND(AE98+AD99-ROUND(AC$6+IF(AC$5=$C99,$E$5+$E99,0),2),2)&lt;=AF99,ROUND(AE98+AD99-ROUND(AC$6+IF(AC$5=$C99,$E$5+$E99,0),2),2)*10&lt;=ROUND(AC$6+IF(AC$5=$C99,$E$5+$E99,0),2)),ROUND(AE98+AD99,2),MIN(ROUND(AC$6+IF(AC$5=$C99,$E$5+$E99,0),2),ROUND(AE98+AD99,2))),0)</f>
        <v>0</v>
      </c>
      <c r="AD99" s="24">
        <f>IF(AE98&gt;0,ROUND(ROUND(AE98*100,0)*ROUND(AC$7*10000,0)/12000000,0)/100,0)</f>
        <v>0</v>
      </c>
      <c r="AE99" s="24">
        <f>IF(AE98&gt;0,ROUND(AE98+AD99-AC99,2),0)</f>
        <v>0</v>
      </c>
      <c r="AF99" s="24">
        <f>IF(AE98&gt;0,ROUND(AF98+ROUND(ROUND(AF98*100,0)*ROUND(AC$7*10000,0)/12000000,0)/100+0.02,2),0)</f>
        <v>0</v>
      </c>
      <c r="AG99" s="24">
        <f>IF(AI98&gt;0,IF(AND(ROUND(AI98+AH99-ROUND(AG$6+IF(AG$5=$C99,$E$5+$E99,0),2),2)&gt;0,ROUND(AI98+AH99-ROUND(AG$6+IF(AG$5=$C99,$E$5+$E99,0),2),2)&lt;=AJ99,ROUND(AI98+AH99-ROUND(AG$6+IF(AG$5=$C99,$E$5+$E99,0),2),2)*10&lt;=ROUND(AG$6+IF(AG$5=$C99,$E$5+$E99,0),2)),ROUND(AI98+AH99,2),MIN(ROUND(AG$6+IF(AG$5=$C99,$E$5+$E99,0),2),ROUND(AI98+AH99,2))),0)</f>
        <v>0</v>
      </c>
      <c r="AH99" s="24">
        <f>IF(AI98&gt;0,ROUND(ROUND(AI98*100,0)*ROUND(AG$7*10000,0)/12000000,0)/100,0)</f>
        <v>0</v>
      </c>
      <c r="AI99" s="24">
        <f>IF(AI98&gt;0,ROUND(AI98+AH99-AG99,2),0)</f>
        <v>0</v>
      </c>
      <c r="AJ99" s="24">
        <f>IF(AI98&gt;0,ROUND(AJ98+ROUND(ROUND(AJ98*100,0)*ROUND(AG$7*10000,0)/12000000,0)/100+0.02,2),0)</f>
        <v>0</v>
      </c>
      <c r="AK99" s="24">
        <f>IF(AM98&gt;0,IF(AND(ROUND(AM98+AL99-ROUND(AK$6+IF(AK$5=$C99,$E$5+$E99,0),2),2)&gt;0,ROUND(AM98+AL99-ROUND(AK$6+IF(AK$5=$C99,$E$5+$E99,0),2),2)&lt;=AN99,ROUND(AM98+AL99-ROUND(AK$6+IF(AK$5=$C99,$E$5+$E99,0),2),2)*10&lt;=ROUND(AK$6+IF(AK$5=$C99,$E$5+$E99,0),2)),ROUND(AM98+AL99,2),MIN(ROUND(AK$6+IF(AK$5=$C99,$E$5+$E99,0),2),ROUND(AM98+AL99,2))),0)</f>
        <v>0</v>
      </c>
      <c r="AL99" s="24">
        <f>IF(AM98&gt;0,ROUND(ROUND(AM98*100,0)*ROUND(AK$7*10000,0)/12000000,0)/100,0)</f>
        <v>0</v>
      </c>
      <c r="AM99" s="24">
        <f>IF(AM98&gt;0,ROUND(AM98+AL99-AK99,2),0)</f>
        <v>0</v>
      </c>
      <c r="AN99" s="24">
        <f>IF(AM98&gt;0,ROUND(AN98+ROUND(ROUND(AN98*100,0)*ROUND(AK$7*10000,0)/12000000,0)/100+0.02,2),0)</f>
        <v>0</v>
      </c>
      <c r="AO99" s="24">
        <f>IF(AQ98&gt;0,IF(AND(ROUND(AQ98+AP99-ROUND(AO$6+IF(AO$5=$C99,$E$5+$E99,0),2),2)&gt;0,ROUND(AQ98+AP99-ROUND(AO$6+IF(AO$5=$C99,$E$5+$E99,0),2),2)&lt;=AR99,ROUND(AQ98+AP99-ROUND(AO$6+IF(AO$5=$C99,$E$5+$E99,0),2),2)*10&lt;=ROUND(AO$6+IF(AO$5=$C99,$E$5+$E99,0),2)),ROUND(AQ98+AP99,2),MIN(ROUND(AO$6+IF(AO$5=$C99,$E$5+$E99,0),2),ROUND(AQ98+AP99,2))),0)</f>
        <v>0</v>
      </c>
      <c r="AP99" s="24">
        <f>IF(AQ98&gt;0,ROUND(ROUND(AQ98*100,0)*ROUND(AO$7*10000,0)/12000000,0)/100,0)</f>
        <v>0</v>
      </c>
      <c r="AQ99" s="24">
        <f>IF(AQ98&gt;0,ROUND(AQ98+AP99-AO99,2),0)</f>
        <v>0</v>
      </c>
      <c r="AR99" s="24">
        <f>IF(AQ98&gt;0,ROUND(AR98+ROUND(ROUND(AR98*100,0)*ROUND(AO$7*10000,0)/12000000,0)/100+0.02,2),0)</f>
        <v>0</v>
      </c>
      <c r="AS99" s="24">
        <f>IF(AU98&gt;0,IF(AND(ROUND(AU98+AT99-ROUND(AS$6+IF(AS$5=$C99,$E$5+$E99,0),2),2)&gt;0,ROUND(AU98+AT99-ROUND(AS$6+IF(AS$5=$C99,$E$5+$E99,0),2),2)&lt;=AV99,ROUND(AU98+AT99-ROUND(AS$6+IF(AS$5=$C99,$E$5+$E99,0),2),2)*10&lt;=ROUND(AS$6+IF(AS$5=$C99,$E$5+$E99,0),2)),ROUND(AU98+AT99,2),MIN(ROUND(AS$6+IF(AS$5=$C99,$E$5+$E99,0),2),ROUND(AU98+AT99,2))),0)</f>
        <v>0</v>
      </c>
      <c r="AT99" s="24">
        <f>IF(AU98&gt;0,ROUND(ROUND(AU98*100,0)*ROUND(AS$7*10000,0)/12000000,0)/100,0)</f>
        <v>0</v>
      </c>
      <c r="AU99" s="24">
        <f>IF(AU98&gt;0,ROUND(AU98+AT99-AS99,2),0)</f>
        <v>0</v>
      </c>
      <c r="AV99" s="24">
        <f>IF(AU98&gt;0,ROUND(AV98+ROUND(ROUND(AV98*100,0)*ROUND(AS$7*10000,0)/12000000,0)/100+0.02,2),0)</f>
        <v>0</v>
      </c>
    </row>
    <row r="100" spans="1:48" x14ac:dyDescent="0.25">
      <c r="A100" s="17" t="str">
        <f>IF(F100&gt;0,90,"")</f>
        <v/>
      </c>
      <c r="B100" s="18" t="str">
        <f>IF(F100&gt;0,EDATE($E$6,90),"")</f>
        <v/>
      </c>
      <c r="C100" s="21">
        <f>IF(H99&gt;0,MIN(IF(K99&gt;0,I$5,99),IF(O99&gt;0,M$5,99),IF(S99&gt;0,Q$5,99),IF(W99&gt;0,U$5,99),IF(AA99&gt;0,Y$5,99),IF(AE99&gt;0,AC$5,99),IF(AI99&gt;0,AG$5,99),IF(AM99&gt;0,AK$5,99),IF(AQ99&gt;0,AO$5,99),IF(AU99&gt;0,AS$5,99)),0)</f>
        <v>0</v>
      </c>
      <c r="D100" t="str">
        <f>IF(C100&gt;0,INDEX($I$4:$AV$4,1,MATCH(C100,$I$5:$AV$5,0)),"")</f>
        <v/>
      </c>
      <c r="E100" s="24">
        <f>ROUND(IF(AND(I$8&gt;0,K99=0),I$6,0)+IF(AND(M$8&gt;0,O99=0),M$6,0)+IF(AND(Q$8&gt;0,S99=0),Q$6,0)+IF(AND(U$8&gt;0,W99=0),U$6,0)+IF(AND(Y$8&gt;0,AA99=0),Y$6,0)+IF(AND(AC$8&gt;0,AE99=0),AC$6,0)+IF(AND(AG$8&gt;0,AI99=0),AG$6,0)+IF(AND(AK$8&gt;0,AM99=0),AK$6,0)+IF(AND(AO$8&gt;0,AQ99=0),AO$6,0)+IF(AND(AS$8&gt;0,AU99=0),AS$6,0),2)</f>
        <v>325</v>
      </c>
      <c r="F100" s="24">
        <f>ROUND(I100+M100+Q100+U100+Y100+AC100+AG100+AK100+AO100+AS100,2)</f>
        <v>0</v>
      </c>
      <c r="G100" s="24">
        <f>ROUND(J100+N100+R100+V100+Z100+AD100+AH100+AL100+AP100+AT100,2)</f>
        <v>0</v>
      </c>
      <c r="H100" s="24">
        <f>ROUND(K100+O100+S100+W100+AA100+AE100+AI100+AM100+AQ100+AU100,2)</f>
        <v>0</v>
      </c>
      <c r="I100" s="24">
        <f>IF(K99&gt;0,IF(AND(ROUND(K99+J100-ROUND(I$6+IF(I$5=$C100,$E$5+$E100,0),2),2)&gt;0,ROUND(K99+J100-ROUND(I$6+IF(I$5=$C100,$E$5+$E100,0),2),2)&lt;=L100,ROUND(K99+J100-ROUND(I$6+IF(I$5=$C100,$E$5+$E100,0),2),2)*10&lt;=ROUND(I$6+IF(I$5=$C100,$E$5+$E100,0),2)),ROUND(K99+J100,2),MIN(ROUND(I$6+IF(I$5=$C100,$E$5+$E100,0),2),ROUND(K99+J100,2))),0)</f>
        <v>0</v>
      </c>
      <c r="J100" s="24">
        <f>IF(K99&gt;0,ROUND(ROUND(K99*100,0)*ROUND(I$7*10000,0)/12000000,0)/100,0)</f>
        <v>0</v>
      </c>
      <c r="K100" s="24">
        <f>IF(K99&gt;0,ROUND(K99+J100-I100,2),0)</f>
        <v>0</v>
      </c>
      <c r="L100" s="24">
        <f>IF(K99&gt;0,ROUND(L99+ROUND(ROUND(L99*100,0)*ROUND(I$7*10000,0)/12000000,0)/100+0.02,2),0)</f>
        <v>0</v>
      </c>
      <c r="M100" s="24">
        <f>IF(O99&gt;0,IF(AND(ROUND(O99+N100-ROUND(M$6+IF(M$5=$C100,$E$5+$E100,0),2),2)&gt;0,ROUND(O99+N100-ROUND(M$6+IF(M$5=$C100,$E$5+$E100,0),2),2)&lt;=P100,ROUND(O99+N100-ROUND(M$6+IF(M$5=$C100,$E$5+$E100,0),2),2)*10&lt;=ROUND(M$6+IF(M$5=$C100,$E$5+$E100,0),2)),ROUND(O99+N100,2),MIN(ROUND(M$6+IF(M$5=$C100,$E$5+$E100,0),2),ROUND(O99+N100,2))),0)</f>
        <v>0</v>
      </c>
      <c r="N100" s="24">
        <f>IF(O99&gt;0,ROUND(ROUND(O99*100,0)*ROUND(M$7*10000,0)/12000000,0)/100,0)</f>
        <v>0</v>
      </c>
      <c r="O100" s="24">
        <f>IF(O99&gt;0,ROUND(O99+N100-M100,2),0)</f>
        <v>0</v>
      </c>
      <c r="P100" s="24">
        <f>IF(O99&gt;0,ROUND(P99+ROUND(ROUND(P99*100,0)*ROUND(M$7*10000,0)/12000000,0)/100+0.02,2),0)</f>
        <v>0</v>
      </c>
      <c r="Q100" s="24">
        <f>IF(S99&gt;0,IF(AND(ROUND(S99+R100-ROUND(Q$6+IF(Q$5=$C100,$E$5+$E100,0),2),2)&gt;0,ROUND(S99+R100-ROUND(Q$6+IF(Q$5=$C100,$E$5+$E100,0),2),2)&lt;=T100,ROUND(S99+R100-ROUND(Q$6+IF(Q$5=$C100,$E$5+$E100,0),2),2)*10&lt;=ROUND(Q$6+IF(Q$5=$C100,$E$5+$E100,0),2)),ROUND(S99+R100,2),MIN(ROUND(Q$6+IF(Q$5=$C100,$E$5+$E100,0),2),ROUND(S99+R100,2))),0)</f>
        <v>0</v>
      </c>
      <c r="R100" s="24">
        <f>IF(S99&gt;0,ROUND(ROUND(S99*100,0)*ROUND(Q$7*10000,0)/12000000,0)/100,0)</f>
        <v>0</v>
      </c>
      <c r="S100" s="24">
        <f>IF(S99&gt;0,ROUND(S99+R100-Q100,2),0)</f>
        <v>0</v>
      </c>
      <c r="T100" s="24">
        <f>IF(S99&gt;0,ROUND(T99+ROUND(ROUND(T99*100,0)*ROUND(Q$7*10000,0)/12000000,0)/100+0.02,2),0)</f>
        <v>0</v>
      </c>
      <c r="U100" s="24">
        <f>IF(W99&gt;0,IF(AND(ROUND(W99+V100-ROUND(U$6+IF(U$5=$C100,$E$5+$E100,0),2),2)&gt;0,ROUND(W99+V100-ROUND(U$6+IF(U$5=$C100,$E$5+$E100,0),2),2)&lt;=X100,ROUND(W99+V100-ROUND(U$6+IF(U$5=$C100,$E$5+$E100,0),2),2)*10&lt;=ROUND(U$6+IF(U$5=$C100,$E$5+$E100,0),2)),ROUND(W99+V100,2),MIN(ROUND(U$6+IF(U$5=$C100,$E$5+$E100,0),2),ROUND(W99+V100,2))),0)</f>
        <v>0</v>
      </c>
      <c r="V100" s="24">
        <f>IF(W99&gt;0,ROUND(ROUND(W99*100,0)*ROUND(U$7*10000,0)/12000000,0)/100,0)</f>
        <v>0</v>
      </c>
      <c r="W100" s="24">
        <f>IF(W99&gt;0,ROUND(W99+V100-U100,2),0)</f>
        <v>0</v>
      </c>
      <c r="X100" s="24">
        <f>IF(W99&gt;0,ROUND(X99+ROUND(ROUND(X99*100,0)*ROUND(U$7*10000,0)/12000000,0)/100+0.02,2),0)</f>
        <v>0</v>
      </c>
      <c r="Y100" s="24">
        <f>IF(AA99&gt;0,IF(AND(ROUND(AA99+Z100-ROUND(Y$6+IF(Y$5=$C100,$E$5+$E100,0),2),2)&gt;0,ROUND(AA99+Z100-ROUND(Y$6+IF(Y$5=$C100,$E$5+$E100,0),2),2)&lt;=AB100,ROUND(AA99+Z100-ROUND(Y$6+IF(Y$5=$C100,$E$5+$E100,0),2),2)*10&lt;=ROUND(Y$6+IF(Y$5=$C100,$E$5+$E100,0),2)),ROUND(AA99+Z100,2),MIN(ROUND(Y$6+IF(Y$5=$C100,$E$5+$E100,0),2),ROUND(AA99+Z100,2))),0)</f>
        <v>0</v>
      </c>
      <c r="Z100" s="24">
        <f>IF(AA99&gt;0,ROUND(ROUND(AA99*100,0)*ROUND(Y$7*10000,0)/12000000,0)/100,0)</f>
        <v>0</v>
      </c>
      <c r="AA100" s="24">
        <f>IF(AA99&gt;0,ROUND(AA99+Z100-Y100,2),0)</f>
        <v>0</v>
      </c>
      <c r="AB100" s="24">
        <f>IF(AA99&gt;0,ROUND(AB99+ROUND(ROUND(AB99*100,0)*ROUND(Y$7*10000,0)/12000000,0)/100+0.02,2),0)</f>
        <v>0</v>
      </c>
      <c r="AC100" s="24">
        <f>IF(AE99&gt;0,IF(AND(ROUND(AE99+AD100-ROUND(AC$6+IF(AC$5=$C100,$E$5+$E100,0),2),2)&gt;0,ROUND(AE99+AD100-ROUND(AC$6+IF(AC$5=$C100,$E$5+$E100,0),2),2)&lt;=AF100,ROUND(AE99+AD100-ROUND(AC$6+IF(AC$5=$C100,$E$5+$E100,0),2),2)*10&lt;=ROUND(AC$6+IF(AC$5=$C100,$E$5+$E100,0),2)),ROUND(AE99+AD100,2),MIN(ROUND(AC$6+IF(AC$5=$C100,$E$5+$E100,0),2),ROUND(AE99+AD100,2))),0)</f>
        <v>0</v>
      </c>
      <c r="AD100" s="24">
        <f>IF(AE99&gt;0,ROUND(ROUND(AE99*100,0)*ROUND(AC$7*10000,0)/12000000,0)/100,0)</f>
        <v>0</v>
      </c>
      <c r="AE100" s="24">
        <f>IF(AE99&gt;0,ROUND(AE99+AD100-AC100,2),0)</f>
        <v>0</v>
      </c>
      <c r="AF100" s="24">
        <f>IF(AE99&gt;0,ROUND(AF99+ROUND(ROUND(AF99*100,0)*ROUND(AC$7*10000,0)/12000000,0)/100+0.02,2),0)</f>
        <v>0</v>
      </c>
      <c r="AG100" s="24">
        <f>IF(AI99&gt;0,IF(AND(ROUND(AI99+AH100-ROUND(AG$6+IF(AG$5=$C100,$E$5+$E100,0),2),2)&gt;0,ROUND(AI99+AH100-ROUND(AG$6+IF(AG$5=$C100,$E$5+$E100,0),2),2)&lt;=AJ100,ROUND(AI99+AH100-ROUND(AG$6+IF(AG$5=$C100,$E$5+$E100,0),2),2)*10&lt;=ROUND(AG$6+IF(AG$5=$C100,$E$5+$E100,0),2)),ROUND(AI99+AH100,2),MIN(ROUND(AG$6+IF(AG$5=$C100,$E$5+$E100,0),2),ROUND(AI99+AH100,2))),0)</f>
        <v>0</v>
      </c>
      <c r="AH100" s="24">
        <f>IF(AI99&gt;0,ROUND(ROUND(AI99*100,0)*ROUND(AG$7*10000,0)/12000000,0)/100,0)</f>
        <v>0</v>
      </c>
      <c r="AI100" s="24">
        <f>IF(AI99&gt;0,ROUND(AI99+AH100-AG100,2),0)</f>
        <v>0</v>
      </c>
      <c r="AJ100" s="24">
        <f>IF(AI99&gt;0,ROUND(AJ99+ROUND(ROUND(AJ99*100,0)*ROUND(AG$7*10000,0)/12000000,0)/100+0.02,2),0)</f>
        <v>0</v>
      </c>
      <c r="AK100" s="24">
        <f>IF(AM99&gt;0,IF(AND(ROUND(AM99+AL100-ROUND(AK$6+IF(AK$5=$C100,$E$5+$E100,0),2),2)&gt;0,ROUND(AM99+AL100-ROUND(AK$6+IF(AK$5=$C100,$E$5+$E100,0),2),2)&lt;=AN100,ROUND(AM99+AL100-ROUND(AK$6+IF(AK$5=$C100,$E$5+$E100,0),2),2)*10&lt;=ROUND(AK$6+IF(AK$5=$C100,$E$5+$E100,0),2)),ROUND(AM99+AL100,2),MIN(ROUND(AK$6+IF(AK$5=$C100,$E$5+$E100,0),2),ROUND(AM99+AL100,2))),0)</f>
        <v>0</v>
      </c>
      <c r="AL100" s="24">
        <f>IF(AM99&gt;0,ROUND(ROUND(AM99*100,0)*ROUND(AK$7*10000,0)/12000000,0)/100,0)</f>
        <v>0</v>
      </c>
      <c r="AM100" s="24">
        <f>IF(AM99&gt;0,ROUND(AM99+AL100-AK100,2),0)</f>
        <v>0</v>
      </c>
      <c r="AN100" s="24">
        <f>IF(AM99&gt;0,ROUND(AN99+ROUND(ROUND(AN99*100,0)*ROUND(AK$7*10000,0)/12000000,0)/100+0.02,2),0)</f>
        <v>0</v>
      </c>
      <c r="AO100" s="24">
        <f>IF(AQ99&gt;0,IF(AND(ROUND(AQ99+AP100-ROUND(AO$6+IF(AO$5=$C100,$E$5+$E100,0),2),2)&gt;0,ROUND(AQ99+AP100-ROUND(AO$6+IF(AO$5=$C100,$E$5+$E100,0),2),2)&lt;=AR100,ROUND(AQ99+AP100-ROUND(AO$6+IF(AO$5=$C100,$E$5+$E100,0),2),2)*10&lt;=ROUND(AO$6+IF(AO$5=$C100,$E$5+$E100,0),2)),ROUND(AQ99+AP100,2),MIN(ROUND(AO$6+IF(AO$5=$C100,$E$5+$E100,0),2),ROUND(AQ99+AP100,2))),0)</f>
        <v>0</v>
      </c>
      <c r="AP100" s="24">
        <f>IF(AQ99&gt;0,ROUND(ROUND(AQ99*100,0)*ROUND(AO$7*10000,0)/12000000,0)/100,0)</f>
        <v>0</v>
      </c>
      <c r="AQ100" s="24">
        <f>IF(AQ99&gt;0,ROUND(AQ99+AP100-AO100,2),0)</f>
        <v>0</v>
      </c>
      <c r="AR100" s="24">
        <f>IF(AQ99&gt;0,ROUND(AR99+ROUND(ROUND(AR99*100,0)*ROUND(AO$7*10000,0)/12000000,0)/100+0.02,2),0)</f>
        <v>0</v>
      </c>
      <c r="AS100" s="24">
        <f>IF(AU99&gt;0,IF(AND(ROUND(AU99+AT100-ROUND(AS$6+IF(AS$5=$C100,$E$5+$E100,0),2),2)&gt;0,ROUND(AU99+AT100-ROUND(AS$6+IF(AS$5=$C100,$E$5+$E100,0),2),2)&lt;=AV100,ROUND(AU99+AT100-ROUND(AS$6+IF(AS$5=$C100,$E$5+$E100,0),2),2)*10&lt;=ROUND(AS$6+IF(AS$5=$C100,$E$5+$E100,0),2)),ROUND(AU99+AT100,2),MIN(ROUND(AS$6+IF(AS$5=$C100,$E$5+$E100,0),2),ROUND(AU99+AT100,2))),0)</f>
        <v>0</v>
      </c>
      <c r="AT100" s="24">
        <f>IF(AU99&gt;0,ROUND(ROUND(AU99*100,0)*ROUND(AS$7*10000,0)/12000000,0)/100,0)</f>
        <v>0</v>
      </c>
      <c r="AU100" s="24">
        <f>IF(AU99&gt;0,ROUND(AU99+AT100-AS100,2),0)</f>
        <v>0</v>
      </c>
      <c r="AV100" s="24">
        <f>IF(AU99&gt;0,ROUND(AV99+ROUND(ROUND(AV99*100,0)*ROUND(AS$7*10000,0)/12000000,0)/100+0.02,2),0)</f>
        <v>0</v>
      </c>
    </row>
    <row r="101" spans="1:48" x14ac:dyDescent="0.25">
      <c r="A101" s="17" t="str">
        <f>IF(F101&gt;0,91,"")</f>
        <v/>
      </c>
      <c r="B101" s="18" t="str">
        <f>IF(F101&gt;0,EDATE($E$6,91),"")</f>
        <v/>
      </c>
      <c r="C101" s="21">
        <f>IF(H100&gt;0,MIN(IF(K100&gt;0,I$5,99),IF(O100&gt;0,M$5,99),IF(S100&gt;0,Q$5,99),IF(W100&gt;0,U$5,99),IF(AA100&gt;0,Y$5,99),IF(AE100&gt;0,AC$5,99),IF(AI100&gt;0,AG$5,99),IF(AM100&gt;0,AK$5,99),IF(AQ100&gt;0,AO$5,99),IF(AU100&gt;0,AS$5,99)),0)</f>
        <v>0</v>
      </c>
      <c r="D101" t="str">
        <f>IF(C101&gt;0,INDEX($I$4:$AV$4,1,MATCH(C101,$I$5:$AV$5,0)),"")</f>
        <v/>
      </c>
      <c r="E101" s="24">
        <f>ROUND(IF(AND(I$8&gt;0,K100=0),I$6,0)+IF(AND(M$8&gt;0,O100=0),M$6,0)+IF(AND(Q$8&gt;0,S100=0),Q$6,0)+IF(AND(U$8&gt;0,W100=0),U$6,0)+IF(AND(Y$8&gt;0,AA100=0),Y$6,0)+IF(AND(AC$8&gt;0,AE100=0),AC$6,0)+IF(AND(AG$8&gt;0,AI100=0),AG$6,0)+IF(AND(AK$8&gt;0,AM100=0),AK$6,0)+IF(AND(AO$8&gt;0,AQ100=0),AO$6,0)+IF(AND(AS$8&gt;0,AU100=0),AS$6,0),2)</f>
        <v>325</v>
      </c>
      <c r="F101" s="24">
        <f>ROUND(I101+M101+Q101+U101+Y101+AC101+AG101+AK101+AO101+AS101,2)</f>
        <v>0</v>
      </c>
      <c r="G101" s="24">
        <f>ROUND(J101+N101+R101+V101+Z101+AD101+AH101+AL101+AP101+AT101,2)</f>
        <v>0</v>
      </c>
      <c r="H101" s="24">
        <f>ROUND(K101+O101+S101+W101+AA101+AE101+AI101+AM101+AQ101+AU101,2)</f>
        <v>0</v>
      </c>
      <c r="I101" s="24">
        <f>IF(K100&gt;0,IF(AND(ROUND(K100+J101-ROUND(I$6+IF(I$5=$C101,$E$5+$E101,0),2),2)&gt;0,ROUND(K100+J101-ROUND(I$6+IF(I$5=$C101,$E$5+$E101,0),2),2)&lt;=L101,ROUND(K100+J101-ROUND(I$6+IF(I$5=$C101,$E$5+$E101,0),2),2)*10&lt;=ROUND(I$6+IF(I$5=$C101,$E$5+$E101,0),2)),ROUND(K100+J101,2),MIN(ROUND(I$6+IF(I$5=$C101,$E$5+$E101,0),2),ROUND(K100+J101,2))),0)</f>
        <v>0</v>
      </c>
      <c r="J101" s="24">
        <f>IF(K100&gt;0,ROUND(ROUND(K100*100,0)*ROUND(I$7*10000,0)/12000000,0)/100,0)</f>
        <v>0</v>
      </c>
      <c r="K101" s="24">
        <f>IF(K100&gt;0,ROUND(K100+J101-I101,2),0)</f>
        <v>0</v>
      </c>
      <c r="L101" s="24">
        <f>IF(K100&gt;0,ROUND(L100+ROUND(ROUND(L100*100,0)*ROUND(I$7*10000,0)/12000000,0)/100+0.02,2),0)</f>
        <v>0</v>
      </c>
      <c r="M101" s="24">
        <f>IF(O100&gt;0,IF(AND(ROUND(O100+N101-ROUND(M$6+IF(M$5=$C101,$E$5+$E101,0),2),2)&gt;0,ROUND(O100+N101-ROUND(M$6+IF(M$5=$C101,$E$5+$E101,0),2),2)&lt;=P101,ROUND(O100+N101-ROUND(M$6+IF(M$5=$C101,$E$5+$E101,0),2),2)*10&lt;=ROUND(M$6+IF(M$5=$C101,$E$5+$E101,0),2)),ROUND(O100+N101,2),MIN(ROUND(M$6+IF(M$5=$C101,$E$5+$E101,0),2),ROUND(O100+N101,2))),0)</f>
        <v>0</v>
      </c>
      <c r="N101" s="24">
        <f>IF(O100&gt;0,ROUND(ROUND(O100*100,0)*ROUND(M$7*10000,0)/12000000,0)/100,0)</f>
        <v>0</v>
      </c>
      <c r="O101" s="24">
        <f>IF(O100&gt;0,ROUND(O100+N101-M101,2),0)</f>
        <v>0</v>
      </c>
      <c r="P101" s="24">
        <f>IF(O100&gt;0,ROUND(P100+ROUND(ROUND(P100*100,0)*ROUND(M$7*10000,0)/12000000,0)/100+0.02,2),0)</f>
        <v>0</v>
      </c>
      <c r="Q101" s="24">
        <f>IF(S100&gt;0,IF(AND(ROUND(S100+R101-ROUND(Q$6+IF(Q$5=$C101,$E$5+$E101,0),2),2)&gt;0,ROUND(S100+R101-ROUND(Q$6+IF(Q$5=$C101,$E$5+$E101,0),2),2)&lt;=T101,ROUND(S100+R101-ROUND(Q$6+IF(Q$5=$C101,$E$5+$E101,0),2),2)*10&lt;=ROUND(Q$6+IF(Q$5=$C101,$E$5+$E101,0),2)),ROUND(S100+R101,2),MIN(ROUND(Q$6+IF(Q$5=$C101,$E$5+$E101,0),2),ROUND(S100+R101,2))),0)</f>
        <v>0</v>
      </c>
      <c r="R101" s="24">
        <f>IF(S100&gt;0,ROUND(ROUND(S100*100,0)*ROUND(Q$7*10000,0)/12000000,0)/100,0)</f>
        <v>0</v>
      </c>
      <c r="S101" s="24">
        <f>IF(S100&gt;0,ROUND(S100+R101-Q101,2),0)</f>
        <v>0</v>
      </c>
      <c r="T101" s="24">
        <f>IF(S100&gt;0,ROUND(T100+ROUND(ROUND(T100*100,0)*ROUND(Q$7*10000,0)/12000000,0)/100+0.02,2),0)</f>
        <v>0</v>
      </c>
      <c r="U101" s="24">
        <f>IF(W100&gt;0,IF(AND(ROUND(W100+V101-ROUND(U$6+IF(U$5=$C101,$E$5+$E101,0),2),2)&gt;0,ROUND(W100+V101-ROUND(U$6+IF(U$5=$C101,$E$5+$E101,0),2),2)&lt;=X101,ROUND(W100+V101-ROUND(U$6+IF(U$5=$C101,$E$5+$E101,0),2),2)*10&lt;=ROUND(U$6+IF(U$5=$C101,$E$5+$E101,0),2)),ROUND(W100+V101,2),MIN(ROUND(U$6+IF(U$5=$C101,$E$5+$E101,0),2),ROUND(W100+V101,2))),0)</f>
        <v>0</v>
      </c>
      <c r="V101" s="24">
        <f>IF(W100&gt;0,ROUND(ROUND(W100*100,0)*ROUND(U$7*10000,0)/12000000,0)/100,0)</f>
        <v>0</v>
      </c>
      <c r="W101" s="24">
        <f>IF(W100&gt;0,ROUND(W100+V101-U101,2),0)</f>
        <v>0</v>
      </c>
      <c r="X101" s="24">
        <f>IF(W100&gt;0,ROUND(X100+ROUND(ROUND(X100*100,0)*ROUND(U$7*10000,0)/12000000,0)/100+0.02,2),0)</f>
        <v>0</v>
      </c>
      <c r="Y101" s="24">
        <f>IF(AA100&gt;0,IF(AND(ROUND(AA100+Z101-ROUND(Y$6+IF(Y$5=$C101,$E$5+$E101,0),2),2)&gt;0,ROUND(AA100+Z101-ROUND(Y$6+IF(Y$5=$C101,$E$5+$E101,0),2),2)&lt;=AB101,ROUND(AA100+Z101-ROUND(Y$6+IF(Y$5=$C101,$E$5+$E101,0),2),2)*10&lt;=ROUND(Y$6+IF(Y$5=$C101,$E$5+$E101,0),2)),ROUND(AA100+Z101,2),MIN(ROUND(Y$6+IF(Y$5=$C101,$E$5+$E101,0),2),ROUND(AA100+Z101,2))),0)</f>
        <v>0</v>
      </c>
      <c r="Z101" s="24">
        <f>IF(AA100&gt;0,ROUND(ROUND(AA100*100,0)*ROUND(Y$7*10000,0)/12000000,0)/100,0)</f>
        <v>0</v>
      </c>
      <c r="AA101" s="24">
        <f>IF(AA100&gt;0,ROUND(AA100+Z101-Y101,2),0)</f>
        <v>0</v>
      </c>
      <c r="AB101" s="24">
        <f>IF(AA100&gt;0,ROUND(AB100+ROUND(ROUND(AB100*100,0)*ROUND(Y$7*10000,0)/12000000,0)/100+0.02,2),0)</f>
        <v>0</v>
      </c>
      <c r="AC101" s="24">
        <f>IF(AE100&gt;0,IF(AND(ROUND(AE100+AD101-ROUND(AC$6+IF(AC$5=$C101,$E$5+$E101,0),2),2)&gt;0,ROUND(AE100+AD101-ROUND(AC$6+IF(AC$5=$C101,$E$5+$E101,0),2),2)&lt;=AF101,ROUND(AE100+AD101-ROUND(AC$6+IF(AC$5=$C101,$E$5+$E101,0),2),2)*10&lt;=ROUND(AC$6+IF(AC$5=$C101,$E$5+$E101,0),2)),ROUND(AE100+AD101,2),MIN(ROUND(AC$6+IF(AC$5=$C101,$E$5+$E101,0),2),ROUND(AE100+AD101,2))),0)</f>
        <v>0</v>
      </c>
      <c r="AD101" s="24">
        <f>IF(AE100&gt;0,ROUND(ROUND(AE100*100,0)*ROUND(AC$7*10000,0)/12000000,0)/100,0)</f>
        <v>0</v>
      </c>
      <c r="AE101" s="24">
        <f>IF(AE100&gt;0,ROUND(AE100+AD101-AC101,2),0)</f>
        <v>0</v>
      </c>
      <c r="AF101" s="24">
        <f>IF(AE100&gt;0,ROUND(AF100+ROUND(ROUND(AF100*100,0)*ROUND(AC$7*10000,0)/12000000,0)/100+0.02,2),0)</f>
        <v>0</v>
      </c>
      <c r="AG101" s="24">
        <f>IF(AI100&gt;0,IF(AND(ROUND(AI100+AH101-ROUND(AG$6+IF(AG$5=$C101,$E$5+$E101,0),2),2)&gt;0,ROUND(AI100+AH101-ROUND(AG$6+IF(AG$5=$C101,$E$5+$E101,0),2),2)&lt;=AJ101,ROUND(AI100+AH101-ROUND(AG$6+IF(AG$5=$C101,$E$5+$E101,0),2),2)*10&lt;=ROUND(AG$6+IF(AG$5=$C101,$E$5+$E101,0),2)),ROUND(AI100+AH101,2),MIN(ROUND(AG$6+IF(AG$5=$C101,$E$5+$E101,0),2),ROUND(AI100+AH101,2))),0)</f>
        <v>0</v>
      </c>
      <c r="AH101" s="24">
        <f>IF(AI100&gt;0,ROUND(ROUND(AI100*100,0)*ROUND(AG$7*10000,0)/12000000,0)/100,0)</f>
        <v>0</v>
      </c>
      <c r="AI101" s="24">
        <f>IF(AI100&gt;0,ROUND(AI100+AH101-AG101,2),0)</f>
        <v>0</v>
      </c>
      <c r="AJ101" s="24">
        <f>IF(AI100&gt;0,ROUND(AJ100+ROUND(ROUND(AJ100*100,0)*ROUND(AG$7*10000,0)/12000000,0)/100+0.02,2),0)</f>
        <v>0</v>
      </c>
      <c r="AK101" s="24">
        <f>IF(AM100&gt;0,IF(AND(ROUND(AM100+AL101-ROUND(AK$6+IF(AK$5=$C101,$E$5+$E101,0),2),2)&gt;0,ROUND(AM100+AL101-ROUND(AK$6+IF(AK$5=$C101,$E$5+$E101,0),2),2)&lt;=AN101,ROUND(AM100+AL101-ROUND(AK$6+IF(AK$5=$C101,$E$5+$E101,0),2),2)*10&lt;=ROUND(AK$6+IF(AK$5=$C101,$E$5+$E101,0),2)),ROUND(AM100+AL101,2),MIN(ROUND(AK$6+IF(AK$5=$C101,$E$5+$E101,0),2),ROUND(AM100+AL101,2))),0)</f>
        <v>0</v>
      </c>
      <c r="AL101" s="24">
        <f>IF(AM100&gt;0,ROUND(ROUND(AM100*100,0)*ROUND(AK$7*10000,0)/12000000,0)/100,0)</f>
        <v>0</v>
      </c>
      <c r="AM101" s="24">
        <f>IF(AM100&gt;0,ROUND(AM100+AL101-AK101,2),0)</f>
        <v>0</v>
      </c>
      <c r="AN101" s="24">
        <f>IF(AM100&gt;0,ROUND(AN100+ROUND(ROUND(AN100*100,0)*ROUND(AK$7*10000,0)/12000000,0)/100+0.02,2),0)</f>
        <v>0</v>
      </c>
      <c r="AO101" s="24">
        <f>IF(AQ100&gt;0,IF(AND(ROUND(AQ100+AP101-ROUND(AO$6+IF(AO$5=$C101,$E$5+$E101,0),2),2)&gt;0,ROUND(AQ100+AP101-ROUND(AO$6+IF(AO$5=$C101,$E$5+$E101,0),2),2)&lt;=AR101,ROUND(AQ100+AP101-ROUND(AO$6+IF(AO$5=$C101,$E$5+$E101,0),2),2)*10&lt;=ROUND(AO$6+IF(AO$5=$C101,$E$5+$E101,0),2)),ROUND(AQ100+AP101,2),MIN(ROUND(AO$6+IF(AO$5=$C101,$E$5+$E101,0),2),ROUND(AQ100+AP101,2))),0)</f>
        <v>0</v>
      </c>
      <c r="AP101" s="24">
        <f>IF(AQ100&gt;0,ROUND(ROUND(AQ100*100,0)*ROUND(AO$7*10000,0)/12000000,0)/100,0)</f>
        <v>0</v>
      </c>
      <c r="AQ101" s="24">
        <f>IF(AQ100&gt;0,ROUND(AQ100+AP101-AO101,2),0)</f>
        <v>0</v>
      </c>
      <c r="AR101" s="24">
        <f>IF(AQ100&gt;0,ROUND(AR100+ROUND(ROUND(AR100*100,0)*ROUND(AO$7*10000,0)/12000000,0)/100+0.02,2),0)</f>
        <v>0</v>
      </c>
      <c r="AS101" s="24">
        <f>IF(AU100&gt;0,IF(AND(ROUND(AU100+AT101-ROUND(AS$6+IF(AS$5=$C101,$E$5+$E101,0),2),2)&gt;0,ROUND(AU100+AT101-ROUND(AS$6+IF(AS$5=$C101,$E$5+$E101,0),2),2)&lt;=AV101,ROUND(AU100+AT101-ROUND(AS$6+IF(AS$5=$C101,$E$5+$E101,0),2),2)*10&lt;=ROUND(AS$6+IF(AS$5=$C101,$E$5+$E101,0),2)),ROUND(AU100+AT101,2),MIN(ROUND(AS$6+IF(AS$5=$C101,$E$5+$E101,0),2),ROUND(AU100+AT101,2))),0)</f>
        <v>0</v>
      </c>
      <c r="AT101" s="24">
        <f>IF(AU100&gt;0,ROUND(ROUND(AU100*100,0)*ROUND(AS$7*10000,0)/12000000,0)/100,0)</f>
        <v>0</v>
      </c>
      <c r="AU101" s="24">
        <f>IF(AU100&gt;0,ROUND(AU100+AT101-AS101,2),0)</f>
        <v>0</v>
      </c>
      <c r="AV101" s="24">
        <f>IF(AU100&gt;0,ROUND(AV100+ROUND(ROUND(AV100*100,0)*ROUND(AS$7*10000,0)/12000000,0)/100+0.02,2),0)</f>
        <v>0</v>
      </c>
    </row>
    <row r="102" spans="1:48" x14ac:dyDescent="0.25">
      <c r="A102" s="17" t="str">
        <f>IF(F102&gt;0,92,"")</f>
        <v/>
      </c>
      <c r="B102" s="18" t="str">
        <f>IF(F102&gt;0,EDATE($E$6,92),"")</f>
        <v/>
      </c>
      <c r="C102" s="21">
        <f>IF(H101&gt;0,MIN(IF(K101&gt;0,I$5,99),IF(O101&gt;0,M$5,99),IF(S101&gt;0,Q$5,99),IF(W101&gt;0,U$5,99),IF(AA101&gt;0,Y$5,99),IF(AE101&gt;0,AC$5,99),IF(AI101&gt;0,AG$5,99),IF(AM101&gt;0,AK$5,99),IF(AQ101&gt;0,AO$5,99),IF(AU101&gt;0,AS$5,99)),0)</f>
        <v>0</v>
      </c>
      <c r="D102" t="str">
        <f>IF(C102&gt;0,INDEX($I$4:$AV$4,1,MATCH(C102,$I$5:$AV$5,0)),"")</f>
        <v/>
      </c>
      <c r="E102" s="24">
        <f>ROUND(IF(AND(I$8&gt;0,K101=0),I$6,0)+IF(AND(M$8&gt;0,O101=0),M$6,0)+IF(AND(Q$8&gt;0,S101=0),Q$6,0)+IF(AND(U$8&gt;0,W101=0),U$6,0)+IF(AND(Y$8&gt;0,AA101=0),Y$6,0)+IF(AND(AC$8&gt;0,AE101=0),AC$6,0)+IF(AND(AG$8&gt;0,AI101=0),AG$6,0)+IF(AND(AK$8&gt;0,AM101=0),AK$6,0)+IF(AND(AO$8&gt;0,AQ101=0),AO$6,0)+IF(AND(AS$8&gt;0,AU101=0),AS$6,0),2)</f>
        <v>325</v>
      </c>
      <c r="F102" s="24">
        <f>ROUND(I102+M102+Q102+U102+Y102+AC102+AG102+AK102+AO102+AS102,2)</f>
        <v>0</v>
      </c>
      <c r="G102" s="24">
        <f>ROUND(J102+N102+R102+V102+Z102+AD102+AH102+AL102+AP102+AT102,2)</f>
        <v>0</v>
      </c>
      <c r="H102" s="24">
        <f>ROUND(K102+O102+S102+W102+AA102+AE102+AI102+AM102+AQ102+AU102,2)</f>
        <v>0</v>
      </c>
      <c r="I102" s="24">
        <f>IF(K101&gt;0,IF(AND(ROUND(K101+J102-ROUND(I$6+IF(I$5=$C102,$E$5+$E102,0),2),2)&gt;0,ROUND(K101+J102-ROUND(I$6+IF(I$5=$C102,$E$5+$E102,0),2),2)&lt;=L102,ROUND(K101+J102-ROUND(I$6+IF(I$5=$C102,$E$5+$E102,0),2),2)*10&lt;=ROUND(I$6+IF(I$5=$C102,$E$5+$E102,0),2)),ROUND(K101+J102,2),MIN(ROUND(I$6+IF(I$5=$C102,$E$5+$E102,0),2),ROUND(K101+J102,2))),0)</f>
        <v>0</v>
      </c>
      <c r="J102" s="24">
        <f>IF(K101&gt;0,ROUND(ROUND(K101*100,0)*ROUND(I$7*10000,0)/12000000,0)/100,0)</f>
        <v>0</v>
      </c>
      <c r="K102" s="24">
        <f>IF(K101&gt;0,ROUND(K101+J102-I102,2),0)</f>
        <v>0</v>
      </c>
      <c r="L102" s="24">
        <f>IF(K101&gt;0,ROUND(L101+ROUND(ROUND(L101*100,0)*ROUND(I$7*10000,0)/12000000,0)/100+0.02,2),0)</f>
        <v>0</v>
      </c>
      <c r="M102" s="24">
        <f>IF(O101&gt;0,IF(AND(ROUND(O101+N102-ROUND(M$6+IF(M$5=$C102,$E$5+$E102,0),2),2)&gt;0,ROUND(O101+N102-ROUND(M$6+IF(M$5=$C102,$E$5+$E102,0),2),2)&lt;=P102,ROUND(O101+N102-ROUND(M$6+IF(M$5=$C102,$E$5+$E102,0),2),2)*10&lt;=ROUND(M$6+IF(M$5=$C102,$E$5+$E102,0),2)),ROUND(O101+N102,2),MIN(ROUND(M$6+IF(M$5=$C102,$E$5+$E102,0),2),ROUND(O101+N102,2))),0)</f>
        <v>0</v>
      </c>
      <c r="N102" s="24">
        <f>IF(O101&gt;0,ROUND(ROUND(O101*100,0)*ROUND(M$7*10000,0)/12000000,0)/100,0)</f>
        <v>0</v>
      </c>
      <c r="O102" s="24">
        <f>IF(O101&gt;0,ROUND(O101+N102-M102,2),0)</f>
        <v>0</v>
      </c>
      <c r="P102" s="24">
        <f>IF(O101&gt;0,ROUND(P101+ROUND(ROUND(P101*100,0)*ROUND(M$7*10000,0)/12000000,0)/100+0.02,2),0)</f>
        <v>0</v>
      </c>
      <c r="Q102" s="24">
        <f>IF(S101&gt;0,IF(AND(ROUND(S101+R102-ROUND(Q$6+IF(Q$5=$C102,$E$5+$E102,0),2),2)&gt;0,ROUND(S101+R102-ROUND(Q$6+IF(Q$5=$C102,$E$5+$E102,0),2),2)&lt;=T102,ROUND(S101+R102-ROUND(Q$6+IF(Q$5=$C102,$E$5+$E102,0),2),2)*10&lt;=ROUND(Q$6+IF(Q$5=$C102,$E$5+$E102,0),2)),ROUND(S101+R102,2),MIN(ROUND(Q$6+IF(Q$5=$C102,$E$5+$E102,0),2),ROUND(S101+R102,2))),0)</f>
        <v>0</v>
      </c>
      <c r="R102" s="24">
        <f>IF(S101&gt;0,ROUND(ROUND(S101*100,0)*ROUND(Q$7*10000,0)/12000000,0)/100,0)</f>
        <v>0</v>
      </c>
      <c r="S102" s="24">
        <f>IF(S101&gt;0,ROUND(S101+R102-Q102,2),0)</f>
        <v>0</v>
      </c>
      <c r="T102" s="24">
        <f>IF(S101&gt;0,ROUND(T101+ROUND(ROUND(T101*100,0)*ROUND(Q$7*10000,0)/12000000,0)/100+0.02,2),0)</f>
        <v>0</v>
      </c>
      <c r="U102" s="24">
        <f>IF(W101&gt;0,IF(AND(ROUND(W101+V102-ROUND(U$6+IF(U$5=$C102,$E$5+$E102,0),2),2)&gt;0,ROUND(W101+V102-ROUND(U$6+IF(U$5=$C102,$E$5+$E102,0),2),2)&lt;=X102,ROUND(W101+V102-ROUND(U$6+IF(U$5=$C102,$E$5+$E102,0),2),2)*10&lt;=ROUND(U$6+IF(U$5=$C102,$E$5+$E102,0),2)),ROUND(W101+V102,2),MIN(ROUND(U$6+IF(U$5=$C102,$E$5+$E102,0),2),ROUND(W101+V102,2))),0)</f>
        <v>0</v>
      </c>
      <c r="V102" s="24">
        <f>IF(W101&gt;0,ROUND(ROUND(W101*100,0)*ROUND(U$7*10000,0)/12000000,0)/100,0)</f>
        <v>0</v>
      </c>
      <c r="W102" s="24">
        <f>IF(W101&gt;0,ROUND(W101+V102-U102,2),0)</f>
        <v>0</v>
      </c>
      <c r="X102" s="24">
        <f>IF(W101&gt;0,ROUND(X101+ROUND(ROUND(X101*100,0)*ROUND(U$7*10000,0)/12000000,0)/100+0.02,2),0)</f>
        <v>0</v>
      </c>
      <c r="Y102" s="24">
        <f>IF(AA101&gt;0,IF(AND(ROUND(AA101+Z102-ROUND(Y$6+IF(Y$5=$C102,$E$5+$E102,0),2),2)&gt;0,ROUND(AA101+Z102-ROUND(Y$6+IF(Y$5=$C102,$E$5+$E102,0),2),2)&lt;=AB102,ROUND(AA101+Z102-ROUND(Y$6+IF(Y$5=$C102,$E$5+$E102,0),2),2)*10&lt;=ROUND(Y$6+IF(Y$5=$C102,$E$5+$E102,0),2)),ROUND(AA101+Z102,2),MIN(ROUND(Y$6+IF(Y$5=$C102,$E$5+$E102,0),2),ROUND(AA101+Z102,2))),0)</f>
        <v>0</v>
      </c>
      <c r="Z102" s="24">
        <f>IF(AA101&gt;0,ROUND(ROUND(AA101*100,0)*ROUND(Y$7*10000,0)/12000000,0)/100,0)</f>
        <v>0</v>
      </c>
      <c r="AA102" s="24">
        <f>IF(AA101&gt;0,ROUND(AA101+Z102-Y102,2),0)</f>
        <v>0</v>
      </c>
      <c r="AB102" s="24">
        <f>IF(AA101&gt;0,ROUND(AB101+ROUND(ROUND(AB101*100,0)*ROUND(Y$7*10000,0)/12000000,0)/100+0.02,2),0)</f>
        <v>0</v>
      </c>
      <c r="AC102" s="24">
        <f>IF(AE101&gt;0,IF(AND(ROUND(AE101+AD102-ROUND(AC$6+IF(AC$5=$C102,$E$5+$E102,0),2),2)&gt;0,ROUND(AE101+AD102-ROUND(AC$6+IF(AC$5=$C102,$E$5+$E102,0),2),2)&lt;=AF102,ROUND(AE101+AD102-ROUND(AC$6+IF(AC$5=$C102,$E$5+$E102,0),2),2)*10&lt;=ROUND(AC$6+IF(AC$5=$C102,$E$5+$E102,0),2)),ROUND(AE101+AD102,2),MIN(ROUND(AC$6+IF(AC$5=$C102,$E$5+$E102,0),2),ROUND(AE101+AD102,2))),0)</f>
        <v>0</v>
      </c>
      <c r="AD102" s="24">
        <f>IF(AE101&gt;0,ROUND(ROUND(AE101*100,0)*ROUND(AC$7*10000,0)/12000000,0)/100,0)</f>
        <v>0</v>
      </c>
      <c r="AE102" s="24">
        <f>IF(AE101&gt;0,ROUND(AE101+AD102-AC102,2),0)</f>
        <v>0</v>
      </c>
      <c r="AF102" s="24">
        <f>IF(AE101&gt;0,ROUND(AF101+ROUND(ROUND(AF101*100,0)*ROUND(AC$7*10000,0)/12000000,0)/100+0.02,2),0)</f>
        <v>0</v>
      </c>
      <c r="AG102" s="24">
        <f>IF(AI101&gt;0,IF(AND(ROUND(AI101+AH102-ROUND(AG$6+IF(AG$5=$C102,$E$5+$E102,0),2),2)&gt;0,ROUND(AI101+AH102-ROUND(AG$6+IF(AG$5=$C102,$E$5+$E102,0),2),2)&lt;=AJ102,ROUND(AI101+AH102-ROUND(AG$6+IF(AG$5=$C102,$E$5+$E102,0),2),2)*10&lt;=ROUND(AG$6+IF(AG$5=$C102,$E$5+$E102,0),2)),ROUND(AI101+AH102,2),MIN(ROUND(AG$6+IF(AG$5=$C102,$E$5+$E102,0),2),ROUND(AI101+AH102,2))),0)</f>
        <v>0</v>
      </c>
      <c r="AH102" s="24">
        <f>IF(AI101&gt;0,ROUND(ROUND(AI101*100,0)*ROUND(AG$7*10000,0)/12000000,0)/100,0)</f>
        <v>0</v>
      </c>
      <c r="AI102" s="24">
        <f>IF(AI101&gt;0,ROUND(AI101+AH102-AG102,2),0)</f>
        <v>0</v>
      </c>
      <c r="AJ102" s="24">
        <f>IF(AI101&gt;0,ROUND(AJ101+ROUND(ROUND(AJ101*100,0)*ROUND(AG$7*10000,0)/12000000,0)/100+0.02,2),0)</f>
        <v>0</v>
      </c>
      <c r="AK102" s="24">
        <f>IF(AM101&gt;0,IF(AND(ROUND(AM101+AL102-ROUND(AK$6+IF(AK$5=$C102,$E$5+$E102,0),2),2)&gt;0,ROUND(AM101+AL102-ROUND(AK$6+IF(AK$5=$C102,$E$5+$E102,0),2),2)&lt;=AN102,ROUND(AM101+AL102-ROUND(AK$6+IF(AK$5=$C102,$E$5+$E102,0),2),2)*10&lt;=ROUND(AK$6+IF(AK$5=$C102,$E$5+$E102,0),2)),ROUND(AM101+AL102,2),MIN(ROUND(AK$6+IF(AK$5=$C102,$E$5+$E102,0),2),ROUND(AM101+AL102,2))),0)</f>
        <v>0</v>
      </c>
      <c r="AL102" s="24">
        <f>IF(AM101&gt;0,ROUND(ROUND(AM101*100,0)*ROUND(AK$7*10000,0)/12000000,0)/100,0)</f>
        <v>0</v>
      </c>
      <c r="AM102" s="24">
        <f>IF(AM101&gt;0,ROUND(AM101+AL102-AK102,2),0)</f>
        <v>0</v>
      </c>
      <c r="AN102" s="24">
        <f>IF(AM101&gt;0,ROUND(AN101+ROUND(ROUND(AN101*100,0)*ROUND(AK$7*10000,0)/12000000,0)/100+0.02,2),0)</f>
        <v>0</v>
      </c>
      <c r="AO102" s="24">
        <f>IF(AQ101&gt;0,IF(AND(ROUND(AQ101+AP102-ROUND(AO$6+IF(AO$5=$C102,$E$5+$E102,0),2),2)&gt;0,ROUND(AQ101+AP102-ROUND(AO$6+IF(AO$5=$C102,$E$5+$E102,0),2),2)&lt;=AR102,ROUND(AQ101+AP102-ROUND(AO$6+IF(AO$5=$C102,$E$5+$E102,0),2),2)*10&lt;=ROUND(AO$6+IF(AO$5=$C102,$E$5+$E102,0),2)),ROUND(AQ101+AP102,2),MIN(ROUND(AO$6+IF(AO$5=$C102,$E$5+$E102,0),2),ROUND(AQ101+AP102,2))),0)</f>
        <v>0</v>
      </c>
      <c r="AP102" s="24">
        <f>IF(AQ101&gt;0,ROUND(ROUND(AQ101*100,0)*ROUND(AO$7*10000,0)/12000000,0)/100,0)</f>
        <v>0</v>
      </c>
      <c r="AQ102" s="24">
        <f>IF(AQ101&gt;0,ROUND(AQ101+AP102-AO102,2),0)</f>
        <v>0</v>
      </c>
      <c r="AR102" s="24">
        <f>IF(AQ101&gt;0,ROUND(AR101+ROUND(ROUND(AR101*100,0)*ROUND(AO$7*10000,0)/12000000,0)/100+0.02,2),0)</f>
        <v>0</v>
      </c>
      <c r="AS102" s="24">
        <f>IF(AU101&gt;0,IF(AND(ROUND(AU101+AT102-ROUND(AS$6+IF(AS$5=$C102,$E$5+$E102,0),2),2)&gt;0,ROUND(AU101+AT102-ROUND(AS$6+IF(AS$5=$C102,$E$5+$E102,0),2),2)&lt;=AV102,ROUND(AU101+AT102-ROUND(AS$6+IF(AS$5=$C102,$E$5+$E102,0),2),2)*10&lt;=ROUND(AS$6+IF(AS$5=$C102,$E$5+$E102,0),2)),ROUND(AU101+AT102,2),MIN(ROUND(AS$6+IF(AS$5=$C102,$E$5+$E102,0),2),ROUND(AU101+AT102,2))),0)</f>
        <v>0</v>
      </c>
      <c r="AT102" s="24">
        <f>IF(AU101&gt;0,ROUND(ROUND(AU101*100,0)*ROUND(AS$7*10000,0)/12000000,0)/100,0)</f>
        <v>0</v>
      </c>
      <c r="AU102" s="24">
        <f>IF(AU101&gt;0,ROUND(AU101+AT102-AS102,2),0)</f>
        <v>0</v>
      </c>
      <c r="AV102" s="24">
        <f>IF(AU101&gt;0,ROUND(AV101+ROUND(ROUND(AV101*100,0)*ROUND(AS$7*10000,0)/12000000,0)/100+0.02,2),0)</f>
        <v>0</v>
      </c>
    </row>
    <row r="103" spans="1:48" x14ac:dyDescent="0.25">
      <c r="A103" s="17" t="str">
        <f>IF(F103&gt;0,93,"")</f>
        <v/>
      </c>
      <c r="B103" s="18" t="str">
        <f>IF(F103&gt;0,EDATE($E$6,93),"")</f>
        <v/>
      </c>
      <c r="C103" s="21">
        <f>IF(H102&gt;0,MIN(IF(K102&gt;0,I$5,99),IF(O102&gt;0,M$5,99),IF(S102&gt;0,Q$5,99),IF(W102&gt;0,U$5,99),IF(AA102&gt;0,Y$5,99),IF(AE102&gt;0,AC$5,99),IF(AI102&gt;0,AG$5,99),IF(AM102&gt;0,AK$5,99),IF(AQ102&gt;0,AO$5,99),IF(AU102&gt;0,AS$5,99)),0)</f>
        <v>0</v>
      </c>
      <c r="D103" t="str">
        <f>IF(C103&gt;0,INDEX($I$4:$AV$4,1,MATCH(C103,$I$5:$AV$5,0)),"")</f>
        <v/>
      </c>
      <c r="E103" s="24">
        <f>ROUND(IF(AND(I$8&gt;0,K102=0),I$6,0)+IF(AND(M$8&gt;0,O102=0),M$6,0)+IF(AND(Q$8&gt;0,S102=0),Q$6,0)+IF(AND(U$8&gt;0,W102=0),U$6,0)+IF(AND(Y$8&gt;0,AA102=0),Y$6,0)+IF(AND(AC$8&gt;0,AE102=0),AC$6,0)+IF(AND(AG$8&gt;0,AI102=0),AG$6,0)+IF(AND(AK$8&gt;0,AM102=0),AK$6,0)+IF(AND(AO$8&gt;0,AQ102=0),AO$6,0)+IF(AND(AS$8&gt;0,AU102=0),AS$6,0),2)</f>
        <v>325</v>
      </c>
      <c r="F103" s="24">
        <f>ROUND(I103+M103+Q103+U103+Y103+AC103+AG103+AK103+AO103+AS103,2)</f>
        <v>0</v>
      </c>
      <c r="G103" s="24">
        <f>ROUND(J103+N103+R103+V103+Z103+AD103+AH103+AL103+AP103+AT103,2)</f>
        <v>0</v>
      </c>
      <c r="H103" s="24">
        <f>ROUND(K103+O103+S103+W103+AA103+AE103+AI103+AM103+AQ103+AU103,2)</f>
        <v>0</v>
      </c>
      <c r="I103" s="24">
        <f>IF(K102&gt;0,IF(AND(ROUND(K102+J103-ROUND(I$6+IF(I$5=$C103,$E$5+$E103,0),2),2)&gt;0,ROUND(K102+J103-ROUND(I$6+IF(I$5=$C103,$E$5+$E103,0),2),2)&lt;=L103,ROUND(K102+J103-ROUND(I$6+IF(I$5=$C103,$E$5+$E103,0),2),2)*10&lt;=ROUND(I$6+IF(I$5=$C103,$E$5+$E103,0),2)),ROUND(K102+J103,2),MIN(ROUND(I$6+IF(I$5=$C103,$E$5+$E103,0),2),ROUND(K102+J103,2))),0)</f>
        <v>0</v>
      </c>
      <c r="J103" s="24">
        <f>IF(K102&gt;0,ROUND(ROUND(K102*100,0)*ROUND(I$7*10000,0)/12000000,0)/100,0)</f>
        <v>0</v>
      </c>
      <c r="K103" s="24">
        <f>IF(K102&gt;0,ROUND(K102+J103-I103,2),0)</f>
        <v>0</v>
      </c>
      <c r="L103" s="24">
        <f>IF(K102&gt;0,ROUND(L102+ROUND(ROUND(L102*100,0)*ROUND(I$7*10000,0)/12000000,0)/100+0.02,2),0)</f>
        <v>0</v>
      </c>
      <c r="M103" s="24">
        <f>IF(O102&gt;0,IF(AND(ROUND(O102+N103-ROUND(M$6+IF(M$5=$C103,$E$5+$E103,0),2),2)&gt;0,ROUND(O102+N103-ROUND(M$6+IF(M$5=$C103,$E$5+$E103,0),2),2)&lt;=P103,ROUND(O102+N103-ROUND(M$6+IF(M$5=$C103,$E$5+$E103,0),2),2)*10&lt;=ROUND(M$6+IF(M$5=$C103,$E$5+$E103,0),2)),ROUND(O102+N103,2),MIN(ROUND(M$6+IF(M$5=$C103,$E$5+$E103,0),2),ROUND(O102+N103,2))),0)</f>
        <v>0</v>
      </c>
      <c r="N103" s="24">
        <f>IF(O102&gt;0,ROUND(ROUND(O102*100,0)*ROUND(M$7*10000,0)/12000000,0)/100,0)</f>
        <v>0</v>
      </c>
      <c r="O103" s="24">
        <f>IF(O102&gt;0,ROUND(O102+N103-M103,2),0)</f>
        <v>0</v>
      </c>
      <c r="P103" s="24">
        <f>IF(O102&gt;0,ROUND(P102+ROUND(ROUND(P102*100,0)*ROUND(M$7*10000,0)/12000000,0)/100+0.02,2),0)</f>
        <v>0</v>
      </c>
      <c r="Q103" s="24">
        <f>IF(S102&gt;0,IF(AND(ROUND(S102+R103-ROUND(Q$6+IF(Q$5=$C103,$E$5+$E103,0),2),2)&gt;0,ROUND(S102+R103-ROUND(Q$6+IF(Q$5=$C103,$E$5+$E103,0),2),2)&lt;=T103,ROUND(S102+R103-ROUND(Q$6+IF(Q$5=$C103,$E$5+$E103,0),2),2)*10&lt;=ROUND(Q$6+IF(Q$5=$C103,$E$5+$E103,0),2)),ROUND(S102+R103,2),MIN(ROUND(Q$6+IF(Q$5=$C103,$E$5+$E103,0),2),ROUND(S102+R103,2))),0)</f>
        <v>0</v>
      </c>
      <c r="R103" s="24">
        <f>IF(S102&gt;0,ROUND(ROUND(S102*100,0)*ROUND(Q$7*10000,0)/12000000,0)/100,0)</f>
        <v>0</v>
      </c>
      <c r="S103" s="24">
        <f>IF(S102&gt;0,ROUND(S102+R103-Q103,2),0)</f>
        <v>0</v>
      </c>
      <c r="T103" s="24">
        <f>IF(S102&gt;0,ROUND(T102+ROUND(ROUND(T102*100,0)*ROUND(Q$7*10000,0)/12000000,0)/100+0.02,2),0)</f>
        <v>0</v>
      </c>
      <c r="U103" s="24">
        <f>IF(W102&gt;0,IF(AND(ROUND(W102+V103-ROUND(U$6+IF(U$5=$C103,$E$5+$E103,0),2),2)&gt;0,ROUND(W102+V103-ROUND(U$6+IF(U$5=$C103,$E$5+$E103,0),2),2)&lt;=X103,ROUND(W102+V103-ROUND(U$6+IF(U$5=$C103,$E$5+$E103,0),2),2)*10&lt;=ROUND(U$6+IF(U$5=$C103,$E$5+$E103,0),2)),ROUND(W102+V103,2),MIN(ROUND(U$6+IF(U$5=$C103,$E$5+$E103,0),2),ROUND(W102+V103,2))),0)</f>
        <v>0</v>
      </c>
      <c r="V103" s="24">
        <f>IF(W102&gt;0,ROUND(ROUND(W102*100,0)*ROUND(U$7*10000,0)/12000000,0)/100,0)</f>
        <v>0</v>
      </c>
      <c r="W103" s="24">
        <f>IF(W102&gt;0,ROUND(W102+V103-U103,2),0)</f>
        <v>0</v>
      </c>
      <c r="X103" s="24">
        <f>IF(W102&gt;0,ROUND(X102+ROUND(ROUND(X102*100,0)*ROUND(U$7*10000,0)/12000000,0)/100+0.02,2),0)</f>
        <v>0</v>
      </c>
      <c r="Y103" s="24">
        <f>IF(AA102&gt;0,IF(AND(ROUND(AA102+Z103-ROUND(Y$6+IF(Y$5=$C103,$E$5+$E103,0),2),2)&gt;0,ROUND(AA102+Z103-ROUND(Y$6+IF(Y$5=$C103,$E$5+$E103,0),2),2)&lt;=AB103,ROUND(AA102+Z103-ROUND(Y$6+IF(Y$5=$C103,$E$5+$E103,0),2),2)*10&lt;=ROUND(Y$6+IF(Y$5=$C103,$E$5+$E103,0),2)),ROUND(AA102+Z103,2),MIN(ROUND(Y$6+IF(Y$5=$C103,$E$5+$E103,0),2),ROUND(AA102+Z103,2))),0)</f>
        <v>0</v>
      </c>
      <c r="Z103" s="24">
        <f>IF(AA102&gt;0,ROUND(ROUND(AA102*100,0)*ROUND(Y$7*10000,0)/12000000,0)/100,0)</f>
        <v>0</v>
      </c>
      <c r="AA103" s="24">
        <f>IF(AA102&gt;0,ROUND(AA102+Z103-Y103,2),0)</f>
        <v>0</v>
      </c>
      <c r="AB103" s="24">
        <f>IF(AA102&gt;0,ROUND(AB102+ROUND(ROUND(AB102*100,0)*ROUND(Y$7*10000,0)/12000000,0)/100+0.02,2),0)</f>
        <v>0</v>
      </c>
      <c r="AC103" s="24">
        <f>IF(AE102&gt;0,IF(AND(ROUND(AE102+AD103-ROUND(AC$6+IF(AC$5=$C103,$E$5+$E103,0),2),2)&gt;0,ROUND(AE102+AD103-ROUND(AC$6+IF(AC$5=$C103,$E$5+$E103,0),2),2)&lt;=AF103,ROUND(AE102+AD103-ROUND(AC$6+IF(AC$5=$C103,$E$5+$E103,0),2),2)*10&lt;=ROUND(AC$6+IF(AC$5=$C103,$E$5+$E103,0),2)),ROUND(AE102+AD103,2),MIN(ROUND(AC$6+IF(AC$5=$C103,$E$5+$E103,0),2),ROUND(AE102+AD103,2))),0)</f>
        <v>0</v>
      </c>
      <c r="AD103" s="24">
        <f>IF(AE102&gt;0,ROUND(ROUND(AE102*100,0)*ROUND(AC$7*10000,0)/12000000,0)/100,0)</f>
        <v>0</v>
      </c>
      <c r="AE103" s="24">
        <f>IF(AE102&gt;0,ROUND(AE102+AD103-AC103,2),0)</f>
        <v>0</v>
      </c>
      <c r="AF103" s="24">
        <f>IF(AE102&gt;0,ROUND(AF102+ROUND(ROUND(AF102*100,0)*ROUND(AC$7*10000,0)/12000000,0)/100+0.02,2),0)</f>
        <v>0</v>
      </c>
      <c r="AG103" s="24">
        <f>IF(AI102&gt;0,IF(AND(ROUND(AI102+AH103-ROUND(AG$6+IF(AG$5=$C103,$E$5+$E103,0),2),2)&gt;0,ROUND(AI102+AH103-ROUND(AG$6+IF(AG$5=$C103,$E$5+$E103,0),2),2)&lt;=AJ103,ROUND(AI102+AH103-ROUND(AG$6+IF(AG$5=$C103,$E$5+$E103,0),2),2)*10&lt;=ROUND(AG$6+IF(AG$5=$C103,$E$5+$E103,0),2)),ROUND(AI102+AH103,2),MIN(ROUND(AG$6+IF(AG$5=$C103,$E$5+$E103,0),2),ROUND(AI102+AH103,2))),0)</f>
        <v>0</v>
      </c>
      <c r="AH103" s="24">
        <f>IF(AI102&gt;0,ROUND(ROUND(AI102*100,0)*ROUND(AG$7*10000,0)/12000000,0)/100,0)</f>
        <v>0</v>
      </c>
      <c r="AI103" s="24">
        <f>IF(AI102&gt;0,ROUND(AI102+AH103-AG103,2),0)</f>
        <v>0</v>
      </c>
      <c r="AJ103" s="24">
        <f>IF(AI102&gt;0,ROUND(AJ102+ROUND(ROUND(AJ102*100,0)*ROUND(AG$7*10000,0)/12000000,0)/100+0.02,2),0)</f>
        <v>0</v>
      </c>
      <c r="AK103" s="24">
        <f>IF(AM102&gt;0,IF(AND(ROUND(AM102+AL103-ROUND(AK$6+IF(AK$5=$C103,$E$5+$E103,0),2),2)&gt;0,ROUND(AM102+AL103-ROUND(AK$6+IF(AK$5=$C103,$E$5+$E103,0),2),2)&lt;=AN103,ROUND(AM102+AL103-ROUND(AK$6+IF(AK$5=$C103,$E$5+$E103,0),2),2)*10&lt;=ROUND(AK$6+IF(AK$5=$C103,$E$5+$E103,0),2)),ROUND(AM102+AL103,2),MIN(ROUND(AK$6+IF(AK$5=$C103,$E$5+$E103,0),2),ROUND(AM102+AL103,2))),0)</f>
        <v>0</v>
      </c>
      <c r="AL103" s="24">
        <f>IF(AM102&gt;0,ROUND(ROUND(AM102*100,0)*ROUND(AK$7*10000,0)/12000000,0)/100,0)</f>
        <v>0</v>
      </c>
      <c r="AM103" s="24">
        <f>IF(AM102&gt;0,ROUND(AM102+AL103-AK103,2),0)</f>
        <v>0</v>
      </c>
      <c r="AN103" s="24">
        <f>IF(AM102&gt;0,ROUND(AN102+ROUND(ROUND(AN102*100,0)*ROUND(AK$7*10000,0)/12000000,0)/100+0.02,2),0)</f>
        <v>0</v>
      </c>
      <c r="AO103" s="24">
        <f>IF(AQ102&gt;0,IF(AND(ROUND(AQ102+AP103-ROUND(AO$6+IF(AO$5=$C103,$E$5+$E103,0),2),2)&gt;0,ROUND(AQ102+AP103-ROUND(AO$6+IF(AO$5=$C103,$E$5+$E103,0),2),2)&lt;=AR103,ROUND(AQ102+AP103-ROUND(AO$6+IF(AO$5=$C103,$E$5+$E103,0),2),2)*10&lt;=ROUND(AO$6+IF(AO$5=$C103,$E$5+$E103,0),2)),ROUND(AQ102+AP103,2),MIN(ROUND(AO$6+IF(AO$5=$C103,$E$5+$E103,0),2),ROUND(AQ102+AP103,2))),0)</f>
        <v>0</v>
      </c>
      <c r="AP103" s="24">
        <f>IF(AQ102&gt;0,ROUND(ROUND(AQ102*100,0)*ROUND(AO$7*10000,0)/12000000,0)/100,0)</f>
        <v>0</v>
      </c>
      <c r="AQ103" s="24">
        <f>IF(AQ102&gt;0,ROUND(AQ102+AP103-AO103,2),0)</f>
        <v>0</v>
      </c>
      <c r="AR103" s="24">
        <f>IF(AQ102&gt;0,ROUND(AR102+ROUND(ROUND(AR102*100,0)*ROUND(AO$7*10000,0)/12000000,0)/100+0.02,2),0)</f>
        <v>0</v>
      </c>
      <c r="AS103" s="24">
        <f>IF(AU102&gt;0,IF(AND(ROUND(AU102+AT103-ROUND(AS$6+IF(AS$5=$C103,$E$5+$E103,0),2),2)&gt;0,ROUND(AU102+AT103-ROUND(AS$6+IF(AS$5=$C103,$E$5+$E103,0),2),2)&lt;=AV103,ROUND(AU102+AT103-ROUND(AS$6+IF(AS$5=$C103,$E$5+$E103,0),2),2)*10&lt;=ROUND(AS$6+IF(AS$5=$C103,$E$5+$E103,0),2)),ROUND(AU102+AT103,2),MIN(ROUND(AS$6+IF(AS$5=$C103,$E$5+$E103,0),2),ROUND(AU102+AT103,2))),0)</f>
        <v>0</v>
      </c>
      <c r="AT103" s="24">
        <f>IF(AU102&gt;0,ROUND(ROUND(AU102*100,0)*ROUND(AS$7*10000,0)/12000000,0)/100,0)</f>
        <v>0</v>
      </c>
      <c r="AU103" s="24">
        <f>IF(AU102&gt;0,ROUND(AU102+AT103-AS103,2),0)</f>
        <v>0</v>
      </c>
      <c r="AV103" s="24">
        <f>IF(AU102&gt;0,ROUND(AV102+ROUND(ROUND(AV102*100,0)*ROUND(AS$7*10000,0)/12000000,0)/100+0.02,2),0)</f>
        <v>0</v>
      </c>
    </row>
    <row r="104" spans="1:48" x14ac:dyDescent="0.25">
      <c r="A104" s="17" t="str">
        <f>IF(F104&gt;0,94,"")</f>
        <v/>
      </c>
      <c r="B104" s="18" t="str">
        <f>IF(F104&gt;0,EDATE($E$6,94),"")</f>
        <v/>
      </c>
      <c r="C104" s="21">
        <f>IF(H103&gt;0,MIN(IF(K103&gt;0,I$5,99),IF(O103&gt;0,M$5,99),IF(S103&gt;0,Q$5,99),IF(W103&gt;0,U$5,99),IF(AA103&gt;0,Y$5,99),IF(AE103&gt;0,AC$5,99),IF(AI103&gt;0,AG$5,99),IF(AM103&gt;0,AK$5,99),IF(AQ103&gt;0,AO$5,99),IF(AU103&gt;0,AS$5,99)),0)</f>
        <v>0</v>
      </c>
      <c r="D104" t="str">
        <f>IF(C104&gt;0,INDEX($I$4:$AV$4,1,MATCH(C104,$I$5:$AV$5,0)),"")</f>
        <v/>
      </c>
      <c r="E104" s="24">
        <f>ROUND(IF(AND(I$8&gt;0,K103=0),I$6,0)+IF(AND(M$8&gt;0,O103=0),M$6,0)+IF(AND(Q$8&gt;0,S103=0),Q$6,0)+IF(AND(U$8&gt;0,W103=0),U$6,0)+IF(AND(Y$8&gt;0,AA103=0),Y$6,0)+IF(AND(AC$8&gt;0,AE103=0),AC$6,0)+IF(AND(AG$8&gt;0,AI103=0),AG$6,0)+IF(AND(AK$8&gt;0,AM103=0),AK$6,0)+IF(AND(AO$8&gt;0,AQ103=0),AO$6,0)+IF(AND(AS$8&gt;0,AU103=0),AS$6,0),2)</f>
        <v>325</v>
      </c>
      <c r="F104" s="24">
        <f>ROUND(I104+M104+Q104+U104+Y104+AC104+AG104+AK104+AO104+AS104,2)</f>
        <v>0</v>
      </c>
      <c r="G104" s="24">
        <f>ROUND(J104+N104+R104+V104+Z104+AD104+AH104+AL104+AP104+AT104,2)</f>
        <v>0</v>
      </c>
      <c r="H104" s="24">
        <f>ROUND(K104+O104+S104+W104+AA104+AE104+AI104+AM104+AQ104+AU104,2)</f>
        <v>0</v>
      </c>
      <c r="I104" s="24">
        <f>IF(K103&gt;0,IF(AND(ROUND(K103+J104-ROUND(I$6+IF(I$5=$C104,$E$5+$E104,0),2),2)&gt;0,ROUND(K103+J104-ROUND(I$6+IF(I$5=$C104,$E$5+$E104,0),2),2)&lt;=L104,ROUND(K103+J104-ROUND(I$6+IF(I$5=$C104,$E$5+$E104,0),2),2)*10&lt;=ROUND(I$6+IF(I$5=$C104,$E$5+$E104,0),2)),ROUND(K103+J104,2),MIN(ROUND(I$6+IF(I$5=$C104,$E$5+$E104,0),2),ROUND(K103+J104,2))),0)</f>
        <v>0</v>
      </c>
      <c r="J104" s="24">
        <f>IF(K103&gt;0,ROUND(ROUND(K103*100,0)*ROUND(I$7*10000,0)/12000000,0)/100,0)</f>
        <v>0</v>
      </c>
      <c r="K104" s="24">
        <f>IF(K103&gt;0,ROUND(K103+J104-I104,2),0)</f>
        <v>0</v>
      </c>
      <c r="L104" s="24">
        <f>IF(K103&gt;0,ROUND(L103+ROUND(ROUND(L103*100,0)*ROUND(I$7*10000,0)/12000000,0)/100+0.02,2),0)</f>
        <v>0</v>
      </c>
      <c r="M104" s="24">
        <f>IF(O103&gt;0,IF(AND(ROUND(O103+N104-ROUND(M$6+IF(M$5=$C104,$E$5+$E104,0),2),2)&gt;0,ROUND(O103+N104-ROUND(M$6+IF(M$5=$C104,$E$5+$E104,0),2),2)&lt;=P104,ROUND(O103+N104-ROUND(M$6+IF(M$5=$C104,$E$5+$E104,0),2),2)*10&lt;=ROUND(M$6+IF(M$5=$C104,$E$5+$E104,0),2)),ROUND(O103+N104,2),MIN(ROUND(M$6+IF(M$5=$C104,$E$5+$E104,0),2),ROUND(O103+N104,2))),0)</f>
        <v>0</v>
      </c>
      <c r="N104" s="24">
        <f>IF(O103&gt;0,ROUND(ROUND(O103*100,0)*ROUND(M$7*10000,0)/12000000,0)/100,0)</f>
        <v>0</v>
      </c>
      <c r="O104" s="24">
        <f>IF(O103&gt;0,ROUND(O103+N104-M104,2),0)</f>
        <v>0</v>
      </c>
      <c r="P104" s="24">
        <f>IF(O103&gt;0,ROUND(P103+ROUND(ROUND(P103*100,0)*ROUND(M$7*10000,0)/12000000,0)/100+0.02,2),0)</f>
        <v>0</v>
      </c>
      <c r="Q104" s="24">
        <f>IF(S103&gt;0,IF(AND(ROUND(S103+R104-ROUND(Q$6+IF(Q$5=$C104,$E$5+$E104,0),2),2)&gt;0,ROUND(S103+R104-ROUND(Q$6+IF(Q$5=$C104,$E$5+$E104,0),2),2)&lt;=T104,ROUND(S103+R104-ROUND(Q$6+IF(Q$5=$C104,$E$5+$E104,0),2),2)*10&lt;=ROUND(Q$6+IF(Q$5=$C104,$E$5+$E104,0),2)),ROUND(S103+R104,2),MIN(ROUND(Q$6+IF(Q$5=$C104,$E$5+$E104,0),2),ROUND(S103+R104,2))),0)</f>
        <v>0</v>
      </c>
      <c r="R104" s="24">
        <f>IF(S103&gt;0,ROUND(ROUND(S103*100,0)*ROUND(Q$7*10000,0)/12000000,0)/100,0)</f>
        <v>0</v>
      </c>
      <c r="S104" s="24">
        <f>IF(S103&gt;0,ROUND(S103+R104-Q104,2),0)</f>
        <v>0</v>
      </c>
      <c r="T104" s="24">
        <f>IF(S103&gt;0,ROUND(T103+ROUND(ROUND(T103*100,0)*ROUND(Q$7*10000,0)/12000000,0)/100+0.02,2),0)</f>
        <v>0</v>
      </c>
      <c r="U104" s="24">
        <f>IF(W103&gt;0,IF(AND(ROUND(W103+V104-ROUND(U$6+IF(U$5=$C104,$E$5+$E104,0),2),2)&gt;0,ROUND(W103+V104-ROUND(U$6+IF(U$5=$C104,$E$5+$E104,0),2),2)&lt;=X104,ROUND(W103+V104-ROUND(U$6+IF(U$5=$C104,$E$5+$E104,0),2),2)*10&lt;=ROUND(U$6+IF(U$5=$C104,$E$5+$E104,0),2)),ROUND(W103+V104,2),MIN(ROUND(U$6+IF(U$5=$C104,$E$5+$E104,0),2),ROUND(W103+V104,2))),0)</f>
        <v>0</v>
      </c>
      <c r="V104" s="24">
        <f>IF(W103&gt;0,ROUND(ROUND(W103*100,0)*ROUND(U$7*10000,0)/12000000,0)/100,0)</f>
        <v>0</v>
      </c>
      <c r="W104" s="24">
        <f>IF(W103&gt;0,ROUND(W103+V104-U104,2),0)</f>
        <v>0</v>
      </c>
      <c r="X104" s="24">
        <f>IF(W103&gt;0,ROUND(X103+ROUND(ROUND(X103*100,0)*ROUND(U$7*10000,0)/12000000,0)/100+0.02,2),0)</f>
        <v>0</v>
      </c>
      <c r="Y104" s="24">
        <f>IF(AA103&gt;0,IF(AND(ROUND(AA103+Z104-ROUND(Y$6+IF(Y$5=$C104,$E$5+$E104,0),2),2)&gt;0,ROUND(AA103+Z104-ROUND(Y$6+IF(Y$5=$C104,$E$5+$E104,0),2),2)&lt;=AB104,ROUND(AA103+Z104-ROUND(Y$6+IF(Y$5=$C104,$E$5+$E104,0),2),2)*10&lt;=ROUND(Y$6+IF(Y$5=$C104,$E$5+$E104,0),2)),ROUND(AA103+Z104,2),MIN(ROUND(Y$6+IF(Y$5=$C104,$E$5+$E104,0),2),ROUND(AA103+Z104,2))),0)</f>
        <v>0</v>
      </c>
      <c r="Z104" s="24">
        <f>IF(AA103&gt;0,ROUND(ROUND(AA103*100,0)*ROUND(Y$7*10000,0)/12000000,0)/100,0)</f>
        <v>0</v>
      </c>
      <c r="AA104" s="24">
        <f>IF(AA103&gt;0,ROUND(AA103+Z104-Y104,2),0)</f>
        <v>0</v>
      </c>
      <c r="AB104" s="24">
        <f>IF(AA103&gt;0,ROUND(AB103+ROUND(ROUND(AB103*100,0)*ROUND(Y$7*10000,0)/12000000,0)/100+0.02,2),0)</f>
        <v>0</v>
      </c>
      <c r="AC104" s="24">
        <f>IF(AE103&gt;0,IF(AND(ROUND(AE103+AD104-ROUND(AC$6+IF(AC$5=$C104,$E$5+$E104,0),2),2)&gt;0,ROUND(AE103+AD104-ROUND(AC$6+IF(AC$5=$C104,$E$5+$E104,0),2),2)&lt;=AF104,ROUND(AE103+AD104-ROUND(AC$6+IF(AC$5=$C104,$E$5+$E104,0),2),2)*10&lt;=ROUND(AC$6+IF(AC$5=$C104,$E$5+$E104,0),2)),ROUND(AE103+AD104,2),MIN(ROUND(AC$6+IF(AC$5=$C104,$E$5+$E104,0),2),ROUND(AE103+AD104,2))),0)</f>
        <v>0</v>
      </c>
      <c r="AD104" s="24">
        <f>IF(AE103&gt;0,ROUND(ROUND(AE103*100,0)*ROUND(AC$7*10000,0)/12000000,0)/100,0)</f>
        <v>0</v>
      </c>
      <c r="AE104" s="24">
        <f>IF(AE103&gt;0,ROUND(AE103+AD104-AC104,2),0)</f>
        <v>0</v>
      </c>
      <c r="AF104" s="24">
        <f>IF(AE103&gt;0,ROUND(AF103+ROUND(ROUND(AF103*100,0)*ROUND(AC$7*10000,0)/12000000,0)/100+0.02,2),0)</f>
        <v>0</v>
      </c>
      <c r="AG104" s="24">
        <f>IF(AI103&gt;0,IF(AND(ROUND(AI103+AH104-ROUND(AG$6+IF(AG$5=$C104,$E$5+$E104,0),2),2)&gt;0,ROUND(AI103+AH104-ROUND(AG$6+IF(AG$5=$C104,$E$5+$E104,0),2),2)&lt;=AJ104,ROUND(AI103+AH104-ROUND(AG$6+IF(AG$5=$C104,$E$5+$E104,0),2),2)*10&lt;=ROUND(AG$6+IF(AG$5=$C104,$E$5+$E104,0),2)),ROUND(AI103+AH104,2),MIN(ROUND(AG$6+IF(AG$5=$C104,$E$5+$E104,0),2),ROUND(AI103+AH104,2))),0)</f>
        <v>0</v>
      </c>
      <c r="AH104" s="24">
        <f>IF(AI103&gt;0,ROUND(ROUND(AI103*100,0)*ROUND(AG$7*10000,0)/12000000,0)/100,0)</f>
        <v>0</v>
      </c>
      <c r="AI104" s="24">
        <f>IF(AI103&gt;0,ROUND(AI103+AH104-AG104,2),0)</f>
        <v>0</v>
      </c>
      <c r="AJ104" s="24">
        <f>IF(AI103&gt;0,ROUND(AJ103+ROUND(ROUND(AJ103*100,0)*ROUND(AG$7*10000,0)/12000000,0)/100+0.02,2),0)</f>
        <v>0</v>
      </c>
      <c r="AK104" s="24">
        <f>IF(AM103&gt;0,IF(AND(ROUND(AM103+AL104-ROUND(AK$6+IF(AK$5=$C104,$E$5+$E104,0),2),2)&gt;0,ROUND(AM103+AL104-ROUND(AK$6+IF(AK$5=$C104,$E$5+$E104,0),2),2)&lt;=AN104,ROUND(AM103+AL104-ROUND(AK$6+IF(AK$5=$C104,$E$5+$E104,0),2),2)*10&lt;=ROUND(AK$6+IF(AK$5=$C104,$E$5+$E104,0),2)),ROUND(AM103+AL104,2),MIN(ROUND(AK$6+IF(AK$5=$C104,$E$5+$E104,0),2),ROUND(AM103+AL104,2))),0)</f>
        <v>0</v>
      </c>
      <c r="AL104" s="24">
        <f>IF(AM103&gt;0,ROUND(ROUND(AM103*100,0)*ROUND(AK$7*10000,0)/12000000,0)/100,0)</f>
        <v>0</v>
      </c>
      <c r="AM104" s="24">
        <f>IF(AM103&gt;0,ROUND(AM103+AL104-AK104,2),0)</f>
        <v>0</v>
      </c>
      <c r="AN104" s="24">
        <f>IF(AM103&gt;0,ROUND(AN103+ROUND(ROUND(AN103*100,0)*ROUND(AK$7*10000,0)/12000000,0)/100+0.02,2),0)</f>
        <v>0</v>
      </c>
      <c r="AO104" s="24">
        <f>IF(AQ103&gt;0,IF(AND(ROUND(AQ103+AP104-ROUND(AO$6+IF(AO$5=$C104,$E$5+$E104,0),2),2)&gt;0,ROUND(AQ103+AP104-ROUND(AO$6+IF(AO$5=$C104,$E$5+$E104,0),2),2)&lt;=AR104,ROUND(AQ103+AP104-ROUND(AO$6+IF(AO$5=$C104,$E$5+$E104,0),2),2)*10&lt;=ROUND(AO$6+IF(AO$5=$C104,$E$5+$E104,0),2)),ROUND(AQ103+AP104,2),MIN(ROUND(AO$6+IF(AO$5=$C104,$E$5+$E104,0),2),ROUND(AQ103+AP104,2))),0)</f>
        <v>0</v>
      </c>
      <c r="AP104" s="24">
        <f>IF(AQ103&gt;0,ROUND(ROUND(AQ103*100,0)*ROUND(AO$7*10000,0)/12000000,0)/100,0)</f>
        <v>0</v>
      </c>
      <c r="AQ104" s="24">
        <f>IF(AQ103&gt;0,ROUND(AQ103+AP104-AO104,2),0)</f>
        <v>0</v>
      </c>
      <c r="AR104" s="24">
        <f>IF(AQ103&gt;0,ROUND(AR103+ROUND(ROUND(AR103*100,0)*ROUND(AO$7*10000,0)/12000000,0)/100+0.02,2),0)</f>
        <v>0</v>
      </c>
      <c r="AS104" s="24">
        <f>IF(AU103&gt;0,IF(AND(ROUND(AU103+AT104-ROUND(AS$6+IF(AS$5=$C104,$E$5+$E104,0),2),2)&gt;0,ROUND(AU103+AT104-ROUND(AS$6+IF(AS$5=$C104,$E$5+$E104,0),2),2)&lt;=AV104,ROUND(AU103+AT104-ROUND(AS$6+IF(AS$5=$C104,$E$5+$E104,0),2),2)*10&lt;=ROUND(AS$6+IF(AS$5=$C104,$E$5+$E104,0),2)),ROUND(AU103+AT104,2),MIN(ROUND(AS$6+IF(AS$5=$C104,$E$5+$E104,0),2),ROUND(AU103+AT104,2))),0)</f>
        <v>0</v>
      </c>
      <c r="AT104" s="24">
        <f>IF(AU103&gt;0,ROUND(ROUND(AU103*100,0)*ROUND(AS$7*10000,0)/12000000,0)/100,0)</f>
        <v>0</v>
      </c>
      <c r="AU104" s="24">
        <f>IF(AU103&gt;0,ROUND(AU103+AT104-AS104,2),0)</f>
        <v>0</v>
      </c>
      <c r="AV104" s="24">
        <f>IF(AU103&gt;0,ROUND(AV103+ROUND(ROUND(AV103*100,0)*ROUND(AS$7*10000,0)/12000000,0)/100+0.02,2),0)</f>
        <v>0</v>
      </c>
    </row>
    <row r="105" spans="1:48" x14ac:dyDescent="0.25">
      <c r="A105" s="17" t="str">
        <f>IF(F105&gt;0,95,"")</f>
        <v/>
      </c>
      <c r="B105" s="18" t="str">
        <f>IF(F105&gt;0,EDATE($E$6,95),"")</f>
        <v/>
      </c>
      <c r="C105" s="21">
        <f>IF(H104&gt;0,MIN(IF(K104&gt;0,I$5,99),IF(O104&gt;0,M$5,99),IF(S104&gt;0,Q$5,99),IF(W104&gt;0,U$5,99),IF(AA104&gt;0,Y$5,99),IF(AE104&gt;0,AC$5,99),IF(AI104&gt;0,AG$5,99),IF(AM104&gt;0,AK$5,99),IF(AQ104&gt;0,AO$5,99),IF(AU104&gt;0,AS$5,99)),0)</f>
        <v>0</v>
      </c>
      <c r="D105" t="str">
        <f>IF(C105&gt;0,INDEX($I$4:$AV$4,1,MATCH(C105,$I$5:$AV$5,0)),"")</f>
        <v/>
      </c>
      <c r="E105" s="24">
        <f>ROUND(IF(AND(I$8&gt;0,K104=0),I$6,0)+IF(AND(M$8&gt;0,O104=0),M$6,0)+IF(AND(Q$8&gt;0,S104=0),Q$6,0)+IF(AND(U$8&gt;0,W104=0),U$6,0)+IF(AND(Y$8&gt;0,AA104=0),Y$6,0)+IF(AND(AC$8&gt;0,AE104=0),AC$6,0)+IF(AND(AG$8&gt;0,AI104=0),AG$6,0)+IF(AND(AK$8&gt;0,AM104=0),AK$6,0)+IF(AND(AO$8&gt;0,AQ104=0),AO$6,0)+IF(AND(AS$8&gt;0,AU104=0),AS$6,0),2)</f>
        <v>325</v>
      </c>
      <c r="F105" s="24">
        <f>ROUND(I105+M105+Q105+U105+Y105+AC105+AG105+AK105+AO105+AS105,2)</f>
        <v>0</v>
      </c>
      <c r="G105" s="24">
        <f>ROUND(J105+N105+R105+V105+Z105+AD105+AH105+AL105+AP105+AT105,2)</f>
        <v>0</v>
      </c>
      <c r="H105" s="24">
        <f>ROUND(K105+O105+S105+W105+AA105+AE105+AI105+AM105+AQ105+AU105,2)</f>
        <v>0</v>
      </c>
      <c r="I105" s="24">
        <f>IF(K104&gt;0,IF(AND(ROUND(K104+J105-ROUND(I$6+IF(I$5=$C105,$E$5+$E105,0),2),2)&gt;0,ROUND(K104+J105-ROUND(I$6+IF(I$5=$C105,$E$5+$E105,0),2),2)&lt;=L105,ROUND(K104+J105-ROUND(I$6+IF(I$5=$C105,$E$5+$E105,0),2),2)*10&lt;=ROUND(I$6+IF(I$5=$C105,$E$5+$E105,0),2)),ROUND(K104+J105,2),MIN(ROUND(I$6+IF(I$5=$C105,$E$5+$E105,0),2),ROUND(K104+J105,2))),0)</f>
        <v>0</v>
      </c>
      <c r="J105" s="24">
        <f>IF(K104&gt;0,ROUND(ROUND(K104*100,0)*ROUND(I$7*10000,0)/12000000,0)/100,0)</f>
        <v>0</v>
      </c>
      <c r="K105" s="24">
        <f>IF(K104&gt;0,ROUND(K104+J105-I105,2),0)</f>
        <v>0</v>
      </c>
      <c r="L105" s="24">
        <f>IF(K104&gt;0,ROUND(L104+ROUND(ROUND(L104*100,0)*ROUND(I$7*10000,0)/12000000,0)/100+0.02,2),0)</f>
        <v>0</v>
      </c>
      <c r="M105" s="24">
        <f>IF(O104&gt;0,IF(AND(ROUND(O104+N105-ROUND(M$6+IF(M$5=$C105,$E$5+$E105,0),2),2)&gt;0,ROUND(O104+N105-ROUND(M$6+IF(M$5=$C105,$E$5+$E105,0),2),2)&lt;=P105,ROUND(O104+N105-ROUND(M$6+IF(M$5=$C105,$E$5+$E105,0),2),2)*10&lt;=ROUND(M$6+IF(M$5=$C105,$E$5+$E105,0),2)),ROUND(O104+N105,2),MIN(ROUND(M$6+IF(M$5=$C105,$E$5+$E105,0),2),ROUND(O104+N105,2))),0)</f>
        <v>0</v>
      </c>
      <c r="N105" s="24">
        <f>IF(O104&gt;0,ROUND(ROUND(O104*100,0)*ROUND(M$7*10000,0)/12000000,0)/100,0)</f>
        <v>0</v>
      </c>
      <c r="O105" s="24">
        <f>IF(O104&gt;0,ROUND(O104+N105-M105,2),0)</f>
        <v>0</v>
      </c>
      <c r="P105" s="24">
        <f>IF(O104&gt;0,ROUND(P104+ROUND(ROUND(P104*100,0)*ROUND(M$7*10000,0)/12000000,0)/100+0.02,2),0)</f>
        <v>0</v>
      </c>
      <c r="Q105" s="24">
        <f>IF(S104&gt;0,IF(AND(ROUND(S104+R105-ROUND(Q$6+IF(Q$5=$C105,$E$5+$E105,0),2),2)&gt;0,ROUND(S104+R105-ROUND(Q$6+IF(Q$5=$C105,$E$5+$E105,0),2),2)&lt;=T105,ROUND(S104+R105-ROUND(Q$6+IF(Q$5=$C105,$E$5+$E105,0),2),2)*10&lt;=ROUND(Q$6+IF(Q$5=$C105,$E$5+$E105,0),2)),ROUND(S104+R105,2),MIN(ROUND(Q$6+IF(Q$5=$C105,$E$5+$E105,0),2),ROUND(S104+R105,2))),0)</f>
        <v>0</v>
      </c>
      <c r="R105" s="24">
        <f>IF(S104&gt;0,ROUND(ROUND(S104*100,0)*ROUND(Q$7*10000,0)/12000000,0)/100,0)</f>
        <v>0</v>
      </c>
      <c r="S105" s="24">
        <f>IF(S104&gt;0,ROUND(S104+R105-Q105,2),0)</f>
        <v>0</v>
      </c>
      <c r="T105" s="24">
        <f>IF(S104&gt;0,ROUND(T104+ROUND(ROUND(T104*100,0)*ROUND(Q$7*10000,0)/12000000,0)/100+0.02,2),0)</f>
        <v>0</v>
      </c>
      <c r="U105" s="24">
        <f>IF(W104&gt;0,IF(AND(ROUND(W104+V105-ROUND(U$6+IF(U$5=$C105,$E$5+$E105,0),2),2)&gt;0,ROUND(W104+V105-ROUND(U$6+IF(U$5=$C105,$E$5+$E105,0),2),2)&lt;=X105,ROUND(W104+V105-ROUND(U$6+IF(U$5=$C105,$E$5+$E105,0),2),2)*10&lt;=ROUND(U$6+IF(U$5=$C105,$E$5+$E105,0),2)),ROUND(W104+V105,2),MIN(ROUND(U$6+IF(U$5=$C105,$E$5+$E105,0),2),ROUND(W104+V105,2))),0)</f>
        <v>0</v>
      </c>
      <c r="V105" s="24">
        <f>IF(W104&gt;0,ROUND(ROUND(W104*100,0)*ROUND(U$7*10000,0)/12000000,0)/100,0)</f>
        <v>0</v>
      </c>
      <c r="W105" s="24">
        <f>IF(W104&gt;0,ROUND(W104+V105-U105,2),0)</f>
        <v>0</v>
      </c>
      <c r="X105" s="24">
        <f>IF(W104&gt;0,ROUND(X104+ROUND(ROUND(X104*100,0)*ROUND(U$7*10000,0)/12000000,0)/100+0.02,2),0)</f>
        <v>0</v>
      </c>
      <c r="Y105" s="24">
        <f>IF(AA104&gt;0,IF(AND(ROUND(AA104+Z105-ROUND(Y$6+IF(Y$5=$C105,$E$5+$E105,0),2),2)&gt;0,ROUND(AA104+Z105-ROUND(Y$6+IF(Y$5=$C105,$E$5+$E105,0),2),2)&lt;=AB105,ROUND(AA104+Z105-ROUND(Y$6+IF(Y$5=$C105,$E$5+$E105,0),2),2)*10&lt;=ROUND(Y$6+IF(Y$5=$C105,$E$5+$E105,0),2)),ROUND(AA104+Z105,2),MIN(ROUND(Y$6+IF(Y$5=$C105,$E$5+$E105,0),2),ROUND(AA104+Z105,2))),0)</f>
        <v>0</v>
      </c>
      <c r="Z105" s="24">
        <f>IF(AA104&gt;0,ROUND(ROUND(AA104*100,0)*ROUND(Y$7*10000,0)/12000000,0)/100,0)</f>
        <v>0</v>
      </c>
      <c r="AA105" s="24">
        <f>IF(AA104&gt;0,ROUND(AA104+Z105-Y105,2),0)</f>
        <v>0</v>
      </c>
      <c r="AB105" s="24">
        <f>IF(AA104&gt;0,ROUND(AB104+ROUND(ROUND(AB104*100,0)*ROUND(Y$7*10000,0)/12000000,0)/100+0.02,2),0)</f>
        <v>0</v>
      </c>
      <c r="AC105" s="24">
        <f>IF(AE104&gt;0,IF(AND(ROUND(AE104+AD105-ROUND(AC$6+IF(AC$5=$C105,$E$5+$E105,0),2),2)&gt;0,ROUND(AE104+AD105-ROUND(AC$6+IF(AC$5=$C105,$E$5+$E105,0),2),2)&lt;=AF105,ROUND(AE104+AD105-ROUND(AC$6+IF(AC$5=$C105,$E$5+$E105,0),2),2)*10&lt;=ROUND(AC$6+IF(AC$5=$C105,$E$5+$E105,0),2)),ROUND(AE104+AD105,2),MIN(ROUND(AC$6+IF(AC$5=$C105,$E$5+$E105,0),2),ROUND(AE104+AD105,2))),0)</f>
        <v>0</v>
      </c>
      <c r="AD105" s="24">
        <f>IF(AE104&gt;0,ROUND(ROUND(AE104*100,0)*ROUND(AC$7*10000,0)/12000000,0)/100,0)</f>
        <v>0</v>
      </c>
      <c r="AE105" s="24">
        <f>IF(AE104&gt;0,ROUND(AE104+AD105-AC105,2),0)</f>
        <v>0</v>
      </c>
      <c r="AF105" s="24">
        <f>IF(AE104&gt;0,ROUND(AF104+ROUND(ROUND(AF104*100,0)*ROUND(AC$7*10000,0)/12000000,0)/100+0.02,2),0)</f>
        <v>0</v>
      </c>
      <c r="AG105" s="24">
        <f>IF(AI104&gt;0,IF(AND(ROUND(AI104+AH105-ROUND(AG$6+IF(AG$5=$C105,$E$5+$E105,0),2),2)&gt;0,ROUND(AI104+AH105-ROUND(AG$6+IF(AG$5=$C105,$E$5+$E105,0),2),2)&lt;=AJ105,ROUND(AI104+AH105-ROUND(AG$6+IF(AG$5=$C105,$E$5+$E105,0),2),2)*10&lt;=ROUND(AG$6+IF(AG$5=$C105,$E$5+$E105,0),2)),ROUND(AI104+AH105,2),MIN(ROUND(AG$6+IF(AG$5=$C105,$E$5+$E105,0),2),ROUND(AI104+AH105,2))),0)</f>
        <v>0</v>
      </c>
      <c r="AH105" s="24">
        <f>IF(AI104&gt;0,ROUND(ROUND(AI104*100,0)*ROUND(AG$7*10000,0)/12000000,0)/100,0)</f>
        <v>0</v>
      </c>
      <c r="AI105" s="24">
        <f>IF(AI104&gt;0,ROUND(AI104+AH105-AG105,2),0)</f>
        <v>0</v>
      </c>
      <c r="AJ105" s="24">
        <f>IF(AI104&gt;0,ROUND(AJ104+ROUND(ROUND(AJ104*100,0)*ROUND(AG$7*10000,0)/12000000,0)/100+0.02,2),0)</f>
        <v>0</v>
      </c>
      <c r="AK105" s="24">
        <f>IF(AM104&gt;0,IF(AND(ROUND(AM104+AL105-ROUND(AK$6+IF(AK$5=$C105,$E$5+$E105,0),2),2)&gt;0,ROUND(AM104+AL105-ROUND(AK$6+IF(AK$5=$C105,$E$5+$E105,0),2),2)&lt;=AN105,ROUND(AM104+AL105-ROUND(AK$6+IF(AK$5=$C105,$E$5+$E105,0),2),2)*10&lt;=ROUND(AK$6+IF(AK$5=$C105,$E$5+$E105,0),2)),ROUND(AM104+AL105,2),MIN(ROUND(AK$6+IF(AK$5=$C105,$E$5+$E105,0),2),ROUND(AM104+AL105,2))),0)</f>
        <v>0</v>
      </c>
      <c r="AL105" s="24">
        <f>IF(AM104&gt;0,ROUND(ROUND(AM104*100,0)*ROUND(AK$7*10000,0)/12000000,0)/100,0)</f>
        <v>0</v>
      </c>
      <c r="AM105" s="24">
        <f>IF(AM104&gt;0,ROUND(AM104+AL105-AK105,2),0)</f>
        <v>0</v>
      </c>
      <c r="AN105" s="24">
        <f>IF(AM104&gt;0,ROUND(AN104+ROUND(ROUND(AN104*100,0)*ROUND(AK$7*10000,0)/12000000,0)/100+0.02,2),0)</f>
        <v>0</v>
      </c>
      <c r="AO105" s="24">
        <f>IF(AQ104&gt;0,IF(AND(ROUND(AQ104+AP105-ROUND(AO$6+IF(AO$5=$C105,$E$5+$E105,0),2),2)&gt;0,ROUND(AQ104+AP105-ROUND(AO$6+IF(AO$5=$C105,$E$5+$E105,0),2),2)&lt;=AR105,ROUND(AQ104+AP105-ROUND(AO$6+IF(AO$5=$C105,$E$5+$E105,0),2),2)*10&lt;=ROUND(AO$6+IF(AO$5=$C105,$E$5+$E105,0),2)),ROUND(AQ104+AP105,2),MIN(ROUND(AO$6+IF(AO$5=$C105,$E$5+$E105,0),2),ROUND(AQ104+AP105,2))),0)</f>
        <v>0</v>
      </c>
      <c r="AP105" s="24">
        <f>IF(AQ104&gt;0,ROUND(ROUND(AQ104*100,0)*ROUND(AO$7*10000,0)/12000000,0)/100,0)</f>
        <v>0</v>
      </c>
      <c r="AQ105" s="24">
        <f>IF(AQ104&gt;0,ROUND(AQ104+AP105-AO105,2),0)</f>
        <v>0</v>
      </c>
      <c r="AR105" s="24">
        <f>IF(AQ104&gt;0,ROUND(AR104+ROUND(ROUND(AR104*100,0)*ROUND(AO$7*10000,0)/12000000,0)/100+0.02,2),0)</f>
        <v>0</v>
      </c>
      <c r="AS105" s="24">
        <f>IF(AU104&gt;0,IF(AND(ROUND(AU104+AT105-ROUND(AS$6+IF(AS$5=$C105,$E$5+$E105,0),2),2)&gt;0,ROUND(AU104+AT105-ROUND(AS$6+IF(AS$5=$C105,$E$5+$E105,0),2),2)&lt;=AV105,ROUND(AU104+AT105-ROUND(AS$6+IF(AS$5=$C105,$E$5+$E105,0),2),2)*10&lt;=ROUND(AS$6+IF(AS$5=$C105,$E$5+$E105,0),2)),ROUND(AU104+AT105,2),MIN(ROUND(AS$6+IF(AS$5=$C105,$E$5+$E105,0),2),ROUND(AU104+AT105,2))),0)</f>
        <v>0</v>
      </c>
      <c r="AT105" s="24">
        <f>IF(AU104&gt;0,ROUND(ROUND(AU104*100,0)*ROUND(AS$7*10000,0)/12000000,0)/100,0)</f>
        <v>0</v>
      </c>
      <c r="AU105" s="24">
        <f>IF(AU104&gt;0,ROUND(AU104+AT105-AS105,2),0)</f>
        <v>0</v>
      </c>
      <c r="AV105" s="24">
        <f>IF(AU104&gt;0,ROUND(AV104+ROUND(ROUND(AV104*100,0)*ROUND(AS$7*10000,0)/12000000,0)/100+0.02,2),0)</f>
        <v>0</v>
      </c>
    </row>
    <row r="106" spans="1:48" x14ac:dyDescent="0.25">
      <c r="A106" s="17" t="str">
        <f>IF(F106&gt;0,96,"")</f>
        <v/>
      </c>
      <c r="B106" s="18" t="str">
        <f>IF(F106&gt;0,EDATE($E$6,96),"")</f>
        <v/>
      </c>
      <c r="C106" s="21">
        <f>IF(H105&gt;0,MIN(IF(K105&gt;0,I$5,99),IF(O105&gt;0,M$5,99),IF(S105&gt;0,Q$5,99),IF(W105&gt;0,U$5,99),IF(AA105&gt;0,Y$5,99),IF(AE105&gt;0,AC$5,99),IF(AI105&gt;0,AG$5,99),IF(AM105&gt;0,AK$5,99),IF(AQ105&gt;0,AO$5,99),IF(AU105&gt;0,AS$5,99)),0)</f>
        <v>0</v>
      </c>
      <c r="D106" t="str">
        <f>IF(C106&gt;0,INDEX($I$4:$AV$4,1,MATCH(C106,$I$5:$AV$5,0)),"")</f>
        <v/>
      </c>
      <c r="E106" s="24">
        <f>ROUND(IF(AND(I$8&gt;0,K105=0),I$6,0)+IF(AND(M$8&gt;0,O105=0),M$6,0)+IF(AND(Q$8&gt;0,S105=0),Q$6,0)+IF(AND(U$8&gt;0,W105=0),U$6,0)+IF(AND(Y$8&gt;0,AA105=0),Y$6,0)+IF(AND(AC$8&gt;0,AE105=0),AC$6,0)+IF(AND(AG$8&gt;0,AI105=0),AG$6,0)+IF(AND(AK$8&gt;0,AM105=0),AK$6,0)+IF(AND(AO$8&gt;0,AQ105=0),AO$6,0)+IF(AND(AS$8&gt;0,AU105=0),AS$6,0),2)</f>
        <v>325</v>
      </c>
      <c r="F106" s="24">
        <f>ROUND(I106+M106+Q106+U106+Y106+AC106+AG106+AK106+AO106+AS106,2)</f>
        <v>0</v>
      </c>
      <c r="G106" s="24">
        <f>ROUND(J106+N106+R106+V106+Z106+AD106+AH106+AL106+AP106+AT106,2)</f>
        <v>0</v>
      </c>
      <c r="H106" s="24">
        <f>ROUND(K106+O106+S106+W106+AA106+AE106+AI106+AM106+AQ106+AU106,2)</f>
        <v>0</v>
      </c>
      <c r="I106" s="24">
        <f>IF(K105&gt;0,IF(AND(ROUND(K105+J106-ROUND(I$6+IF(I$5=$C106,$E$5+$E106,0),2),2)&gt;0,ROUND(K105+J106-ROUND(I$6+IF(I$5=$C106,$E$5+$E106,0),2),2)&lt;=L106,ROUND(K105+J106-ROUND(I$6+IF(I$5=$C106,$E$5+$E106,0),2),2)*10&lt;=ROUND(I$6+IF(I$5=$C106,$E$5+$E106,0),2)),ROUND(K105+J106,2),MIN(ROUND(I$6+IF(I$5=$C106,$E$5+$E106,0),2),ROUND(K105+J106,2))),0)</f>
        <v>0</v>
      </c>
      <c r="J106" s="24">
        <f>IF(K105&gt;0,ROUND(ROUND(K105*100,0)*ROUND(I$7*10000,0)/12000000,0)/100,0)</f>
        <v>0</v>
      </c>
      <c r="K106" s="24">
        <f>IF(K105&gt;0,ROUND(K105+J106-I106,2),0)</f>
        <v>0</v>
      </c>
      <c r="L106" s="24">
        <f>IF(K105&gt;0,ROUND(L105+ROUND(ROUND(L105*100,0)*ROUND(I$7*10000,0)/12000000,0)/100+0.02,2),0)</f>
        <v>0</v>
      </c>
      <c r="M106" s="24">
        <f>IF(O105&gt;0,IF(AND(ROUND(O105+N106-ROUND(M$6+IF(M$5=$C106,$E$5+$E106,0),2),2)&gt;0,ROUND(O105+N106-ROUND(M$6+IF(M$5=$C106,$E$5+$E106,0),2),2)&lt;=P106,ROUND(O105+N106-ROUND(M$6+IF(M$5=$C106,$E$5+$E106,0),2),2)*10&lt;=ROUND(M$6+IF(M$5=$C106,$E$5+$E106,0),2)),ROUND(O105+N106,2),MIN(ROUND(M$6+IF(M$5=$C106,$E$5+$E106,0),2),ROUND(O105+N106,2))),0)</f>
        <v>0</v>
      </c>
      <c r="N106" s="24">
        <f>IF(O105&gt;0,ROUND(ROUND(O105*100,0)*ROUND(M$7*10000,0)/12000000,0)/100,0)</f>
        <v>0</v>
      </c>
      <c r="O106" s="24">
        <f>IF(O105&gt;0,ROUND(O105+N106-M106,2),0)</f>
        <v>0</v>
      </c>
      <c r="P106" s="24">
        <f>IF(O105&gt;0,ROUND(P105+ROUND(ROUND(P105*100,0)*ROUND(M$7*10000,0)/12000000,0)/100+0.02,2),0)</f>
        <v>0</v>
      </c>
      <c r="Q106" s="24">
        <f>IF(S105&gt;0,IF(AND(ROUND(S105+R106-ROUND(Q$6+IF(Q$5=$C106,$E$5+$E106,0),2),2)&gt;0,ROUND(S105+R106-ROUND(Q$6+IF(Q$5=$C106,$E$5+$E106,0),2),2)&lt;=T106,ROUND(S105+R106-ROUND(Q$6+IF(Q$5=$C106,$E$5+$E106,0),2),2)*10&lt;=ROUND(Q$6+IF(Q$5=$C106,$E$5+$E106,0),2)),ROUND(S105+R106,2),MIN(ROUND(Q$6+IF(Q$5=$C106,$E$5+$E106,0),2),ROUND(S105+R106,2))),0)</f>
        <v>0</v>
      </c>
      <c r="R106" s="24">
        <f>IF(S105&gt;0,ROUND(ROUND(S105*100,0)*ROUND(Q$7*10000,0)/12000000,0)/100,0)</f>
        <v>0</v>
      </c>
      <c r="S106" s="24">
        <f>IF(S105&gt;0,ROUND(S105+R106-Q106,2),0)</f>
        <v>0</v>
      </c>
      <c r="T106" s="24">
        <f>IF(S105&gt;0,ROUND(T105+ROUND(ROUND(T105*100,0)*ROUND(Q$7*10000,0)/12000000,0)/100+0.02,2),0)</f>
        <v>0</v>
      </c>
      <c r="U106" s="24">
        <f>IF(W105&gt;0,IF(AND(ROUND(W105+V106-ROUND(U$6+IF(U$5=$C106,$E$5+$E106,0),2),2)&gt;0,ROUND(W105+V106-ROUND(U$6+IF(U$5=$C106,$E$5+$E106,0),2),2)&lt;=X106,ROUND(W105+V106-ROUND(U$6+IF(U$5=$C106,$E$5+$E106,0),2),2)*10&lt;=ROUND(U$6+IF(U$5=$C106,$E$5+$E106,0),2)),ROUND(W105+V106,2),MIN(ROUND(U$6+IF(U$5=$C106,$E$5+$E106,0),2),ROUND(W105+V106,2))),0)</f>
        <v>0</v>
      </c>
      <c r="V106" s="24">
        <f>IF(W105&gt;0,ROUND(ROUND(W105*100,0)*ROUND(U$7*10000,0)/12000000,0)/100,0)</f>
        <v>0</v>
      </c>
      <c r="W106" s="24">
        <f>IF(W105&gt;0,ROUND(W105+V106-U106,2),0)</f>
        <v>0</v>
      </c>
      <c r="X106" s="24">
        <f>IF(W105&gt;0,ROUND(X105+ROUND(ROUND(X105*100,0)*ROUND(U$7*10000,0)/12000000,0)/100+0.02,2),0)</f>
        <v>0</v>
      </c>
      <c r="Y106" s="24">
        <f>IF(AA105&gt;0,IF(AND(ROUND(AA105+Z106-ROUND(Y$6+IF(Y$5=$C106,$E$5+$E106,0),2),2)&gt;0,ROUND(AA105+Z106-ROUND(Y$6+IF(Y$5=$C106,$E$5+$E106,0),2),2)&lt;=AB106,ROUND(AA105+Z106-ROUND(Y$6+IF(Y$5=$C106,$E$5+$E106,0),2),2)*10&lt;=ROUND(Y$6+IF(Y$5=$C106,$E$5+$E106,0),2)),ROUND(AA105+Z106,2),MIN(ROUND(Y$6+IF(Y$5=$C106,$E$5+$E106,0),2),ROUND(AA105+Z106,2))),0)</f>
        <v>0</v>
      </c>
      <c r="Z106" s="24">
        <f>IF(AA105&gt;0,ROUND(ROUND(AA105*100,0)*ROUND(Y$7*10000,0)/12000000,0)/100,0)</f>
        <v>0</v>
      </c>
      <c r="AA106" s="24">
        <f>IF(AA105&gt;0,ROUND(AA105+Z106-Y106,2),0)</f>
        <v>0</v>
      </c>
      <c r="AB106" s="24">
        <f>IF(AA105&gt;0,ROUND(AB105+ROUND(ROUND(AB105*100,0)*ROUND(Y$7*10000,0)/12000000,0)/100+0.02,2),0)</f>
        <v>0</v>
      </c>
      <c r="AC106" s="24">
        <f>IF(AE105&gt;0,IF(AND(ROUND(AE105+AD106-ROUND(AC$6+IF(AC$5=$C106,$E$5+$E106,0),2),2)&gt;0,ROUND(AE105+AD106-ROUND(AC$6+IF(AC$5=$C106,$E$5+$E106,0),2),2)&lt;=AF106,ROUND(AE105+AD106-ROUND(AC$6+IF(AC$5=$C106,$E$5+$E106,0),2),2)*10&lt;=ROUND(AC$6+IF(AC$5=$C106,$E$5+$E106,0),2)),ROUND(AE105+AD106,2),MIN(ROUND(AC$6+IF(AC$5=$C106,$E$5+$E106,0),2),ROUND(AE105+AD106,2))),0)</f>
        <v>0</v>
      </c>
      <c r="AD106" s="24">
        <f>IF(AE105&gt;0,ROUND(ROUND(AE105*100,0)*ROUND(AC$7*10000,0)/12000000,0)/100,0)</f>
        <v>0</v>
      </c>
      <c r="AE106" s="24">
        <f>IF(AE105&gt;0,ROUND(AE105+AD106-AC106,2),0)</f>
        <v>0</v>
      </c>
      <c r="AF106" s="24">
        <f>IF(AE105&gt;0,ROUND(AF105+ROUND(ROUND(AF105*100,0)*ROUND(AC$7*10000,0)/12000000,0)/100+0.02,2),0)</f>
        <v>0</v>
      </c>
      <c r="AG106" s="24">
        <f>IF(AI105&gt;0,IF(AND(ROUND(AI105+AH106-ROUND(AG$6+IF(AG$5=$C106,$E$5+$E106,0),2),2)&gt;0,ROUND(AI105+AH106-ROUND(AG$6+IF(AG$5=$C106,$E$5+$E106,0),2),2)&lt;=AJ106,ROUND(AI105+AH106-ROUND(AG$6+IF(AG$5=$C106,$E$5+$E106,0),2),2)*10&lt;=ROUND(AG$6+IF(AG$5=$C106,$E$5+$E106,0),2)),ROUND(AI105+AH106,2),MIN(ROUND(AG$6+IF(AG$5=$C106,$E$5+$E106,0),2),ROUND(AI105+AH106,2))),0)</f>
        <v>0</v>
      </c>
      <c r="AH106" s="24">
        <f>IF(AI105&gt;0,ROUND(ROUND(AI105*100,0)*ROUND(AG$7*10000,0)/12000000,0)/100,0)</f>
        <v>0</v>
      </c>
      <c r="AI106" s="24">
        <f>IF(AI105&gt;0,ROUND(AI105+AH106-AG106,2),0)</f>
        <v>0</v>
      </c>
      <c r="AJ106" s="24">
        <f>IF(AI105&gt;0,ROUND(AJ105+ROUND(ROUND(AJ105*100,0)*ROUND(AG$7*10000,0)/12000000,0)/100+0.02,2),0)</f>
        <v>0</v>
      </c>
      <c r="AK106" s="24">
        <f>IF(AM105&gt;0,IF(AND(ROUND(AM105+AL106-ROUND(AK$6+IF(AK$5=$C106,$E$5+$E106,0),2),2)&gt;0,ROUND(AM105+AL106-ROUND(AK$6+IF(AK$5=$C106,$E$5+$E106,0),2),2)&lt;=AN106,ROUND(AM105+AL106-ROUND(AK$6+IF(AK$5=$C106,$E$5+$E106,0),2),2)*10&lt;=ROUND(AK$6+IF(AK$5=$C106,$E$5+$E106,0),2)),ROUND(AM105+AL106,2),MIN(ROUND(AK$6+IF(AK$5=$C106,$E$5+$E106,0),2),ROUND(AM105+AL106,2))),0)</f>
        <v>0</v>
      </c>
      <c r="AL106" s="24">
        <f>IF(AM105&gt;0,ROUND(ROUND(AM105*100,0)*ROUND(AK$7*10000,0)/12000000,0)/100,0)</f>
        <v>0</v>
      </c>
      <c r="AM106" s="24">
        <f>IF(AM105&gt;0,ROUND(AM105+AL106-AK106,2),0)</f>
        <v>0</v>
      </c>
      <c r="AN106" s="24">
        <f>IF(AM105&gt;0,ROUND(AN105+ROUND(ROUND(AN105*100,0)*ROUND(AK$7*10000,0)/12000000,0)/100+0.02,2),0)</f>
        <v>0</v>
      </c>
      <c r="AO106" s="24">
        <f>IF(AQ105&gt;0,IF(AND(ROUND(AQ105+AP106-ROUND(AO$6+IF(AO$5=$C106,$E$5+$E106,0),2),2)&gt;0,ROUND(AQ105+AP106-ROUND(AO$6+IF(AO$5=$C106,$E$5+$E106,0),2),2)&lt;=AR106,ROUND(AQ105+AP106-ROUND(AO$6+IF(AO$5=$C106,$E$5+$E106,0),2),2)*10&lt;=ROUND(AO$6+IF(AO$5=$C106,$E$5+$E106,0),2)),ROUND(AQ105+AP106,2),MIN(ROUND(AO$6+IF(AO$5=$C106,$E$5+$E106,0),2),ROUND(AQ105+AP106,2))),0)</f>
        <v>0</v>
      </c>
      <c r="AP106" s="24">
        <f>IF(AQ105&gt;0,ROUND(ROUND(AQ105*100,0)*ROUND(AO$7*10000,0)/12000000,0)/100,0)</f>
        <v>0</v>
      </c>
      <c r="AQ106" s="24">
        <f>IF(AQ105&gt;0,ROUND(AQ105+AP106-AO106,2),0)</f>
        <v>0</v>
      </c>
      <c r="AR106" s="24">
        <f>IF(AQ105&gt;0,ROUND(AR105+ROUND(ROUND(AR105*100,0)*ROUND(AO$7*10000,0)/12000000,0)/100+0.02,2),0)</f>
        <v>0</v>
      </c>
      <c r="AS106" s="24">
        <f>IF(AU105&gt;0,IF(AND(ROUND(AU105+AT106-ROUND(AS$6+IF(AS$5=$C106,$E$5+$E106,0),2),2)&gt;0,ROUND(AU105+AT106-ROUND(AS$6+IF(AS$5=$C106,$E$5+$E106,0),2),2)&lt;=AV106,ROUND(AU105+AT106-ROUND(AS$6+IF(AS$5=$C106,$E$5+$E106,0),2),2)*10&lt;=ROUND(AS$6+IF(AS$5=$C106,$E$5+$E106,0),2)),ROUND(AU105+AT106,2),MIN(ROUND(AS$6+IF(AS$5=$C106,$E$5+$E106,0),2),ROUND(AU105+AT106,2))),0)</f>
        <v>0</v>
      </c>
      <c r="AT106" s="24">
        <f>IF(AU105&gt;0,ROUND(ROUND(AU105*100,0)*ROUND(AS$7*10000,0)/12000000,0)/100,0)</f>
        <v>0</v>
      </c>
      <c r="AU106" s="24">
        <f>IF(AU105&gt;0,ROUND(AU105+AT106-AS106,2),0)</f>
        <v>0</v>
      </c>
      <c r="AV106" s="24">
        <f>IF(AU105&gt;0,ROUND(AV105+ROUND(ROUND(AV105*100,0)*ROUND(AS$7*10000,0)/12000000,0)/100+0.02,2),0)</f>
        <v>0</v>
      </c>
    </row>
    <row r="107" spans="1:48" x14ac:dyDescent="0.25">
      <c r="A107" s="17" t="str">
        <f>IF(F107&gt;0,97,"")</f>
        <v/>
      </c>
      <c r="B107" s="18" t="str">
        <f>IF(F107&gt;0,EDATE($E$6,97),"")</f>
        <v/>
      </c>
      <c r="C107" s="21">
        <f>IF(H106&gt;0,MIN(IF(K106&gt;0,I$5,99),IF(O106&gt;0,M$5,99),IF(S106&gt;0,Q$5,99),IF(W106&gt;0,U$5,99),IF(AA106&gt;0,Y$5,99),IF(AE106&gt;0,AC$5,99),IF(AI106&gt;0,AG$5,99),IF(AM106&gt;0,AK$5,99),IF(AQ106&gt;0,AO$5,99),IF(AU106&gt;0,AS$5,99)),0)</f>
        <v>0</v>
      </c>
      <c r="D107" t="str">
        <f>IF(C107&gt;0,INDEX($I$4:$AV$4,1,MATCH(C107,$I$5:$AV$5,0)),"")</f>
        <v/>
      </c>
      <c r="E107" s="24">
        <f>ROUND(IF(AND(I$8&gt;0,K106=0),I$6,0)+IF(AND(M$8&gt;0,O106=0),M$6,0)+IF(AND(Q$8&gt;0,S106=0),Q$6,0)+IF(AND(U$8&gt;0,W106=0),U$6,0)+IF(AND(Y$8&gt;0,AA106=0),Y$6,0)+IF(AND(AC$8&gt;0,AE106=0),AC$6,0)+IF(AND(AG$8&gt;0,AI106=0),AG$6,0)+IF(AND(AK$8&gt;0,AM106=0),AK$6,0)+IF(AND(AO$8&gt;0,AQ106=0),AO$6,0)+IF(AND(AS$8&gt;0,AU106=0),AS$6,0),2)</f>
        <v>325</v>
      </c>
      <c r="F107" s="24">
        <f>ROUND(I107+M107+Q107+U107+Y107+AC107+AG107+AK107+AO107+AS107,2)</f>
        <v>0</v>
      </c>
      <c r="G107" s="24">
        <f>ROUND(J107+N107+R107+V107+Z107+AD107+AH107+AL107+AP107+AT107,2)</f>
        <v>0</v>
      </c>
      <c r="H107" s="24">
        <f>ROUND(K107+O107+S107+W107+AA107+AE107+AI107+AM107+AQ107+AU107,2)</f>
        <v>0</v>
      </c>
      <c r="I107" s="24">
        <f>IF(K106&gt;0,IF(AND(ROUND(K106+J107-ROUND(I$6+IF(I$5=$C107,$E$5+$E107,0),2),2)&gt;0,ROUND(K106+J107-ROUND(I$6+IF(I$5=$C107,$E$5+$E107,0),2),2)&lt;=L107,ROUND(K106+J107-ROUND(I$6+IF(I$5=$C107,$E$5+$E107,0),2),2)*10&lt;=ROUND(I$6+IF(I$5=$C107,$E$5+$E107,0),2)),ROUND(K106+J107,2),MIN(ROUND(I$6+IF(I$5=$C107,$E$5+$E107,0),2),ROUND(K106+J107,2))),0)</f>
        <v>0</v>
      </c>
      <c r="J107" s="24">
        <f>IF(K106&gt;0,ROUND(ROUND(K106*100,0)*ROUND(I$7*10000,0)/12000000,0)/100,0)</f>
        <v>0</v>
      </c>
      <c r="K107" s="24">
        <f>IF(K106&gt;0,ROUND(K106+J107-I107,2),0)</f>
        <v>0</v>
      </c>
      <c r="L107" s="24">
        <f>IF(K106&gt;0,ROUND(L106+ROUND(ROUND(L106*100,0)*ROUND(I$7*10000,0)/12000000,0)/100+0.02,2),0)</f>
        <v>0</v>
      </c>
      <c r="M107" s="24">
        <f>IF(O106&gt;0,IF(AND(ROUND(O106+N107-ROUND(M$6+IF(M$5=$C107,$E$5+$E107,0),2),2)&gt;0,ROUND(O106+N107-ROUND(M$6+IF(M$5=$C107,$E$5+$E107,0),2),2)&lt;=P107,ROUND(O106+N107-ROUND(M$6+IF(M$5=$C107,$E$5+$E107,0),2),2)*10&lt;=ROUND(M$6+IF(M$5=$C107,$E$5+$E107,0),2)),ROUND(O106+N107,2),MIN(ROUND(M$6+IF(M$5=$C107,$E$5+$E107,0),2),ROUND(O106+N107,2))),0)</f>
        <v>0</v>
      </c>
      <c r="N107" s="24">
        <f>IF(O106&gt;0,ROUND(ROUND(O106*100,0)*ROUND(M$7*10000,0)/12000000,0)/100,0)</f>
        <v>0</v>
      </c>
      <c r="O107" s="24">
        <f>IF(O106&gt;0,ROUND(O106+N107-M107,2),0)</f>
        <v>0</v>
      </c>
      <c r="P107" s="24">
        <f>IF(O106&gt;0,ROUND(P106+ROUND(ROUND(P106*100,0)*ROUND(M$7*10000,0)/12000000,0)/100+0.02,2),0)</f>
        <v>0</v>
      </c>
      <c r="Q107" s="24">
        <f>IF(S106&gt;0,IF(AND(ROUND(S106+R107-ROUND(Q$6+IF(Q$5=$C107,$E$5+$E107,0),2),2)&gt;0,ROUND(S106+R107-ROUND(Q$6+IF(Q$5=$C107,$E$5+$E107,0),2),2)&lt;=T107,ROUND(S106+R107-ROUND(Q$6+IF(Q$5=$C107,$E$5+$E107,0),2),2)*10&lt;=ROUND(Q$6+IF(Q$5=$C107,$E$5+$E107,0),2)),ROUND(S106+R107,2),MIN(ROUND(Q$6+IF(Q$5=$C107,$E$5+$E107,0),2),ROUND(S106+R107,2))),0)</f>
        <v>0</v>
      </c>
      <c r="R107" s="24">
        <f>IF(S106&gt;0,ROUND(ROUND(S106*100,0)*ROUND(Q$7*10000,0)/12000000,0)/100,0)</f>
        <v>0</v>
      </c>
      <c r="S107" s="24">
        <f>IF(S106&gt;0,ROUND(S106+R107-Q107,2),0)</f>
        <v>0</v>
      </c>
      <c r="T107" s="24">
        <f>IF(S106&gt;0,ROUND(T106+ROUND(ROUND(T106*100,0)*ROUND(Q$7*10000,0)/12000000,0)/100+0.02,2),0)</f>
        <v>0</v>
      </c>
      <c r="U107" s="24">
        <f>IF(W106&gt;0,IF(AND(ROUND(W106+V107-ROUND(U$6+IF(U$5=$C107,$E$5+$E107,0),2),2)&gt;0,ROUND(W106+V107-ROUND(U$6+IF(U$5=$C107,$E$5+$E107,0),2),2)&lt;=X107,ROUND(W106+V107-ROUND(U$6+IF(U$5=$C107,$E$5+$E107,0),2),2)*10&lt;=ROUND(U$6+IF(U$5=$C107,$E$5+$E107,0),2)),ROUND(W106+V107,2),MIN(ROUND(U$6+IF(U$5=$C107,$E$5+$E107,0),2),ROUND(W106+V107,2))),0)</f>
        <v>0</v>
      </c>
      <c r="V107" s="24">
        <f>IF(W106&gt;0,ROUND(ROUND(W106*100,0)*ROUND(U$7*10000,0)/12000000,0)/100,0)</f>
        <v>0</v>
      </c>
      <c r="W107" s="24">
        <f>IF(W106&gt;0,ROUND(W106+V107-U107,2),0)</f>
        <v>0</v>
      </c>
      <c r="X107" s="24">
        <f>IF(W106&gt;0,ROUND(X106+ROUND(ROUND(X106*100,0)*ROUND(U$7*10000,0)/12000000,0)/100+0.02,2),0)</f>
        <v>0</v>
      </c>
      <c r="Y107" s="24">
        <f>IF(AA106&gt;0,IF(AND(ROUND(AA106+Z107-ROUND(Y$6+IF(Y$5=$C107,$E$5+$E107,0),2),2)&gt;0,ROUND(AA106+Z107-ROUND(Y$6+IF(Y$5=$C107,$E$5+$E107,0),2),2)&lt;=AB107,ROUND(AA106+Z107-ROUND(Y$6+IF(Y$5=$C107,$E$5+$E107,0),2),2)*10&lt;=ROUND(Y$6+IF(Y$5=$C107,$E$5+$E107,0),2)),ROUND(AA106+Z107,2),MIN(ROUND(Y$6+IF(Y$5=$C107,$E$5+$E107,0),2),ROUND(AA106+Z107,2))),0)</f>
        <v>0</v>
      </c>
      <c r="Z107" s="24">
        <f>IF(AA106&gt;0,ROUND(ROUND(AA106*100,0)*ROUND(Y$7*10000,0)/12000000,0)/100,0)</f>
        <v>0</v>
      </c>
      <c r="AA107" s="24">
        <f>IF(AA106&gt;0,ROUND(AA106+Z107-Y107,2),0)</f>
        <v>0</v>
      </c>
      <c r="AB107" s="24">
        <f>IF(AA106&gt;0,ROUND(AB106+ROUND(ROUND(AB106*100,0)*ROUND(Y$7*10000,0)/12000000,0)/100+0.02,2),0)</f>
        <v>0</v>
      </c>
      <c r="AC107" s="24">
        <f>IF(AE106&gt;0,IF(AND(ROUND(AE106+AD107-ROUND(AC$6+IF(AC$5=$C107,$E$5+$E107,0),2),2)&gt;0,ROUND(AE106+AD107-ROUND(AC$6+IF(AC$5=$C107,$E$5+$E107,0),2),2)&lt;=AF107,ROUND(AE106+AD107-ROUND(AC$6+IF(AC$5=$C107,$E$5+$E107,0),2),2)*10&lt;=ROUND(AC$6+IF(AC$5=$C107,$E$5+$E107,0),2)),ROUND(AE106+AD107,2),MIN(ROUND(AC$6+IF(AC$5=$C107,$E$5+$E107,0),2),ROUND(AE106+AD107,2))),0)</f>
        <v>0</v>
      </c>
      <c r="AD107" s="24">
        <f>IF(AE106&gt;0,ROUND(ROUND(AE106*100,0)*ROUND(AC$7*10000,0)/12000000,0)/100,0)</f>
        <v>0</v>
      </c>
      <c r="AE107" s="24">
        <f>IF(AE106&gt;0,ROUND(AE106+AD107-AC107,2),0)</f>
        <v>0</v>
      </c>
      <c r="AF107" s="24">
        <f>IF(AE106&gt;0,ROUND(AF106+ROUND(ROUND(AF106*100,0)*ROUND(AC$7*10000,0)/12000000,0)/100+0.02,2),0)</f>
        <v>0</v>
      </c>
      <c r="AG107" s="24">
        <f>IF(AI106&gt;0,IF(AND(ROUND(AI106+AH107-ROUND(AG$6+IF(AG$5=$C107,$E$5+$E107,0),2),2)&gt;0,ROUND(AI106+AH107-ROUND(AG$6+IF(AG$5=$C107,$E$5+$E107,0),2),2)&lt;=AJ107,ROUND(AI106+AH107-ROUND(AG$6+IF(AG$5=$C107,$E$5+$E107,0),2),2)*10&lt;=ROUND(AG$6+IF(AG$5=$C107,$E$5+$E107,0),2)),ROUND(AI106+AH107,2),MIN(ROUND(AG$6+IF(AG$5=$C107,$E$5+$E107,0),2),ROUND(AI106+AH107,2))),0)</f>
        <v>0</v>
      </c>
      <c r="AH107" s="24">
        <f>IF(AI106&gt;0,ROUND(ROUND(AI106*100,0)*ROUND(AG$7*10000,0)/12000000,0)/100,0)</f>
        <v>0</v>
      </c>
      <c r="AI107" s="24">
        <f>IF(AI106&gt;0,ROUND(AI106+AH107-AG107,2),0)</f>
        <v>0</v>
      </c>
      <c r="AJ107" s="24">
        <f>IF(AI106&gt;0,ROUND(AJ106+ROUND(ROUND(AJ106*100,0)*ROUND(AG$7*10000,0)/12000000,0)/100+0.02,2),0)</f>
        <v>0</v>
      </c>
      <c r="AK107" s="24">
        <f>IF(AM106&gt;0,IF(AND(ROUND(AM106+AL107-ROUND(AK$6+IF(AK$5=$C107,$E$5+$E107,0),2),2)&gt;0,ROUND(AM106+AL107-ROUND(AK$6+IF(AK$5=$C107,$E$5+$E107,0),2),2)&lt;=AN107,ROUND(AM106+AL107-ROUND(AK$6+IF(AK$5=$C107,$E$5+$E107,0),2),2)*10&lt;=ROUND(AK$6+IF(AK$5=$C107,$E$5+$E107,0),2)),ROUND(AM106+AL107,2),MIN(ROUND(AK$6+IF(AK$5=$C107,$E$5+$E107,0),2),ROUND(AM106+AL107,2))),0)</f>
        <v>0</v>
      </c>
      <c r="AL107" s="24">
        <f>IF(AM106&gt;0,ROUND(ROUND(AM106*100,0)*ROUND(AK$7*10000,0)/12000000,0)/100,0)</f>
        <v>0</v>
      </c>
      <c r="AM107" s="24">
        <f>IF(AM106&gt;0,ROUND(AM106+AL107-AK107,2),0)</f>
        <v>0</v>
      </c>
      <c r="AN107" s="24">
        <f>IF(AM106&gt;0,ROUND(AN106+ROUND(ROUND(AN106*100,0)*ROUND(AK$7*10000,0)/12000000,0)/100+0.02,2),0)</f>
        <v>0</v>
      </c>
      <c r="AO107" s="24">
        <f>IF(AQ106&gt;0,IF(AND(ROUND(AQ106+AP107-ROUND(AO$6+IF(AO$5=$C107,$E$5+$E107,0),2),2)&gt;0,ROUND(AQ106+AP107-ROUND(AO$6+IF(AO$5=$C107,$E$5+$E107,0),2),2)&lt;=AR107,ROUND(AQ106+AP107-ROUND(AO$6+IF(AO$5=$C107,$E$5+$E107,0),2),2)*10&lt;=ROUND(AO$6+IF(AO$5=$C107,$E$5+$E107,0),2)),ROUND(AQ106+AP107,2),MIN(ROUND(AO$6+IF(AO$5=$C107,$E$5+$E107,0),2),ROUND(AQ106+AP107,2))),0)</f>
        <v>0</v>
      </c>
      <c r="AP107" s="24">
        <f>IF(AQ106&gt;0,ROUND(ROUND(AQ106*100,0)*ROUND(AO$7*10000,0)/12000000,0)/100,0)</f>
        <v>0</v>
      </c>
      <c r="AQ107" s="24">
        <f>IF(AQ106&gt;0,ROUND(AQ106+AP107-AO107,2),0)</f>
        <v>0</v>
      </c>
      <c r="AR107" s="24">
        <f>IF(AQ106&gt;0,ROUND(AR106+ROUND(ROUND(AR106*100,0)*ROUND(AO$7*10000,0)/12000000,0)/100+0.02,2),0)</f>
        <v>0</v>
      </c>
      <c r="AS107" s="24">
        <f>IF(AU106&gt;0,IF(AND(ROUND(AU106+AT107-ROUND(AS$6+IF(AS$5=$C107,$E$5+$E107,0),2),2)&gt;0,ROUND(AU106+AT107-ROUND(AS$6+IF(AS$5=$C107,$E$5+$E107,0),2),2)&lt;=AV107,ROUND(AU106+AT107-ROUND(AS$6+IF(AS$5=$C107,$E$5+$E107,0),2),2)*10&lt;=ROUND(AS$6+IF(AS$5=$C107,$E$5+$E107,0),2)),ROUND(AU106+AT107,2),MIN(ROUND(AS$6+IF(AS$5=$C107,$E$5+$E107,0),2),ROUND(AU106+AT107,2))),0)</f>
        <v>0</v>
      </c>
      <c r="AT107" s="24">
        <f>IF(AU106&gt;0,ROUND(ROUND(AU106*100,0)*ROUND(AS$7*10000,0)/12000000,0)/100,0)</f>
        <v>0</v>
      </c>
      <c r="AU107" s="24">
        <f>IF(AU106&gt;0,ROUND(AU106+AT107-AS107,2),0)</f>
        <v>0</v>
      </c>
      <c r="AV107" s="24">
        <f>IF(AU106&gt;0,ROUND(AV106+ROUND(ROUND(AV106*100,0)*ROUND(AS$7*10000,0)/12000000,0)/100+0.02,2),0)</f>
        <v>0</v>
      </c>
    </row>
    <row r="108" spans="1:48" x14ac:dyDescent="0.25">
      <c r="A108" s="17" t="str">
        <f>IF(F108&gt;0,98,"")</f>
        <v/>
      </c>
      <c r="B108" s="18" t="str">
        <f>IF(F108&gt;0,EDATE($E$6,98),"")</f>
        <v/>
      </c>
      <c r="C108" s="21">
        <f>IF(H107&gt;0,MIN(IF(K107&gt;0,I$5,99),IF(O107&gt;0,M$5,99),IF(S107&gt;0,Q$5,99),IF(W107&gt;0,U$5,99),IF(AA107&gt;0,Y$5,99),IF(AE107&gt;0,AC$5,99),IF(AI107&gt;0,AG$5,99),IF(AM107&gt;0,AK$5,99),IF(AQ107&gt;0,AO$5,99),IF(AU107&gt;0,AS$5,99)),0)</f>
        <v>0</v>
      </c>
      <c r="D108" t="str">
        <f>IF(C108&gt;0,INDEX($I$4:$AV$4,1,MATCH(C108,$I$5:$AV$5,0)),"")</f>
        <v/>
      </c>
      <c r="E108" s="24">
        <f>ROUND(IF(AND(I$8&gt;0,K107=0),I$6,0)+IF(AND(M$8&gt;0,O107=0),M$6,0)+IF(AND(Q$8&gt;0,S107=0),Q$6,0)+IF(AND(U$8&gt;0,W107=0),U$6,0)+IF(AND(Y$8&gt;0,AA107=0),Y$6,0)+IF(AND(AC$8&gt;0,AE107=0),AC$6,0)+IF(AND(AG$8&gt;0,AI107=0),AG$6,0)+IF(AND(AK$8&gt;0,AM107=0),AK$6,0)+IF(AND(AO$8&gt;0,AQ107=0),AO$6,0)+IF(AND(AS$8&gt;0,AU107=0),AS$6,0),2)</f>
        <v>325</v>
      </c>
      <c r="F108" s="24">
        <f>ROUND(I108+M108+Q108+U108+Y108+AC108+AG108+AK108+AO108+AS108,2)</f>
        <v>0</v>
      </c>
      <c r="G108" s="24">
        <f>ROUND(J108+N108+R108+V108+Z108+AD108+AH108+AL108+AP108+AT108,2)</f>
        <v>0</v>
      </c>
      <c r="H108" s="24">
        <f>ROUND(K108+O108+S108+W108+AA108+AE108+AI108+AM108+AQ108+AU108,2)</f>
        <v>0</v>
      </c>
      <c r="I108" s="24">
        <f>IF(K107&gt;0,IF(AND(ROUND(K107+J108-ROUND(I$6+IF(I$5=$C108,$E$5+$E108,0),2),2)&gt;0,ROUND(K107+J108-ROUND(I$6+IF(I$5=$C108,$E$5+$E108,0),2),2)&lt;=L108,ROUND(K107+J108-ROUND(I$6+IF(I$5=$C108,$E$5+$E108,0),2),2)*10&lt;=ROUND(I$6+IF(I$5=$C108,$E$5+$E108,0),2)),ROUND(K107+J108,2),MIN(ROUND(I$6+IF(I$5=$C108,$E$5+$E108,0),2),ROUND(K107+J108,2))),0)</f>
        <v>0</v>
      </c>
      <c r="J108" s="24">
        <f>IF(K107&gt;0,ROUND(ROUND(K107*100,0)*ROUND(I$7*10000,0)/12000000,0)/100,0)</f>
        <v>0</v>
      </c>
      <c r="K108" s="24">
        <f>IF(K107&gt;0,ROUND(K107+J108-I108,2),0)</f>
        <v>0</v>
      </c>
      <c r="L108" s="24">
        <f>IF(K107&gt;0,ROUND(L107+ROUND(ROUND(L107*100,0)*ROUND(I$7*10000,0)/12000000,0)/100+0.02,2),0)</f>
        <v>0</v>
      </c>
      <c r="M108" s="24">
        <f>IF(O107&gt;0,IF(AND(ROUND(O107+N108-ROUND(M$6+IF(M$5=$C108,$E$5+$E108,0),2),2)&gt;0,ROUND(O107+N108-ROUND(M$6+IF(M$5=$C108,$E$5+$E108,0),2),2)&lt;=P108,ROUND(O107+N108-ROUND(M$6+IF(M$5=$C108,$E$5+$E108,0),2),2)*10&lt;=ROUND(M$6+IF(M$5=$C108,$E$5+$E108,0),2)),ROUND(O107+N108,2),MIN(ROUND(M$6+IF(M$5=$C108,$E$5+$E108,0),2),ROUND(O107+N108,2))),0)</f>
        <v>0</v>
      </c>
      <c r="N108" s="24">
        <f>IF(O107&gt;0,ROUND(ROUND(O107*100,0)*ROUND(M$7*10000,0)/12000000,0)/100,0)</f>
        <v>0</v>
      </c>
      <c r="O108" s="24">
        <f>IF(O107&gt;0,ROUND(O107+N108-M108,2),0)</f>
        <v>0</v>
      </c>
      <c r="P108" s="24">
        <f>IF(O107&gt;0,ROUND(P107+ROUND(ROUND(P107*100,0)*ROUND(M$7*10000,0)/12000000,0)/100+0.02,2),0)</f>
        <v>0</v>
      </c>
      <c r="Q108" s="24">
        <f>IF(S107&gt;0,IF(AND(ROUND(S107+R108-ROUND(Q$6+IF(Q$5=$C108,$E$5+$E108,0),2),2)&gt;0,ROUND(S107+R108-ROUND(Q$6+IF(Q$5=$C108,$E$5+$E108,0),2),2)&lt;=T108,ROUND(S107+R108-ROUND(Q$6+IF(Q$5=$C108,$E$5+$E108,0),2),2)*10&lt;=ROUND(Q$6+IF(Q$5=$C108,$E$5+$E108,0),2)),ROUND(S107+R108,2),MIN(ROUND(Q$6+IF(Q$5=$C108,$E$5+$E108,0),2),ROUND(S107+R108,2))),0)</f>
        <v>0</v>
      </c>
      <c r="R108" s="24">
        <f>IF(S107&gt;0,ROUND(ROUND(S107*100,0)*ROUND(Q$7*10000,0)/12000000,0)/100,0)</f>
        <v>0</v>
      </c>
      <c r="S108" s="24">
        <f>IF(S107&gt;0,ROUND(S107+R108-Q108,2),0)</f>
        <v>0</v>
      </c>
      <c r="T108" s="24">
        <f>IF(S107&gt;0,ROUND(T107+ROUND(ROUND(T107*100,0)*ROUND(Q$7*10000,0)/12000000,0)/100+0.02,2),0)</f>
        <v>0</v>
      </c>
      <c r="U108" s="24">
        <f>IF(W107&gt;0,IF(AND(ROUND(W107+V108-ROUND(U$6+IF(U$5=$C108,$E$5+$E108,0),2),2)&gt;0,ROUND(W107+V108-ROUND(U$6+IF(U$5=$C108,$E$5+$E108,0),2),2)&lt;=X108,ROUND(W107+V108-ROUND(U$6+IF(U$5=$C108,$E$5+$E108,0),2),2)*10&lt;=ROUND(U$6+IF(U$5=$C108,$E$5+$E108,0),2)),ROUND(W107+V108,2),MIN(ROUND(U$6+IF(U$5=$C108,$E$5+$E108,0),2),ROUND(W107+V108,2))),0)</f>
        <v>0</v>
      </c>
      <c r="V108" s="24">
        <f>IF(W107&gt;0,ROUND(ROUND(W107*100,0)*ROUND(U$7*10000,0)/12000000,0)/100,0)</f>
        <v>0</v>
      </c>
      <c r="W108" s="24">
        <f>IF(W107&gt;0,ROUND(W107+V108-U108,2),0)</f>
        <v>0</v>
      </c>
      <c r="X108" s="24">
        <f>IF(W107&gt;0,ROUND(X107+ROUND(ROUND(X107*100,0)*ROUND(U$7*10000,0)/12000000,0)/100+0.02,2),0)</f>
        <v>0</v>
      </c>
      <c r="Y108" s="24">
        <f>IF(AA107&gt;0,IF(AND(ROUND(AA107+Z108-ROUND(Y$6+IF(Y$5=$C108,$E$5+$E108,0),2),2)&gt;0,ROUND(AA107+Z108-ROUND(Y$6+IF(Y$5=$C108,$E$5+$E108,0),2),2)&lt;=AB108,ROUND(AA107+Z108-ROUND(Y$6+IF(Y$5=$C108,$E$5+$E108,0),2),2)*10&lt;=ROUND(Y$6+IF(Y$5=$C108,$E$5+$E108,0),2)),ROUND(AA107+Z108,2),MIN(ROUND(Y$6+IF(Y$5=$C108,$E$5+$E108,0),2),ROUND(AA107+Z108,2))),0)</f>
        <v>0</v>
      </c>
      <c r="Z108" s="24">
        <f>IF(AA107&gt;0,ROUND(ROUND(AA107*100,0)*ROUND(Y$7*10000,0)/12000000,0)/100,0)</f>
        <v>0</v>
      </c>
      <c r="AA108" s="24">
        <f>IF(AA107&gt;0,ROUND(AA107+Z108-Y108,2),0)</f>
        <v>0</v>
      </c>
      <c r="AB108" s="24">
        <f>IF(AA107&gt;0,ROUND(AB107+ROUND(ROUND(AB107*100,0)*ROUND(Y$7*10000,0)/12000000,0)/100+0.02,2),0)</f>
        <v>0</v>
      </c>
      <c r="AC108" s="24">
        <f>IF(AE107&gt;0,IF(AND(ROUND(AE107+AD108-ROUND(AC$6+IF(AC$5=$C108,$E$5+$E108,0),2),2)&gt;0,ROUND(AE107+AD108-ROUND(AC$6+IF(AC$5=$C108,$E$5+$E108,0),2),2)&lt;=AF108,ROUND(AE107+AD108-ROUND(AC$6+IF(AC$5=$C108,$E$5+$E108,0),2),2)*10&lt;=ROUND(AC$6+IF(AC$5=$C108,$E$5+$E108,0),2)),ROUND(AE107+AD108,2),MIN(ROUND(AC$6+IF(AC$5=$C108,$E$5+$E108,0),2),ROUND(AE107+AD108,2))),0)</f>
        <v>0</v>
      </c>
      <c r="AD108" s="24">
        <f>IF(AE107&gt;0,ROUND(ROUND(AE107*100,0)*ROUND(AC$7*10000,0)/12000000,0)/100,0)</f>
        <v>0</v>
      </c>
      <c r="AE108" s="24">
        <f>IF(AE107&gt;0,ROUND(AE107+AD108-AC108,2),0)</f>
        <v>0</v>
      </c>
      <c r="AF108" s="24">
        <f>IF(AE107&gt;0,ROUND(AF107+ROUND(ROUND(AF107*100,0)*ROUND(AC$7*10000,0)/12000000,0)/100+0.02,2),0)</f>
        <v>0</v>
      </c>
      <c r="AG108" s="24">
        <f>IF(AI107&gt;0,IF(AND(ROUND(AI107+AH108-ROUND(AG$6+IF(AG$5=$C108,$E$5+$E108,0),2),2)&gt;0,ROUND(AI107+AH108-ROUND(AG$6+IF(AG$5=$C108,$E$5+$E108,0),2),2)&lt;=AJ108,ROUND(AI107+AH108-ROUND(AG$6+IF(AG$5=$C108,$E$5+$E108,0),2),2)*10&lt;=ROUND(AG$6+IF(AG$5=$C108,$E$5+$E108,0),2)),ROUND(AI107+AH108,2),MIN(ROUND(AG$6+IF(AG$5=$C108,$E$5+$E108,0),2),ROUND(AI107+AH108,2))),0)</f>
        <v>0</v>
      </c>
      <c r="AH108" s="24">
        <f>IF(AI107&gt;0,ROUND(ROUND(AI107*100,0)*ROUND(AG$7*10000,0)/12000000,0)/100,0)</f>
        <v>0</v>
      </c>
      <c r="AI108" s="24">
        <f>IF(AI107&gt;0,ROUND(AI107+AH108-AG108,2),0)</f>
        <v>0</v>
      </c>
      <c r="AJ108" s="24">
        <f>IF(AI107&gt;0,ROUND(AJ107+ROUND(ROUND(AJ107*100,0)*ROUND(AG$7*10000,0)/12000000,0)/100+0.02,2),0)</f>
        <v>0</v>
      </c>
      <c r="AK108" s="24">
        <f>IF(AM107&gt;0,IF(AND(ROUND(AM107+AL108-ROUND(AK$6+IF(AK$5=$C108,$E$5+$E108,0),2),2)&gt;0,ROUND(AM107+AL108-ROUND(AK$6+IF(AK$5=$C108,$E$5+$E108,0),2),2)&lt;=AN108,ROUND(AM107+AL108-ROUND(AK$6+IF(AK$5=$C108,$E$5+$E108,0),2),2)*10&lt;=ROUND(AK$6+IF(AK$5=$C108,$E$5+$E108,0),2)),ROUND(AM107+AL108,2),MIN(ROUND(AK$6+IF(AK$5=$C108,$E$5+$E108,0),2),ROUND(AM107+AL108,2))),0)</f>
        <v>0</v>
      </c>
      <c r="AL108" s="24">
        <f>IF(AM107&gt;0,ROUND(ROUND(AM107*100,0)*ROUND(AK$7*10000,0)/12000000,0)/100,0)</f>
        <v>0</v>
      </c>
      <c r="AM108" s="24">
        <f>IF(AM107&gt;0,ROUND(AM107+AL108-AK108,2),0)</f>
        <v>0</v>
      </c>
      <c r="AN108" s="24">
        <f>IF(AM107&gt;0,ROUND(AN107+ROUND(ROUND(AN107*100,0)*ROUND(AK$7*10000,0)/12000000,0)/100+0.02,2),0)</f>
        <v>0</v>
      </c>
      <c r="AO108" s="24">
        <f>IF(AQ107&gt;0,IF(AND(ROUND(AQ107+AP108-ROUND(AO$6+IF(AO$5=$C108,$E$5+$E108,0),2),2)&gt;0,ROUND(AQ107+AP108-ROUND(AO$6+IF(AO$5=$C108,$E$5+$E108,0),2),2)&lt;=AR108,ROUND(AQ107+AP108-ROUND(AO$6+IF(AO$5=$C108,$E$5+$E108,0),2),2)*10&lt;=ROUND(AO$6+IF(AO$5=$C108,$E$5+$E108,0),2)),ROUND(AQ107+AP108,2),MIN(ROUND(AO$6+IF(AO$5=$C108,$E$5+$E108,0),2),ROUND(AQ107+AP108,2))),0)</f>
        <v>0</v>
      </c>
      <c r="AP108" s="24">
        <f>IF(AQ107&gt;0,ROUND(ROUND(AQ107*100,0)*ROUND(AO$7*10000,0)/12000000,0)/100,0)</f>
        <v>0</v>
      </c>
      <c r="AQ108" s="24">
        <f>IF(AQ107&gt;0,ROUND(AQ107+AP108-AO108,2),0)</f>
        <v>0</v>
      </c>
      <c r="AR108" s="24">
        <f>IF(AQ107&gt;0,ROUND(AR107+ROUND(ROUND(AR107*100,0)*ROUND(AO$7*10000,0)/12000000,0)/100+0.02,2),0)</f>
        <v>0</v>
      </c>
      <c r="AS108" s="24">
        <f>IF(AU107&gt;0,IF(AND(ROUND(AU107+AT108-ROUND(AS$6+IF(AS$5=$C108,$E$5+$E108,0),2),2)&gt;0,ROUND(AU107+AT108-ROUND(AS$6+IF(AS$5=$C108,$E$5+$E108,0),2),2)&lt;=AV108,ROUND(AU107+AT108-ROUND(AS$6+IF(AS$5=$C108,$E$5+$E108,0),2),2)*10&lt;=ROUND(AS$6+IF(AS$5=$C108,$E$5+$E108,0),2)),ROUND(AU107+AT108,2),MIN(ROUND(AS$6+IF(AS$5=$C108,$E$5+$E108,0),2),ROUND(AU107+AT108,2))),0)</f>
        <v>0</v>
      </c>
      <c r="AT108" s="24">
        <f>IF(AU107&gt;0,ROUND(ROUND(AU107*100,0)*ROUND(AS$7*10000,0)/12000000,0)/100,0)</f>
        <v>0</v>
      </c>
      <c r="AU108" s="24">
        <f>IF(AU107&gt;0,ROUND(AU107+AT108-AS108,2),0)</f>
        <v>0</v>
      </c>
      <c r="AV108" s="24">
        <f>IF(AU107&gt;0,ROUND(AV107+ROUND(ROUND(AV107*100,0)*ROUND(AS$7*10000,0)/12000000,0)/100+0.02,2),0)</f>
        <v>0</v>
      </c>
    </row>
    <row r="109" spans="1:48" x14ac:dyDescent="0.25">
      <c r="A109" s="17" t="str">
        <f>IF(F109&gt;0,99,"")</f>
        <v/>
      </c>
      <c r="B109" s="18" t="str">
        <f>IF(F109&gt;0,EDATE($E$6,99),"")</f>
        <v/>
      </c>
      <c r="C109" s="21">
        <f>IF(H108&gt;0,MIN(IF(K108&gt;0,I$5,99),IF(O108&gt;0,M$5,99),IF(S108&gt;0,Q$5,99),IF(W108&gt;0,U$5,99),IF(AA108&gt;0,Y$5,99),IF(AE108&gt;0,AC$5,99),IF(AI108&gt;0,AG$5,99),IF(AM108&gt;0,AK$5,99),IF(AQ108&gt;0,AO$5,99),IF(AU108&gt;0,AS$5,99)),0)</f>
        <v>0</v>
      </c>
      <c r="D109" t="str">
        <f>IF(C109&gt;0,INDEX($I$4:$AV$4,1,MATCH(C109,$I$5:$AV$5,0)),"")</f>
        <v/>
      </c>
      <c r="E109" s="24">
        <f>ROUND(IF(AND(I$8&gt;0,K108=0),I$6,0)+IF(AND(M$8&gt;0,O108=0),M$6,0)+IF(AND(Q$8&gt;0,S108=0),Q$6,0)+IF(AND(U$8&gt;0,W108=0),U$6,0)+IF(AND(Y$8&gt;0,AA108=0),Y$6,0)+IF(AND(AC$8&gt;0,AE108=0),AC$6,0)+IF(AND(AG$8&gt;0,AI108=0),AG$6,0)+IF(AND(AK$8&gt;0,AM108=0),AK$6,0)+IF(AND(AO$8&gt;0,AQ108=0),AO$6,0)+IF(AND(AS$8&gt;0,AU108=0),AS$6,0),2)</f>
        <v>325</v>
      </c>
      <c r="F109" s="24">
        <f>ROUND(I109+M109+Q109+U109+Y109+AC109+AG109+AK109+AO109+AS109,2)</f>
        <v>0</v>
      </c>
      <c r="G109" s="24">
        <f>ROUND(J109+N109+R109+V109+Z109+AD109+AH109+AL109+AP109+AT109,2)</f>
        <v>0</v>
      </c>
      <c r="H109" s="24">
        <f>ROUND(K109+O109+S109+W109+AA109+AE109+AI109+AM109+AQ109+AU109,2)</f>
        <v>0</v>
      </c>
      <c r="I109" s="24">
        <f>IF(K108&gt;0,IF(AND(ROUND(K108+J109-ROUND(I$6+IF(I$5=$C109,$E$5+$E109,0),2),2)&gt;0,ROUND(K108+J109-ROUND(I$6+IF(I$5=$C109,$E$5+$E109,0),2),2)&lt;=L109,ROUND(K108+J109-ROUND(I$6+IF(I$5=$C109,$E$5+$E109,0),2),2)*10&lt;=ROUND(I$6+IF(I$5=$C109,$E$5+$E109,0),2)),ROUND(K108+J109,2),MIN(ROUND(I$6+IF(I$5=$C109,$E$5+$E109,0),2),ROUND(K108+J109,2))),0)</f>
        <v>0</v>
      </c>
      <c r="J109" s="24">
        <f>IF(K108&gt;0,ROUND(ROUND(K108*100,0)*ROUND(I$7*10000,0)/12000000,0)/100,0)</f>
        <v>0</v>
      </c>
      <c r="K109" s="24">
        <f>IF(K108&gt;0,ROUND(K108+J109-I109,2),0)</f>
        <v>0</v>
      </c>
      <c r="L109" s="24">
        <f>IF(K108&gt;0,ROUND(L108+ROUND(ROUND(L108*100,0)*ROUND(I$7*10000,0)/12000000,0)/100+0.02,2),0)</f>
        <v>0</v>
      </c>
      <c r="M109" s="24">
        <f>IF(O108&gt;0,IF(AND(ROUND(O108+N109-ROUND(M$6+IF(M$5=$C109,$E$5+$E109,0),2),2)&gt;0,ROUND(O108+N109-ROUND(M$6+IF(M$5=$C109,$E$5+$E109,0),2),2)&lt;=P109,ROUND(O108+N109-ROUND(M$6+IF(M$5=$C109,$E$5+$E109,0),2),2)*10&lt;=ROUND(M$6+IF(M$5=$C109,$E$5+$E109,0),2)),ROUND(O108+N109,2),MIN(ROUND(M$6+IF(M$5=$C109,$E$5+$E109,0),2),ROUND(O108+N109,2))),0)</f>
        <v>0</v>
      </c>
      <c r="N109" s="24">
        <f>IF(O108&gt;0,ROUND(ROUND(O108*100,0)*ROUND(M$7*10000,0)/12000000,0)/100,0)</f>
        <v>0</v>
      </c>
      <c r="O109" s="24">
        <f>IF(O108&gt;0,ROUND(O108+N109-M109,2),0)</f>
        <v>0</v>
      </c>
      <c r="P109" s="24">
        <f>IF(O108&gt;0,ROUND(P108+ROUND(ROUND(P108*100,0)*ROUND(M$7*10000,0)/12000000,0)/100+0.02,2),0)</f>
        <v>0</v>
      </c>
      <c r="Q109" s="24">
        <f>IF(S108&gt;0,IF(AND(ROUND(S108+R109-ROUND(Q$6+IF(Q$5=$C109,$E$5+$E109,0),2),2)&gt;0,ROUND(S108+R109-ROUND(Q$6+IF(Q$5=$C109,$E$5+$E109,0),2),2)&lt;=T109,ROUND(S108+R109-ROUND(Q$6+IF(Q$5=$C109,$E$5+$E109,0),2),2)*10&lt;=ROUND(Q$6+IF(Q$5=$C109,$E$5+$E109,0),2)),ROUND(S108+R109,2),MIN(ROUND(Q$6+IF(Q$5=$C109,$E$5+$E109,0),2),ROUND(S108+R109,2))),0)</f>
        <v>0</v>
      </c>
      <c r="R109" s="24">
        <f>IF(S108&gt;0,ROUND(ROUND(S108*100,0)*ROUND(Q$7*10000,0)/12000000,0)/100,0)</f>
        <v>0</v>
      </c>
      <c r="S109" s="24">
        <f>IF(S108&gt;0,ROUND(S108+R109-Q109,2),0)</f>
        <v>0</v>
      </c>
      <c r="T109" s="24">
        <f>IF(S108&gt;0,ROUND(T108+ROUND(ROUND(T108*100,0)*ROUND(Q$7*10000,0)/12000000,0)/100+0.02,2),0)</f>
        <v>0</v>
      </c>
      <c r="U109" s="24">
        <f>IF(W108&gt;0,IF(AND(ROUND(W108+V109-ROUND(U$6+IF(U$5=$C109,$E$5+$E109,0),2),2)&gt;0,ROUND(W108+V109-ROUND(U$6+IF(U$5=$C109,$E$5+$E109,0),2),2)&lt;=X109,ROUND(W108+V109-ROUND(U$6+IF(U$5=$C109,$E$5+$E109,0),2),2)*10&lt;=ROUND(U$6+IF(U$5=$C109,$E$5+$E109,0),2)),ROUND(W108+V109,2),MIN(ROUND(U$6+IF(U$5=$C109,$E$5+$E109,0),2),ROUND(W108+V109,2))),0)</f>
        <v>0</v>
      </c>
      <c r="V109" s="24">
        <f>IF(W108&gt;0,ROUND(ROUND(W108*100,0)*ROUND(U$7*10000,0)/12000000,0)/100,0)</f>
        <v>0</v>
      </c>
      <c r="W109" s="24">
        <f>IF(W108&gt;0,ROUND(W108+V109-U109,2),0)</f>
        <v>0</v>
      </c>
      <c r="X109" s="24">
        <f>IF(W108&gt;0,ROUND(X108+ROUND(ROUND(X108*100,0)*ROUND(U$7*10000,0)/12000000,0)/100+0.02,2),0)</f>
        <v>0</v>
      </c>
      <c r="Y109" s="24">
        <f>IF(AA108&gt;0,IF(AND(ROUND(AA108+Z109-ROUND(Y$6+IF(Y$5=$C109,$E$5+$E109,0),2),2)&gt;0,ROUND(AA108+Z109-ROUND(Y$6+IF(Y$5=$C109,$E$5+$E109,0),2),2)&lt;=AB109,ROUND(AA108+Z109-ROUND(Y$6+IF(Y$5=$C109,$E$5+$E109,0),2),2)*10&lt;=ROUND(Y$6+IF(Y$5=$C109,$E$5+$E109,0),2)),ROUND(AA108+Z109,2),MIN(ROUND(Y$6+IF(Y$5=$C109,$E$5+$E109,0),2),ROUND(AA108+Z109,2))),0)</f>
        <v>0</v>
      </c>
      <c r="Z109" s="24">
        <f>IF(AA108&gt;0,ROUND(ROUND(AA108*100,0)*ROUND(Y$7*10000,0)/12000000,0)/100,0)</f>
        <v>0</v>
      </c>
      <c r="AA109" s="24">
        <f>IF(AA108&gt;0,ROUND(AA108+Z109-Y109,2),0)</f>
        <v>0</v>
      </c>
      <c r="AB109" s="24">
        <f>IF(AA108&gt;0,ROUND(AB108+ROUND(ROUND(AB108*100,0)*ROUND(Y$7*10000,0)/12000000,0)/100+0.02,2),0)</f>
        <v>0</v>
      </c>
      <c r="AC109" s="24">
        <f>IF(AE108&gt;0,IF(AND(ROUND(AE108+AD109-ROUND(AC$6+IF(AC$5=$C109,$E$5+$E109,0),2),2)&gt;0,ROUND(AE108+AD109-ROUND(AC$6+IF(AC$5=$C109,$E$5+$E109,0),2),2)&lt;=AF109,ROUND(AE108+AD109-ROUND(AC$6+IF(AC$5=$C109,$E$5+$E109,0),2),2)*10&lt;=ROUND(AC$6+IF(AC$5=$C109,$E$5+$E109,0),2)),ROUND(AE108+AD109,2),MIN(ROUND(AC$6+IF(AC$5=$C109,$E$5+$E109,0),2),ROUND(AE108+AD109,2))),0)</f>
        <v>0</v>
      </c>
      <c r="AD109" s="24">
        <f>IF(AE108&gt;0,ROUND(ROUND(AE108*100,0)*ROUND(AC$7*10000,0)/12000000,0)/100,0)</f>
        <v>0</v>
      </c>
      <c r="AE109" s="24">
        <f>IF(AE108&gt;0,ROUND(AE108+AD109-AC109,2),0)</f>
        <v>0</v>
      </c>
      <c r="AF109" s="24">
        <f>IF(AE108&gt;0,ROUND(AF108+ROUND(ROUND(AF108*100,0)*ROUND(AC$7*10000,0)/12000000,0)/100+0.02,2),0)</f>
        <v>0</v>
      </c>
      <c r="AG109" s="24">
        <f>IF(AI108&gt;0,IF(AND(ROUND(AI108+AH109-ROUND(AG$6+IF(AG$5=$C109,$E$5+$E109,0),2),2)&gt;0,ROUND(AI108+AH109-ROUND(AG$6+IF(AG$5=$C109,$E$5+$E109,0),2),2)&lt;=AJ109,ROUND(AI108+AH109-ROUND(AG$6+IF(AG$5=$C109,$E$5+$E109,0),2),2)*10&lt;=ROUND(AG$6+IF(AG$5=$C109,$E$5+$E109,0),2)),ROUND(AI108+AH109,2),MIN(ROUND(AG$6+IF(AG$5=$C109,$E$5+$E109,0),2),ROUND(AI108+AH109,2))),0)</f>
        <v>0</v>
      </c>
      <c r="AH109" s="24">
        <f>IF(AI108&gt;0,ROUND(ROUND(AI108*100,0)*ROUND(AG$7*10000,0)/12000000,0)/100,0)</f>
        <v>0</v>
      </c>
      <c r="AI109" s="24">
        <f>IF(AI108&gt;0,ROUND(AI108+AH109-AG109,2),0)</f>
        <v>0</v>
      </c>
      <c r="AJ109" s="24">
        <f>IF(AI108&gt;0,ROUND(AJ108+ROUND(ROUND(AJ108*100,0)*ROUND(AG$7*10000,0)/12000000,0)/100+0.02,2),0)</f>
        <v>0</v>
      </c>
      <c r="AK109" s="24">
        <f>IF(AM108&gt;0,IF(AND(ROUND(AM108+AL109-ROUND(AK$6+IF(AK$5=$C109,$E$5+$E109,0),2),2)&gt;0,ROUND(AM108+AL109-ROUND(AK$6+IF(AK$5=$C109,$E$5+$E109,0),2),2)&lt;=AN109,ROUND(AM108+AL109-ROUND(AK$6+IF(AK$5=$C109,$E$5+$E109,0),2),2)*10&lt;=ROUND(AK$6+IF(AK$5=$C109,$E$5+$E109,0),2)),ROUND(AM108+AL109,2),MIN(ROUND(AK$6+IF(AK$5=$C109,$E$5+$E109,0),2),ROUND(AM108+AL109,2))),0)</f>
        <v>0</v>
      </c>
      <c r="AL109" s="24">
        <f>IF(AM108&gt;0,ROUND(ROUND(AM108*100,0)*ROUND(AK$7*10000,0)/12000000,0)/100,0)</f>
        <v>0</v>
      </c>
      <c r="AM109" s="24">
        <f>IF(AM108&gt;0,ROUND(AM108+AL109-AK109,2),0)</f>
        <v>0</v>
      </c>
      <c r="AN109" s="24">
        <f>IF(AM108&gt;0,ROUND(AN108+ROUND(ROUND(AN108*100,0)*ROUND(AK$7*10000,0)/12000000,0)/100+0.02,2),0)</f>
        <v>0</v>
      </c>
      <c r="AO109" s="24">
        <f>IF(AQ108&gt;0,IF(AND(ROUND(AQ108+AP109-ROUND(AO$6+IF(AO$5=$C109,$E$5+$E109,0),2),2)&gt;0,ROUND(AQ108+AP109-ROUND(AO$6+IF(AO$5=$C109,$E$5+$E109,0),2),2)&lt;=AR109,ROUND(AQ108+AP109-ROUND(AO$6+IF(AO$5=$C109,$E$5+$E109,0),2),2)*10&lt;=ROUND(AO$6+IF(AO$5=$C109,$E$5+$E109,0),2)),ROUND(AQ108+AP109,2),MIN(ROUND(AO$6+IF(AO$5=$C109,$E$5+$E109,0),2),ROUND(AQ108+AP109,2))),0)</f>
        <v>0</v>
      </c>
      <c r="AP109" s="24">
        <f>IF(AQ108&gt;0,ROUND(ROUND(AQ108*100,0)*ROUND(AO$7*10000,0)/12000000,0)/100,0)</f>
        <v>0</v>
      </c>
      <c r="AQ109" s="24">
        <f>IF(AQ108&gt;0,ROUND(AQ108+AP109-AO109,2),0)</f>
        <v>0</v>
      </c>
      <c r="AR109" s="24">
        <f>IF(AQ108&gt;0,ROUND(AR108+ROUND(ROUND(AR108*100,0)*ROUND(AO$7*10000,0)/12000000,0)/100+0.02,2),0)</f>
        <v>0</v>
      </c>
      <c r="AS109" s="24">
        <f>IF(AU108&gt;0,IF(AND(ROUND(AU108+AT109-ROUND(AS$6+IF(AS$5=$C109,$E$5+$E109,0),2),2)&gt;0,ROUND(AU108+AT109-ROUND(AS$6+IF(AS$5=$C109,$E$5+$E109,0),2),2)&lt;=AV109,ROUND(AU108+AT109-ROUND(AS$6+IF(AS$5=$C109,$E$5+$E109,0),2),2)*10&lt;=ROUND(AS$6+IF(AS$5=$C109,$E$5+$E109,0),2)),ROUND(AU108+AT109,2),MIN(ROUND(AS$6+IF(AS$5=$C109,$E$5+$E109,0),2),ROUND(AU108+AT109,2))),0)</f>
        <v>0</v>
      </c>
      <c r="AT109" s="24">
        <f>IF(AU108&gt;0,ROUND(ROUND(AU108*100,0)*ROUND(AS$7*10000,0)/12000000,0)/100,0)</f>
        <v>0</v>
      </c>
      <c r="AU109" s="24">
        <f>IF(AU108&gt;0,ROUND(AU108+AT109-AS109,2),0)</f>
        <v>0</v>
      </c>
      <c r="AV109" s="24">
        <f>IF(AU108&gt;0,ROUND(AV108+ROUND(ROUND(AV108*100,0)*ROUND(AS$7*10000,0)/12000000,0)/100+0.02,2),0)</f>
        <v>0</v>
      </c>
    </row>
    <row r="110" spans="1:48" x14ac:dyDescent="0.25">
      <c r="A110" s="17" t="str">
        <f>IF(F110&gt;0,100,"")</f>
        <v/>
      </c>
      <c r="B110" s="18" t="str">
        <f>IF(F110&gt;0,EDATE($E$6,100),"")</f>
        <v/>
      </c>
      <c r="C110" s="21">
        <f>IF(H109&gt;0,MIN(IF(K109&gt;0,I$5,99),IF(O109&gt;0,M$5,99),IF(S109&gt;0,Q$5,99),IF(W109&gt;0,U$5,99),IF(AA109&gt;0,Y$5,99),IF(AE109&gt;0,AC$5,99),IF(AI109&gt;0,AG$5,99),IF(AM109&gt;0,AK$5,99),IF(AQ109&gt;0,AO$5,99),IF(AU109&gt;0,AS$5,99)),0)</f>
        <v>0</v>
      </c>
      <c r="D110" t="str">
        <f>IF(C110&gt;0,INDEX($I$4:$AV$4,1,MATCH(C110,$I$5:$AV$5,0)),"")</f>
        <v/>
      </c>
      <c r="E110" s="24">
        <f>ROUND(IF(AND(I$8&gt;0,K109=0),I$6,0)+IF(AND(M$8&gt;0,O109=0),M$6,0)+IF(AND(Q$8&gt;0,S109=0),Q$6,0)+IF(AND(U$8&gt;0,W109=0),U$6,0)+IF(AND(Y$8&gt;0,AA109=0),Y$6,0)+IF(AND(AC$8&gt;0,AE109=0),AC$6,0)+IF(AND(AG$8&gt;0,AI109=0),AG$6,0)+IF(AND(AK$8&gt;0,AM109=0),AK$6,0)+IF(AND(AO$8&gt;0,AQ109=0),AO$6,0)+IF(AND(AS$8&gt;0,AU109=0),AS$6,0),2)</f>
        <v>325</v>
      </c>
      <c r="F110" s="24">
        <f>ROUND(I110+M110+Q110+U110+Y110+AC110+AG110+AK110+AO110+AS110,2)</f>
        <v>0</v>
      </c>
      <c r="G110" s="24">
        <f>ROUND(J110+N110+R110+V110+Z110+AD110+AH110+AL110+AP110+AT110,2)</f>
        <v>0</v>
      </c>
      <c r="H110" s="24">
        <f>ROUND(K110+O110+S110+W110+AA110+AE110+AI110+AM110+AQ110+AU110,2)</f>
        <v>0</v>
      </c>
      <c r="I110" s="24">
        <f>IF(K109&gt;0,IF(AND(ROUND(K109+J110-ROUND(I$6+IF(I$5=$C110,$E$5+$E110,0),2),2)&gt;0,ROUND(K109+J110-ROUND(I$6+IF(I$5=$C110,$E$5+$E110,0),2),2)&lt;=L110,ROUND(K109+J110-ROUND(I$6+IF(I$5=$C110,$E$5+$E110,0),2),2)*10&lt;=ROUND(I$6+IF(I$5=$C110,$E$5+$E110,0),2)),ROUND(K109+J110,2),MIN(ROUND(I$6+IF(I$5=$C110,$E$5+$E110,0),2),ROUND(K109+J110,2))),0)</f>
        <v>0</v>
      </c>
      <c r="J110" s="24">
        <f>IF(K109&gt;0,ROUND(ROUND(K109*100,0)*ROUND(I$7*10000,0)/12000000,0)/100,0)</f>
        <v>0</v>
      </c>
      <c r="K110" s="24">
        <f>IF(K109&gt;0,ROUND(K109+J110-I110,2),0)</f>
        <v>0</v>
      </c>
      <c r="L110" s="24">
        <f>IF(K109&gt;0,ROUND(L109+ROUND(ROUND(L109*100,0)*ROUND(I$7*10000,0)/12000000,0)/100+0.02,2),0)</f>
        <v>0</v>
      </c>
      <c r="M110" s="24">
        <f>IF(O109&gt;0,IF(AND(ROUND(O109+N110-ROUND(M$6+IF(M$5=$C110,$E$5+$E110,0),2),2)&gt;0,ROUND(O109+N110-ROUND(M$6+IF(M$5=$C110,$E$5+$E110,0),2),2)&lt;=P110,ROUND(O109+N110-ROUND(M$6+IF(M$5=$C110,$E$5+$E110,0),2),2)*10&lt;=ROUND(M$6+IF(M$5=$C110,$E$5+$E110,0),2)),ROUND(O109+N110,2),MIN(ROUND(M$6+IF(M$5=$C110,$E$5+$E110,0),2),ROUND(O109+N110,2))),0)</f>
        <v>0</v>
      </c>
      <c r="N110" s="24">
        <f>IF(O109&gt;0,ROUND(ROUND(O109*100,0)*ROUND(M$7*10000,0)/12000000,0)/100,0)</f>
        <v>0</v>
      </c>
      <c r="O110" s="24">
        <f>IF(O109&gt;0,ROUND(O109+N110-M110,2),0)</f>
        <v>0</v>
      </c>
      <c r="P110" s="24">
        <f>IF(O109&gt;0,ROUND(P109+ROUND(ROUND(P109*100,0)*ROUND(M$7*10000,0)/12000000,0)/100+0.02,2),0)</f>
        <v>0</v>
      </c>
      <c r="Q110" s="24">
        <f>IF(S109&gt;0,IF(AND(ROUND(S109+R110-ROUND(Q$6+IF(Q$5=$C110,$E$5+$E110,0),2),2)&gt;0,ROUND(S109+R110-ROUND(Q$6+IF(Q$5=$C110,$E$5+$E110,0),2),2)&lt;=T110,ROUND(S109+R110-ROUND(Q$6+IF(Q$5=$C110,$E$5+$E110,0),2),2)*10&lt;=ROUND(Q$6+IF(Q$5=$C110,$E$5+$E110,0),2)),ROUND(S109+R110,2),MIN(ROUND(Q$6+IF(Q$5=$C110,$E$5+$E110,0),2),ROUND(S109+R110,2))),0)</f>
        <v>0</v>
      </c>
      <c r="R110" s="24">
        <f>IF(S109&gt;0,ROUND(ROUND(S109*100,0)*ROUND(Q$7*10000,0)/12000000,0)/100,0)</f>
        <v>0</v>
      </c>
      <c r="S110" s="24">
        <f>IF(S109&gt;0,ROUND(S109+R110-Q110,2),0)</f>
        <v>0</v>
      </c>
      <c r="T110" s="24">
        <f>IF(S109&gt;0,ROUND(T109+ROUND(ROUND(T109*100,0)*ROUND(Q$7*10000,0)/12000000,0)/100+0.02,2),0)</f>
        <v>0</v>
      </c>
      <c r="U110" s="24">
        <f>IF(W109&gt;0,IF(AND(ROUND(W109+V110-ROUND(U$6+IF(U$5=$C110,$E$5+$E110,0),2),2)&gt;0,ROUND(W109+V110-ROUND(U$6+IF(U$5=$C110,$E$5+$E110,0),2),2)&lt;=X110,ROUND(W109+V110-ROUND(U$6+IF(U$5=$C110,$E$5+$E110,0),2),2)*10&lt;=ROUND(U$6+IF(U$5=$C110,$E$5+$E110,0),2)),ROUND(W109+V110,2),MIN(ROUND(U$6+IF(U$5=$C110,$E$5+$E110,0),2),ROUND(W109+V110,2))),0)</f>
        <v>0</v>
      </c>
      <c r="V110" s="24">
        <f>IF(W109&gt;0,ROUND(ROUND(W109*100,0)*ROUND(U$7*10000,0)/12000000,0)/100,0)</f>
        <v>0</v>
      </c>
      <c r="W110" s="24">
        <f>IF(W109&gt;0,ROUND(W109+V110-U110,2),0)</f>
        <v>0</v>
      </c>
      <c r="X110" s="24">
        <f>IF(W109&gt;0,ROUND(X109+ROUND(ROUND(X109*100,0)*ROUND(U$7*10000,0)/12000000,0)/100+0.02,2),0)</f>
        <v>0</v>
      </c>
      <c r="Y110" s="24">
        <f>IF(AA109&gt;0,IF(AND(ROUND(AA109+Z110-ROUND(Y$6+IF(Y$5=$C110,$E$5+$E110,0),2),2)&gt;0,ROUND(AA109+Z110-ROUND(Y$6+IF(Y$5=$C110,$E$5+$E110,0),2),2)&lt;=AB110,ROUND(AA109+Z110-ROUND(Y$6+IF(Y$5=$C110,$E$5+$E110,0),2),2)*10&lt;=ROUND(Y$6+IF(Y$5=$C110,$E$5+$E110,0),2)),ROUND(AA109+Z110,2),MIN(ROUND(Y$6+IF(Y$5=$C110,$E$5+$E110,0),2),ROUND(AA109+Z110,2))),0)</f>
        <v>0</v>
      </c>
      <c r="Z110" s="24">
        <f>IF(AA109&gt;0,ROUND(ROUND(AA109*100,0)*ROUND(Y$7*10000,0)/12000000,0)/100,0)</f>
        <v>0</v>
      </c>
      <c r="AA110" s="24">
        <f>IF(AA109&gt;0,ROUND(AA109+Z110-Y110,2),0)</f>
        <v>0</v>
      </c>
      <c r="AB110" s="24">
        <f>IF(AA109&gt;0,ROUND(AB109+ROUND(ROUND(AB109*100,0)*ROUND(Y$7*10000,0)/12000000,0)/100+0.02,2),0)</f>
        <v>0</v>
      </c>
      <c r="AC110" s="24">
        <f>IF(AE109&gt;0,IF(AND(ROUND(AE109+AD110-ROUND(AC$6+IF(AC$5=$C110,$E$5+$E110,0),2),2)&gt;0,ROUND(AE109+AD110-ROUND(AC$6+IF(AC$5=$C110,$E$5+$E110,0),2),2)&lt;=AF110,ROUND(AE109+AD110-ROUND(AC$6+IF(AC$5=$C110,$E$5+$E110,0),2),2)*10&lt;=ROUND(AC$6+IF(AC$5=$C110,$E$5+$E110,0),2)),ROUND(AE109+AD110,2),MIN(ROUND(AC$6+IF(AC$5=$C110,$E$5+$E110,0),2),ROUND(AE109+AD110,2))),0)</f>
        <v>0</v>
      </c>
      <c r="AD110" s="24">
        <f>IF(AE109&gt;0,ROUND(ROUND(AE109*100,0)*ROUND(AC$7*10000,0)/12000000,0)/100,0)</f>
        <v>0</v>
      </c>
      <c r="AE110" s="24">
        <f>IF(AE109&gt;0,ROUND(AE109+AD110-AC110,2),0)</f>
        <v>0</v>
      </c>
      <c r="AF110" s="24">
        <f>IF(AE109&gt;0,ROUND(AF109+ROUND(ROUND(AF109*100,0)*ROUND(AC$7*10000,0)/12000000,0)/100+0.02,2),0)</f>
        <v>0</v>
      </c>
      <c r="AG110" s="24">
        <f>IF(AI109&gt;0,IF(AND(ROUND(AI109+AH110-ROUND(AG$6+IF(AG$5=$C110,$E$5+$E110,0),2),2)&gt;0,ROUND(AI109+AH110-ROUND(AG$6+IF(AG$5=$C110,$E$5+$E110,0),2),2)&lt;=AJ110,ROUND(AI109+AH110-ROUND(AG$6+IF(AG$5=$C110,$E$5+$E110,0),2),2)*10&lt;=ROUND(AG$6+IF(AG$5=$C110,$E$5+$E110,0),2)),ROUND(AI109+AH110,2),MIN(ROUND(AG$6+IF(AG$5=$C110,$E$5+$E110,0),2),ROUND(AI109+AH110,2))),0)</f>
        <v>0</v>
      </c>
      <c r="AH110" s="24">
        <f>IF(AI109&gt;0,ROUND(ROUND(AI109*100,0)*ROUND(AG$7*10000,0)/12000000,0)/100,0)</f>
        <v>0</v>
      </c>
      <c r="AI110" s="24">
        <f>IF(AI109&gt;0,ROUND(AI109+AH110-AG110,2),0)</f>
        <v>0</v>
      </c>
      <c r="AJ110" s="24">
        <f>IF(AI109&gt;0,ROUND(AJ109+ROUND(ROUND(AJ109*100,0)*ROUND(AG$7*10000,0)/12000000,0)/100+0.02,2),0)</f>
        <v>0</v>
      </c>
      <c r="AK110" s="24">
        <f>IF(AM109&gt;0,IF(AND(ROUND(AM109+AL110-ROUND(AK$6+IF(AK$5=$C110,$E$5+$E110,0),2),2)&gt;0,ROUND(AM109+AL110-ROUND(AK$6+IF(AK$5=$C110,$E$5+$E110,0),2),2)&lt;=AN110,ROUND(AM109+AL110-ROUND(AK$6+IF(AK$5=$C110,$E$5+$E110,0),2),2)*10&lt;=ROUND(AK$6+IF(AK$5=$C110,$E$5+$E110,0),2)),ROUND(AM109+AL110,2),MIN(ROUND(AK$6+IF(AK$5=$C110,$E$5+$E110,0),2),ROUND(AM109+AL110,2))),0)</f>
        <v>0</v>
      </c>
      <c r="AL110" s="24">
        <f>IF(AM109&gt;0,ROUND(ROUND(AM109*100,0)*ROUND(AK$7*10000,0)/12000000,0)/100,0)</f>
        <v>0</v>
      </c>
      <c r="AM110" s="24">
        <f>IF(AM109&gt;0,ROUND(AM109+AL110-AK110,2),0)</f>
        <v>0</v>
      </c>
      <c r="AN110" s="24">
        <f>IF(AM109&gt;0,ROUND(AN109+ROUND(ROUND(AN109*100,0)*ROUND(AK$7*10000,0)/12000000,0)/100+0.02,2),0)</f>
        <v>0</v>
      </c>
      <c r="AO110" s="24">
        <f>IF(AQ109&gt;0,IF(AND(ROUND(AQ109+AP110-ROUND(AO$6+IF(AO$5=$C110,$E$5+$E110,0),2),2)&gt;0,ROUND(AQ109+AP110-ROUND(AO$6+IF(AO$5=$C110,$E$5+$E110,0),2),2)&lt;=AR110,ROUND(AQ109+AP110-ROUND(AO$6+IF(AO$5=$C110,$E$5+$E110,0),2),2)*10&lt;=ROUND(AO$6+IF(AO$5=$C110,$E$5+$E110,0),2)),ROUND(AQ109+AP110,2),MIN(ROUND(AO$6+IF(AO$5=$C110,$E$5+$E110,0),2),ROUND(AQ109+AP110,2))),0)</f>
        <v>0</v>
      </c>
      <c r="AP110" s="24">
        <f>IF(AQ109&gt;0,ROUND(ROUND(AQ109*100,0)*ROUND(AO$7*10000,0)/12000000,0)/100,0)</f>
        <v>0</v>
      </c>
      <c r="AQ110" s="24">
        <f>IF(AQ109&gt;0,ROUND(AQ109+AP110-AO110,2),0)</f>
        <v>0</v>
      </c>
      <c r="AR110" s="24">
        <f>IF(AQ109&gt;0,ROUND(AR109+ROUND(ROUND(AR109*100,0)*ROUND(AO$7*10000,0)/12000000,0)/100+0.02,2),0)</f>
        <v>0</v>
      </c>
      <c r="AS110" s="24">
        <f>IF(AU109&gt;0,IF(AND(ROUND(AU109+AT110-ROUND(AS$6+IF(AS$5=$C110,$E$5+$E110,0),2),2)&gt;0,ROUND(AU109+AT110-ROUND(AS$6+IF(AS$5=$C110,$E$5+$E110,0),2),2)&lt;=AV110,ROUND(AU109+AT110-ROUND(AS$6+IF(AS$5=$C110,$E$5+$E110,0),2),2)*10&lt;=ROUND(AS$6+IF(AS$5=$C110,$E$5+$E110,0),2)),ROUND(AU109+AT110,2),MIN(ROUND(AS$6+IF(AS$5=$C110,$E$5+$E110,0),2),ROUND(AU109+AT110,2))),0)</f>
        <v>0</v>
      </c>
      <c r="AT110" s="24">
        <f>IF(AU109&gt;0,ROUND(ROUND(AU109*100,0)*ROUND(AS$7*10000,0)/12000000,0)/100,0)</f>
        <v>0</v>
      </c>
      <c r="AU110" s="24">
        <f>IF(AU109&gt;0,ROUND(AU109+AT110-AS110,2),0)</f>
        <v>0</v>
      </c>
      <c r="AV110" s="24">
        <f>IF(AU109&gt;0,ROUND(AV109+ROUND(ROUND(AV109*100,0)*ROUND(AS$7*10000,0)/12000000,0)/100+0.02,2),0)</f>
        <v>0</v>
      </c>
    </row>
    <row r="111" spans="1:48" x14ac:dyDescent="0.25">
      <c r="A111" s="17" t="str">
        <f>IF(F111&gt;0,101,"")</f>
        <v/>
      </c>
      <c r="B111" s="18" t="str">
        <f>IF(F111&gt;0,EDATE($E$6,101),"")</f>
        <v/>
      </c>
      <c r="C111" s="21">
        <f>IF(H110&gt;0,MIN(IF(K110&gt;0,I$5,99),IF(O110&gt;0,M$5,99),IF(S110&gt;0,Q$5,99),IF(W110&gt;0,U$5,99),IF(AA110&gt;0,Y$5,99),IF(AE110&gt;0,AC$5,99),IF(AI110&gt;0,AG$5,99),IF(AM110&gt;0,AK$5,99),IF(AQ110&gt;0,AO$5,99),IF(AU110&gt;0,AS$5,99)),0)</f>
        <v>0</v>
      </c>
      <c r="D111" t="str">
        <f>IF(C111&gt;0,INDEX($I$4:$AV$4,1,MATCH(C111,$I$5:$AV$5,0)),"")</f>
        <v/>
      </c>
      <c r="E111" s="24">
        <f>ROUND(IF(AND(I$8&gt;0,K110=0),I$6,0)+IF(AND(M$8&gt;0,O110=0),M$6,0)+IF(AND(Q$8&gt;0,S110=0),Q$6,0)+IF(AND(U$8&gt;0,W110=0),U$6,0)+IF(AND(Y$8&gt;0,AA110=0),Y$6,0)+IF(AND(AC$8&gt;0,AE110=0),AC$6,0)+IF(AND(AG$8&gt;0,AI110=0),AG$6,0)+IF(AND(AK$8&gt;0,AM110=0),AK$6,0)+IF(AND(AO$8&gt;0,AQ110=0),AO$6,0)+IF(AND(AS$8&gt;0,AU110=0),AS$6,0),2)</f>
        <v>325</v>
      </c>
      <c r="F111" s="24">
        <f>ROUND(I111+M111+Q111+U111+Y111+AC111+AG111+AK111+AO111+AS111,2)</f>
        <v>0</v>
      </c>
      <c r="G111" s="24">
        <f>ROUND(J111+N111+R111+V111+Z111+AD111+AH111+AL111+AP111+AT111,2)</f>
        <v>0</v>
      </c>
      <c r="H111" s="24">
        <f>ROUND(K111+O111+S111+W111+AA111+AE111+AI111+AM111+AQ111+AU111,2)</f>
        <v>0</v>
      </c>
      <c r="I111" s="24">
        <f>IF(K110&gt;0,IF(AND(ROUND(K110+J111-ROUND(I$6+IF(I$5=$C111,$E$5+$E111,0),2),2)&gt;0,ROUND(K110+J111-ROUND(I$6+IF(I$5=$C111,$E$5+$E111,0),2),2)&lt;=L111,ROUND(K110+J111-ROUND(I$6+IF(I$5=$C111,$E$5+$E111,0),2),2)*10&lt;=ROUND(I$6+IF(I$5=$C111,$E$5+$E111,0),2)),ROUND(K110+J111,2),MIN(ROUND(I$6+IF(I$5=$C111,$E$5+$E111,0),2),ROUND(K110+J111,2))),0)</f>
        <v>0</v>
      </c>
      <c r="J111" s="24">
        <f>IF(K110&gt;0,ROUND(ROUND(K110*100,0)*ROUND(I$7*10000,0)/12000000,0)/100,0)</f>
        <v>0</v>
      </c>
      <c r="K111" s="24">
        <f>IF(K110&gt;0,ROUND(K110+J111-I111,2),0)</f>
        <v>0</v>
      </c>
      <c r="L111" s="24">
        <f>IF(K110&gt;0,ROUND(L110+ROUND(ROUND(L110*100,0)*ROUND(I$7*10000,0)/12000000,0)/100+0.02,2),0)</f>
        <v>0</v>
      </c>
      <c r="M111" s="24">
        <f>IF(O110&gt;0,IF(AND(ROUND(O110+N111-ROUND(M$6+IF(M$5=$C111,$E$5+$E111,0),2),2)&gt;0,ROUND(O110+N111-ROUND(M$6+IF(M$5=$C111,$E$5+$E111,0),2),2)&lt;=P111,ROUND(O110+N111-ROUND(M$6+IF(M$5=$C111,$E$5+$E111,0),2),2)*10&lt;=ROUND(M$6+IF(M$5=$C111,$E$5+$E111,0),2)),ROUND(O110+N111,2),MIN(ROUND(M$6+IF(M$5=$C111,$E$5+$E111,0),2),ROUND(O110+N111,2))),0)</f>
        <v>0</v>
      </c>
      <c r="N111" s="24">
        <f>IF(O110&gt;0,ROUND(ROUND(O110*100,0)*ROUND(M$7*10000,0)/12000000,0)/100,0)</f>
        <v>0</v>
      </c>
      <c r="O111" s="24">
        <f>IF(O110&gt;0,ROUND(O110+N111-M111,2),0)</f>
        <v>0</v>
      </c>
      <c r="P111" s="24">
        <f>IF(O110&gt;0,ROUND(P110+ROUND(ROUND(P110*100,0)*ROUND(M$7*10000,0)/12000000,0)/100+0.02,2),0)</f>
        <v>0</v>
      </c>
      <c r="Q111" s="24">
        <f>IF(S110&gt;0,IF(AND(ROUND(S110+R111-ROUND(Q$6+IF(Q$5=$C111,$E$5+$E111,0),2),2)&gt;0,ROUND(S110+R111-ROUND(Q$6+IF(Q$5=$C111,$E$5+$E111,0),2),2)&lt;=T111,ROUND(S110+R111-ROUND(Q$6+IF(Q$5=$C111,$E$5+$E111,0),2),2)*10&lt;=ROUND(Q$6+IF(Q$5=$C111,$E$5+$E111,0),2)),ROUND(S110+R111,2),MIN(ROUND(Q$6+IF(Q$5=$C111,$E$5+$E111,0),2),ROUND(S110+R111,2))),0)</f>
        <v>0</v>
      </c>
      <c r="R111" s="24">
        <f>IF(S110&gt;0,ROUND(ROUND(S110*100,0)*ROUND(Q$7*10000,0)/12000000,0)/100,0)</f>
        <v>0</v>
      </c>
      <c r="S111" s="24">
        <f>IF(S110&gt;0,ROUND(S110+R111-Q111,2),0)</f>
        <v>0</v>
      </c>
      <c r="T111" s="24">
        <f>IF(S110&gt;0,ROUND(T110+ROUND(ROUND(T110*100,0)*ROUND(Q$7*10000,0)/12000000,0)/100+0.02,2),0)</f>
        <v>0</v>
      </c>
      <c r="U111" s="24">
        <f>IF(W110&gt;0,IF(AND(ROUND(W110+V111-ROUND(U$6+IF(U$5=$C111,$E$5+$E111,0),2),2)&gt;0,ROUND(W110+V111-ROUND(U$6+IF(U$5=$C111,$E$5+$E111,0),2),2)&lt;=X111,ROUND(W110+V111-ROUND(U$6+IF(U$5=$C111,$E$5+$E111,0),2),2)*10&lt;=ROUND(U$6+IF(U$5=$C111,$E$5+$E111,0),2)),ROUND(W110+V111,2),MIN(ROUND(U$6+IF(U$5=$C111,$E$5+$E111,0),2),ROUND(W110+V111,2))),0)</f>
        <v>0</v>
      </c>
      <c r="V111" s="24">
        <f>IF(W110&gt;0,ROUND(ROUND(W110*100,0)*ROUND(U$7*10000,0)/12000000,0)/100,0)</f>
        <v>0</v>
      </c>
      <c r="W111" s="24">
        <f>IF(W110&gt;0,ROUND(W110+V111-U111,2),0)</f>
        <v>0</v>
      </c>
      <c r="X111" s="24">
        <f>IF(W110&gt;0,ROUND(X110+ROUND(ROUND(X110*100,0)*ROUND(U$7*10000,0)/12000000,0)/100+0.02,2),0)</f>
        <v>0</v>
      </c>
      <c r="Y111" s="24">
        <f>IF(AA110&gt;0,IF(AND(ROUND(AA110+Z111-ROUND(Y$6+IF(Y$5=$C111,$E$5+$E111,0),2),2)&gt;0,ROUND(AA110+Z111-ROUND(Y$6+IF(Y$5=$C111,$E$5+$E111,0),2),2)&lt;=AB111,ROUND(AA110+Z111-ROUND(Y$6+IF(Y$5=$C111,$E$5+$E111,0),2),2)*10&lt;=ROUND(Y$6+IF(Y$5=$C111,$E$5+$E111,0),2)),ROUND(AA110+Z111,2),MIN(ROUND(Y$6+IF(Y$5=$C111,$E$5+$E111,0),2),ROUND(AA110+Z111,2))),0)</f>
        <v>0</v>
      </c>
      <c r="Z111" s="24">
        <f>IF(AA110&gt;0,ROUND(ROUND(AA110*100,0)*ROUND(Y$7*10000,0)/12000000,0)/100,0)</f>
        <v>0</v>
      </c>
      <c r="AA111" s="24">
        <f>IF(AA110&gt;0,ROUND(AA110+Z111-Y111,2),0)</f>
        <v>0</v>
      </c>
      <c r="AB111" s="24">
        <f>IF(AA110&gt;0,ROUND(AB110+ROUND(ROUND(AB110*100,0)*ROUND(Y$7*10000,0)/12000000,0)/100+0.02,2),0)</f>
        <v>0</v>
      </c>
      <c r="AC111" s="24">
        <f>IF(AE110&gt;0,IF(AND(ROUND(AE110+AD111-ROUND(AC$6+IF(AC$5=$C111,$E$5+$E111,0),2),2)&gt;0,ROUND(AE110+AD111-ROUND(AC$6+IF(AC$5=$C111,$E$5+$E111,0),2),2)&lt;=AF111,ROUND(AE110+AD111-ROUND(AC$6+IF(AC$5=$C111,$E$5+$E111,0),2),2)*10&lt;=ROUND(AC$6+IF(AC$5=$C111,$E$5+$E111,0),2)),ROUND(AE110+AD111,2),MIN(ROUND(AC$6+IF(AC$5=$C111,$E$5+$E111,0),2),ROUND(AE110+AD111,2))),0)</f>
        <v>0</v>
      </c>
      <c r="AD111" s="24">
        <f>IF(AE110&gt;0,ROUND(ROUND(AE110*100,0)*ROUND(AC$7*10000,0)/12000000,0)/100,0)</f>
        <v>0</v>
      </c>
      <c r="AE111" s="24">
        <f>IF(AE110&gt;0,ROUND(AE110+AD111-AC111,2),0)</f>
        <v>0</v>
      </c>
      <c r="AF111" s="24">
        <f>IF(AE110&gt;0,ROUND(AF110+ROUND(ROUND(AF110*100,0)*ROUND(AC$7*10000,0)/12000000,0)/100+0.02,2),0)</f>
        <v>0</v>
      </c>
      <c r="AG111" s="24">
        <f>IF(AI110&gt;0,IF(AND(ROUND(AI110+AH111-ROUND(AG$6+IF(AG$5=$C111,$E$5+$E111,0),2),2)&gt;0,ROUND(AI110+AH111-ROUND(AG$6+IF(AG$5=$C111,$E$5+$E111,0),2),2)&lt;=AJ111,ROUND(AI110+AH111-ROUND(AG$6+IF(AG$5=$C111,$E$5+$E111,0),2),2)*10&lt;=ROUND(AG$6+IF(AG$5=$C111,$E$5+$E111,0),2)),ROUND(AI110+AH111,2),MIN(ROUND(AG$6+IF(AG$5=$C111,$E$5+$E111,0),2),ROUND(AI110+AH111,2))),0)</f>
        <v>0</v>
      </c>
      <c r="AH111" s="24">
        <f>IF(AI110&gt;0,ROUND(ROUND(AI110*100,0)*ROUND(AG$7*10000,0)/12000000,0)/100,0)</f>
        <v>0</v>
      </c>
      <c r="AI111" s="24">
        <f>IF(AI110&gt;0,ROUND(AI110+AH111-AG111,2),0)</f>
        <v>0</v>
      </c>
      <c r="AJ111" s="24">
        <f>IF(AI110&gt;0,ROUND(AJ110+ROUND(ROUND(AJ110*100,0)*ROUND(AG$7*10000,0)/12000000,0)/100+0.02,2),0)</f>
        <v>0</v>
      </c>
      <c r="AK111" s="24">
        <f>IF(AM110&gt;0,IF(AND(ROUND(AM110+AL111-ROUND(AK$6+IF(AK$5=$C111,$E$5+$E111,0),2),2)&gt;0,ROUND(AM110+AL111-ROUND(AK$6+IF(AK$5=$C111,$E$5+$E111,0),2),2)&lt;=AN111,ROUND(AM110+AL111-ROUND(AK$6+IF(AK$5=$C111,$E$5+$E111,0),2),2)*10&lt;=ROUND(AK$6+IF(AK$5=$C111,$E$5+$E111,0),2)),ROUND(AM110+AL111,2),MIN(ROUND(AK$6+IF(AK$5=$C111,$E$5+$E111,0),2),ROUND(AM110+AL111,2))),0)</f>
        <v>0</v>
      </c>
      <c r="AL111" s="24">
        <f>IF(AM110&gt;0,ROUND(ROUND(AM110*100,0)*ROUND(AK$7*10000,0)/12000000,0)/100,0)</f>
        <v>0</v>
      </c>
      <c r="AM111" s="24">
        <f>IF(AM110&gt;0,ROUND(AM110+AL111-AK111,2),0)</f>
        <v>0</v>
      </c>
      <c r="AN111" s="24">
        <f>IF(AM110&gt;0,ROUND(AN110+ROUND(ROUND(AN110*100,0)*ROUND(AK$7*10000,0)/12000000,0)/100+0.02,2),0)</f>
        <v>0</v>
      </c>
      <c r="AO111" s="24">
        <f>IF(AQ110&gt;0,IF(AND(ROUND(AQ110+AP111-ROUND(AO$6+IF(AO$5=$C111,$E$5+$E111,0),2),2)&gt;0,ROUND(AQ110+AP111-ROUND(AO$6+IF(AO$5=$C111,$E$5+$E111,0),2),2)&lt;=AR111,ROUND(AQ110+AP111-ROUND(AO$6+IF(AO$5=$C111,$E$5+$E111,0),2),2)*10&lt;=ROUND(AO$6+IF(AO$5=$C111,$E$5+$E111,0),2)),ROUND(AQ110+AP111,2),MIN(ROUND(AO$6+IF(AO$5=$C111,$E$5+$E111,0),2),ROUND(AQ110+AP111,2))),0)</f>
        <v>0</v>
      </c>
      <c r="AP111" s="24">
        <f>IF(AQ110&gt;0,ROUND(ROUND(AQ110*100,0)*ROUND(AO$7*10000,0)/12000000,0)/100,0)</f>
        <v>0</v>
      </c>
      <c r="AQ111" s="24">
        <f>IF(AQ110&gt;0,ROUND(AQ110+AP111-AO111,2),0)</f>
        <v>0</v>
      </c>
      <c r="AR111" s="24">
        <f>IF(AQ110&gt;0,ROUND(AR110+ROUND(ROUND(AR110*100,0)*ROUND(AO$7*10000,0)/12000000,0)/100+0.02,2),0)</f>
        <v>0</v>
      </c>
      <c r="AS111" s="24">
        <f>IF(AU110&gt;0,IF(AND(ROUND(AU110+AT111-ROUND(AS$6+IF(AS$5=$C111,$E$5+$E111,0),2),2)&gt;0,ROUND(AU110+AT111-ROUND(AS$6+IF(AS$5=$C111,$E$5+$E111,0),2),2)&lt;=AV111,ROUND(AU110+AT111-ROUND(AS$6+IF(AS$5=$C111,$E$5+$E111,0),2),2)*10&lt;=ROUND(AS$6+IF(AS$5=$C111,$E$5+$E111,0),2)),ROUND(AU110+AT111,2),MIN(ROUND(AS$6+IF(AS$5=$C111,$E$5+$E111,0),2),ROUND(AU110+AT111,2))),0)</f>
        <v>0</v>
      </c>
      <c r="AT111" s="24">
        <f>IF(AU110&gt;0,ROUND(ROUND(AU110*100,0)*ROUND(AS$7*10000,0)/12000000,0)/100,0)</f>
        <v>0</v>
      </c>
      <c r="AU111" s="24">
        <f>IF(AU110&gt;0,ROUND(AU110+AT111-AS111,2),0)</f>
        <v>0</v>
      </c>
      <c r="AV111" s="24">
        <f>IF(AU110&gt;0,ROUND(AV110+ROUND(ROUND(AV110*100,0)*ROUND(AS$7*10000,0)/12000000,0)/100+0.02,2),0)</f>
        <v>0</v>
      </c>
    </row>
    <row r="112" spans="1:48" x14ac:dyDescent="0.25">
      <c r="A112" s="17" t="str">
        <f>IF(F112&gt;0,102,"")</f>
        <v/>
      </c>
      <c r="B112" s="18" t="str">
        <f>IF(F112&gt;0,EDATE($E$6,102),"")</f>
        <v/>
      </c>
      <c r="C112" s="21">
        <f>IF(H111&gt;0,MIN(IF(K111&gt;0,I$5,99),IF(O111&gt;0,M$5,99),IF(S111&gt;0,Q$5,99),IF(W111&gt;0,U$5,99),IF(AA111&gt;0,Y$5,99),IF(AE111&gt;0,AC$5,99),IF(AI111&gt;0,AG$5,99),IF(AM111&gt;0,AK$5,99),IF(AQ111&gt;0,AO$5,99),IF(AU111&gt;0,AS$5,99)),0)</f>
        <v>0</v>
      </c>
      <c r="D112" t="str">
        <f>IF(C112&gt;0,INDEX($I$4:$AV$4,1,MATCH(C112,$I$5:$AV$5,0)),"")</f>
        <v/>
      </c>
      <c r="E112" s="24">
        <f>ROUND(IF(AND(I$8&gt;0,K111=0),I$6,0)+IF(AND(M$8&gt;0,O111=0),M$6,0)+IF(AND(Q$8&gt;0,S111=0),Q$6,0)+IF(AND(U$8&gt;0,W111=0),U$6,0)+IF(AND(Y$8&gt;0,AA111=0),Y$6,0)+IF(AND(AC$8&gt;0,AE111=0),AC$6,0)+IF(AND(AG$8&gt;0,AI111=0),AG$6,0)+IF(AND(AK$8&gt;0,AM111=0),AK$6,0)+IF(AND(AO$8&gt;0,AQ111=0),AO$6,0)+IF(AND(AS$8&gt;0,AU111=0),AS$6,0),2)</f>
        <v>325</v>
      </c>
      <c r="F112" s="24">
        <f>ROUND(I112+M112+Q112+U112+Y112+AC112+AG112+AK112+AO112+AS112,2)</f>
        <v>0</v>
      </c>
      <c r="G112" s="24">
        <f>ROUND(J112+N112+R112+V112+Z112+AD112+AH112+AL112+AP112+AT112,2)</f>
        <v>0</v>
      </c>
      <c r="H112" s="24">
        <f>ROUND(K112+O112+S112+W112+AA112+AE112+AI112+AM112+AQ112+AU112,2)</f>
        <v>0</v>
      </c>
      <c r="I112" s="24">
        <f>IF(K111&gt;0,IF(AND(ROUND(K111+J112-ROUND(I$6+IF(I$5=$C112,$E$5+$E112,0),2),2)&gt;0,ROUND(K111+J112-ROUND(I$6+IF(I$5=$C112,$E$5+$E112,0),2),2)&lt;=L112,ROUND(K111+J112-ROUND(I$6+IF(I$5=$C112,$E$5+$E112,0),2),2)*10&lt;=ROUND(I$6+IF(I$5=$C112,$E$5+$E112,0),2)),ROUND(K111+J112,2),MIN(ROUND(I$6+IF(I$5=$C112,$E$5+$E112,0),2),ROUND(K111+J112,2))),0)</f>
        <v>0</v>
      </c>
      <c r="J112" s="24">
        <f>IF(K111&gt;0,ROUND(ROUND(K111*100,0)*ROUND(I$7*10000,0)/12000000,0)/100,0)</f>
        <v>0</v>
      </c>
      <c r="K112" s="24">
        <f>IF(K111&gt;0,ROUND(K111+J112-I112,2),0)</f>
        <v>0</v>
      </c>
      <c r="L112" s="24">
        <f>IF(K111&gt;0,ROUND(L111+ROUND(ROUND(L111*100,0)*ROUND(I$7*10000,0)/12000000,0)/100+0.02,2),0)</f>
        <v>0</v>
      </c>
      <c r="M112" s="24">
        <f>IF(O111&gt;0,IF(AND(ROUND(O111+N112-ROUND(M$6+IF(M$5=$C112,$E$5+$E112,0),2),2)&gt;0,ROUND(O111+N112-ROUND(M$6+IF(M$5=$C112,$E$5+$E112,0),2),2)&lt;=P112,ROUND(O111+N112-ROUND(M$6+IF(M$5=$C112,$E$5+$E112,0),2),2)*10&lt;=ROUND(M$6+IF(M$5=$C112,$E$5+$E112,0),2)),ROUND(O111+N112,2),MIN(ROUND(M$6+IF(M$5=$C112,$E$5+$E112,0),2),ROUND(O111+N112,2))),0)</f>
        <v>0</v>
      </c>
      <c r="N112" s="24">
        <f>IF(O111&gt;0,ROUND(ROUND(O111*100,0)*ROUND(M$7*10000,0)/12000000,0)/100,0)</f>
        <v>0</v>
      </c>
      <c r="O112" s="24">
        <f>IF(O111&gt;0,ROUND(O111+N112-M112,2),0)</f>
        <v>0</v>
      </c>
      <c r="P112" s="24">
        <f>IF(O111&gt;0,ROUND(P111+ROUND(ROUND(P111*100,0)*ROUND(M$7*10000,0)/12000000,0)/100+0.02,2),0)</f>
        <v>0</v>
      </c>
      <c r="Q112" s="24">
        <f>IF(S111&gt;0,IF(AND(ROUND(S111+R112-ROUND(Q$6+IF(Q$5=$C112,$E$5+$E112,0),2),2)&gt;0,ROUND(S111+R112-ROUND(Q$6+IF(Q$5=$C112,$E$5+$E112,0),2),2)&lt;=T112,ROUND(S111+R112-ROUND(Q$6+IF(Q$5=$C112,$E$5+$E112,0),2),2)*10&lt;=ROUND(Q$6+IF(Q$5=$C112,$E$5+$E112,0),2)),ROUND(S111+R112,2),MIN(ROUND(Q$6+IF(Q$5=$C112,$E$5+$E112,0),2),ROUND(S111+R112,2))),0)</f>
        <v>0</v>
      </c>
      <c r="R112" s="24">
        <f>IF(S111&gt;0,ROUND(ROUND(S111*100,0)*ROUND(Q$7*10000,0)/12000000,0)/100,0)</f>
        <v>0</v>
      </c>
      <c r="S112" s="24">
        <f>IF(S111&gt;0,ROUND(S111+R112-Q112,2),0)</f>
        <v>0</v>
      </c>
      <c r="T112" s="24">
        <f>IF(S111&gt;0,ROUND(T111+ROUND(ROUND(T111*100,0)*ROUND(Q$7*10000,0)/12000000,0)/100+0.02,2),0)</f>
        <v>0</v>
      </c>
      <c r="U112" s="24">
        <f>IF(W111&gt;0,IF(AND(ROUND(W111+V112-ROUND(U$6+IF(U$5=$C112,$E$5+$E112,0),2),2)&gt;0,ROUND(W111+V112-ROUND(U$6+IF(U$5=$C112,$E$5+$E112,0),2),2)&lt;=X112,ROUND(W111+V112-ROUND(U$6+IF(U$5=$C112,$E$5+$E112,0),2),2)*10&lt;=ROUND(U$6+IF(U$5=$C112,$E$5+$E112,0),2)),ROUND(W111+V112,2),MIN(ROUND(U$6+IF(U$5=$C112,$E$5+$E112,0),2),ROUND(W111+V112,2))),0)</f>
        <v>0</v>
      </c>
      <c r="V112" s="24">
        <f>IF(W111&gt;0,ROUND(ROUND(W111*100,0)*ROUND(U$7*10000,0)/12000000,0)/100,0)</f>
        <v>0</v>
      </c>
      <c r="W112" s="24">
        <f>IF(W111&gt;0,ROUND(W111+V112-U112,2),0)</f>
        <v>0</v>
      </c>
      <c r="X112" s="24">
        <f>IF(W111&gt;0,ROUND(X111+ROUND(ROUND(X111*100,0)*ROUND(U$7*10000,0)/12000000,0)/100+0.02,2),0)</f>
        <v>0</v>
      </c>
      <c r="Y112" s="24">
        <f>IF(AA111&gt;0,IF(AND(ROUND(AA111+Z112-ROUND(Y$6+IF(Y$5=$C112,$E$5+$E112,0),2),2)&gt;0,ROUND(AA111+Z112-ROUND(Y$6+IF(Y$5=$C112,$E$5+$E112,0),2),2)&lt;=AB112,ROUND(AA111+Z112-ROUND(Y$6+IF(Y$5=$C112,$E$5+$E112,0),2),2)*10&lt;=ROUND(Y$6+IF(Y$5=$C112,$E$5+$E112,0),2)),ROUND(AA111+Z112,2),MIN(ROUND(Y$6+IF(Y$5=$C112,$E$5+$E112,0),2),ROUND(AA111+Z112,2))),0)</f>
        <v>0</v>
      </c>
      <c r="Z112" s="24">
        <f>IF(AA111&gt;0,ROUND(ROUND(AA111*100,0)*ROUND(Y$7*10000,0)/12000000,0)/100,0)</f>
        <v>0</v>
      </c>
      <c r="AA112" s="24">
        <f>IF(AA111&gt;0,ROUND(AA111+Z112-Y112,2),0)</f>
        <v>0</v>
      </c>
      <c r="AB112" s="24">
        <f>IF(AA111&gt;0,ROUND(AB111+ROUND(ROUND(AB111*100,0)*ROUND(Y$7*10000,0)/12000000,0)/100+0.02,2),0)</f>
        <v>0</v>
      </c>
      <c r="AC112" s="24">
        <f>IF(AE111&gt;0,IF(AND(ROUND(AE111+AD112-ROUND(AC$6+IF(AC$5=$C112,$E$5+$E112,0),2),2)&gt;0,ROUND(AE111+AD112-ROUND(AC$6+IF(AC$5=$C112,$E$5+$E112,0),2),2)&lt;=AF112,ROUND(AE111+AD112-ROUND(AC$6+IF(AC$5=$C112,$E$5+$E112,0),2),2)*10&lt;=ROUND(AC$6+IF(AC$5=$C112,$E$5+$E112,0),2)),ROUND(AE111+AD112,2),MIN(ROUND(AC$6+IF(AC$5=$C112,$E$5+$E112,0),2),ROUND(AE111+AD112,2))),0)</f>
        <v>0</v>
      </c>
      <c r="AD112" s="24">
        <f>IF(AE111&gt;0,ROUND(ROUND(AE111*100,0)*ROUND(AC$7*10000,0)/12000000,0)/100,0)</f>
        <v>0</v>
      </c>
      <c r="AE112" s="24">
        <f>IF(AE111&gt;0,ROUND(AE111+AD112-AC112,2),0)</f>
        <v>0</v>
      </c>
      <c r="AF112" s="24">
        <f>IF(AE111&gt;0,ROUND(AF111+ROUND(ROUND(AF111*100,0)*ROUND(AC$7*10000,0)/12000000,0)/100+0.02,2),0)</f>
        <v>0</v>
      </c>
      <c r="AG112" s="24">
        <f>IF(AI111&gt;0,IF(AND(ROUND(AI111+AH112-ROUND(AG$6+IF(AG$5=$C112,$E$5+$E112,0),2),2)&gt;0,ROUND(AI111+AH112-ROUND(AG$6+IF(AG$5=$C112,$E$5+$E112,0),2),2)&lt;=AJ112,ROUND(AI111+AH112-ROUND(AG$6+IF(AG$5=$C112,$E$5+$E112,0),2),2)*10&lt;=ROUND(AG$6+IF(AG$5=$C112,$E$5+$E112,0),2)),ROUND(AI111+AH112,2),MIN(ROUND(AG$6+IF(AG$5=$C112,$E$5+$E112,0),2),ROUND(AI111+AH112,2))),0)</f>
        <v>0</v>
      </c>
      <c r="AH112" s="24">
        <f>IF(AI111&gt;0,ROUND(ROUND(AI111*100,0)*ROUND(AG$7*10000,0)/12000000,0)/100,0)</f>
        <v>0</v>
      </c>
      <c r="AI112" s="24">
        <f>IF(AI111&gt;0,ROUND(AI111+AH112-AG112,2),0)</f>
        <v>0</v>
      </c>
      <c r="AJ112" s="24">
        <f>IF(AI111&gt;0,ROUND(AJ111+ROUND(ROUND(AJ111*100,0)*ROUND(AG$7*10000,0)/12000000,0)/100+0.02,2),0)</f>
        <v>0</v>
      </c>
      <c r="AK112" s="24">
        <f>IF(AM111&gt;0,IF(AND(ROUND(AM111+AL112-ROUND(AK$6+IF(AK$5=$C112,$E$5+$E112,0),2),2)&gt;0,ROUND(AM111+AL112-ROUND(AK$6+IF(AK$5=$C112,$E$5+$E112,0),2),2)&lt;=AN112,ROUND(AM111+AL112-ROUND(AK$6+IF(AK$5=$C112,$E$5+$E112,0),2),2)*10&lt;=ROUND(AK$6+IF(AK$5=$C112,$E$5+$E112,0),2)),ROUND(AM111+AL112,2),MIN(ROUND(AK$6+IF(AK$5=$C112,$E$5+$E112,0),2),ROUND(AM111+AL112,2))),0)</f>
        <v>0</v>
      </c>
      <c r="AL112" s="24">
        <f>IF(AM111&gt;0,ROUND(ROUND(AM111*100,0)*ROUND(AK$7*10000,0)/12000000,0)/100,0)</f>
        <v>0</v>
      </c>
      <c r="AM112" s="24">
        <f>IF(AM111&gt;0,ROUND(AM111+AL112-AK112,2),0)</f>
        <v>0</v>
      </c>
      <c r="AN112" s="24">
        <f>IF(AM111&gt;0,ROUND(AN111+ROUND(ROUND(AN111*100,0)*ROUND(AK$7*10000,0)/12000000,0)/100+0.02,2),0)</f>
        <v>0</v>
      </c>
      <c r="AO112" s="24">
        <f>IF(AQ111&gt;0,IF(AND(ROUND(AQ111+AP112-ROUND(AO$6+IF(AO$5=$C112,$E$5+$E112,0),2),2)&gt;0,ROUND(AQ111+AP112-ROUND(AO$6+IF(AO$5=$C112,$E$5+$E112,0),2),2)&lt;=AR112,ROUND(AQ111+AP112-ROUND(AO$6+IF(AO$5=$C112,$E$5+$E112,0),2),2)*10&lt;=ROUND(AO$6+IF(AO$5=$C112,$E$5+$E112,0),2)),ROUND(AQ111+AP112,2),MIN(ROUND(AO$6+IF(AO$5=$C112,$E$5+$E112,0),2),ROUND(AQ111+AP112,2))),0)</f>
        <v>0</v>
      </c>
      <c r="AP112" s="24">
        <f>IF(AQ111&gt;0,ROUND(ROUND(AQ111*100,0)*ROUND(AO$7*10000,0)/12000000,0)/100,0)</f>
        <v>0</v>
      </c>
      <c r="AQ112" s="24">
        <f>IF(AQ111&gt;0,ROUND(AQ111+AP112-AO112,2),0)</f>
        <v>0</v>
      </c>
      <c r="AR112" s="24">
        <f>IF(AQ111&gt;0,ROUND(AR111+ROUND(ROUND(AR111*100,0)*ROUND(AO$7*10000,0)/12000000,0)/100+0.02,2),0)</f>
        <v>0</v>
      </c>
      <c r="AS112" s="24">
        <f>IF(AU111&gt;0,IF(AND(ROUND(AU111+AT112-ROUND(AS$6+IF(AS$5=$C112,$E$5+$E112,0),2),2)&gt;0,ROUND(AU111+AT112-ROUND(AS$6+IF(AS$5=$C112,$E$5+$E112,0),2),2)&lt;=AV112,ROUND(AU111+AT112-ROUND(AS$6+IF(AS$5=$C112,$E$5+$E112,0),2),2)*10&lt;=ROUND(AS$6+IF(AS$5=$C112,$E$5+$E112,0),2)),ROUND(AU111+AT112,2),MIN(ROUND(AS$6+IF(AS$5=$C112,$E$5+$E112,0),2),ROUND(AU111+AT112,2))),0)</f>
        <v>0</v>
      </c>
      <c r="AT112" s="24">
        <f>IF(AU111&gt;0,ROUND(ROUND(AU111*100,0)*ROUND(AS$7*10000,0)/12000000,0)/100,0)</f>
        <v>0</v>
      </c>
      <c r="AU112" s="24">
        <f>IF(AU111&gt;0,ROUND(AU111+AT112-AS112,2),0)</f>
        <v>0</v>
      </c>
      <c r="AV112" s="24">
        <f>IF(AU111&gt;0,ROUND(AV111+ROUND(ROUND(AV111*100,0)*ROUND(AS$7*10000,0)/12000000,0)/100+0.02,2),0)</f>
        <v>0</v>
      </c>
    </row>
    <row r="113" spans="1:48" x14ac:dyDescent="0.25">
      <c r="A113" s="17" t="str">
        <f>IF(F113&gt;0,103,"")</f>
        <v/>
      </c>
      <c r="B113" s="18" t="str">
        <f>IF(F113&gt;0,EDATE($E$6,103),"")</f>
        <v/>
      </c>
      <c r="C113" s="21">
        <f>IF(H112&gt;0,MIN(IF(K112&gt;0,I$5,99),IF(O112&gt;0,M$5,99),IF(S112&gt;0,Q$5,99),IF(W112&gt;0,U$5,99),IF(AA112&gt;0,Y$5,99),IF(AE112&gt;0,AC$5,99),IF(AI112&gt;0,AG$5,99),IF(AM112&gt;0,AK$5,99),IF(AQ112&gt;0,AO$5,99),IF(AU112&gt;0,AS$5,99)),0)</f>
        <v>0</v>
      </c>
      <c r="D113" t="str">
        <f>IF(C113&gt;0,INDEX($I$4:$AV$4,1,MATCH(C113,$I$5:$AV$5,0)),"")</f>
        <v/>
      </c>
      <c r="E113" s="24">
        <f>ROUND(IF(AND(I$8&gt;0,K112=0),I$6,0)+IF(AND(M$8&gt;0,O112=0),M$6,0)+IF(AND(Q$8&gt;0,S112=0),Q$6,0)+IF(AND(U$8&gt;0,W112=0),U$6,0)+IF(AND(Y$8&gt;0,AA112=0),Y$6,0)+IF(AND(AC$8&gt;0,AE112=0),AC$6,0)+IF(AND(AG$8&gt;0,AI112=0),AG$6,0)+IF(AND(AK$8&gt;0,AM112=0),AK$6,0)+IF(AND(AO$8&gt;0,AQ112=0),AO$6,0)+IF(AND(AS$8&gt;0,AU112=0),AS$6,0),2)</f>
        <v>325</v>
      </c>
      <c r="F113" s="24">
        <f>ROUND(I113+M113+Q113+U113+Y113+AC113+AG113+AK113+AO113+AS113,2)</f>
        <v>0</v>
      </c>
      <c r="G113" s="24">
        <f>ROUND(J113+N113+R113+V113+Z113+AD113+AH113+AL113+AP113+AT113,2)</f>
        <v>0</v>
      </c>
      <c r="H113" s="24">
        <f>ROUND(K113+O113+S113+W113+AA113+AE113+AI113+AM113+AQ113+AU113,2)</f>
        <v>0</v>
      </c>
      <c r="I113" s="24">
        <f>IF(K112&gt;0,IF(AND(ROUND(K112+J113-ROUND(I$6+IF(I$5=$C113,$E$5+$E113,0),2),2)&gt;0,ROUND(K112+J113-ROUND(I$6+IF(I$5=$C113,$E$5+$E113,0),2),2)&lt;=L113,ROUND(K112+J113-ROUND(I$6+IF(I$5=$C113,$E$5+$E113,0),2),2)*10&lt;=ROUND(I$6+IF(I$5=$C113,$E$5+$E113,0),2)),ROUND(K112+J113,2),MIN(ROUND(I$6+IF(I$5=$C113,$E$5+$E113,0),2),ROUND(K112+J113,2))),0)</f>
        <v>0</v>
      </c>
      <c r="J113" s="24">
        <f>IF(K112&gt;0,ROUND(ROUND(K112*100,0)*ROUND(I$7*10000,0)/12000000,0)/100,0)</f>
        <v>0</v>
      </c>
      <c r="K113" s="24">
        <f>IF(K112&gt;0,ROUND(K112+J113-I113,2),0)</f>
        <v>0</v>
      </c>
      <c r="L113" s="24">
        <f>IF(K112&gt;0,ROUND(L112+ROUND(ROUND(L112*100,0)*ROUND(I$7*10000,0)/12000000,0)/100+0.02,2),0)</f>
        <v>0</v>
      </c>
      <c r="M113" s="24">
        <f>IF(O112&gt;0,IF(AND(ROUND(O112+N113-ROUND(M$6+IF(M$5=$C113,$E$5+$E113,0),2),2)&gt;0,ROUND(O112+N113-ROUND(M$6+IF(M$5=$C113,$E$5+$E113,0),2),2)&lt;=P113,ROUND(O112+N113-ROUND(M$6+IF(M$5=$C113,$E$5+$E113,0),2),2)*10&lt;=ROUND(M$6+IF(M$5=$C113,$E$5+$E113,0),2)),ROUND(O112+N113,2),MIN(ROUND(M$6+IF(M$5=$C113,$E$5+$E113,0),2),ROUND(O112+N113,2))),0)</f>
        <v>0</v>
      </c>
      <c r="N113" s="24">
        <f>IF(O112&gt;0,ROUND(ROUND(O112*100,0)*ROUND(M$7*10000,0)/12000000,0)/100,0)</f>
        <v>0</v>
      </c>
      <c r="O113" s="24">
        <f>IF(O112&gt;0,ROUND(O112+N113-M113,2),0)</f>
        <v>0</v>
      </c>
      <c r="P113" s="24">
        <f>IF(O112&gt;0,ROUND(P112+ROUND(ROUND(P112*100,0)*ROUND(M$7*10000,0)/12000000,0)/100+0.02,2),0)</f>
        <v>0</v>
      </c>
      <c r="Q113" s="24">
        <f>IF(S112&gt;0,IF(AND(ROUND(S112+R113-ROUND(Q$6+IF(Q$5=$C113,$E$5+$E113,0),2),2)&gt;0,ROUND(S112+R113-ROUND(Q$6+IF(Q$5=$C113,$E$5+$E113,0),2),2)&lt;=T113,ROUND(S112+R113-ROUND(Q$6+IF(Q$5=$C113,$E$5+$E113,0),2),2)*10&lt;=ROUND(Q$6+IF(Q$5=$C113,$E$5+$E113,0),2)),ROUND(S112+R113,2),MIN(ROUND(Q$6+IF(Q$5=$C113,$E$5+$E113,0),2),ROUND(S112+R113,2))),0)</f>
        <v>0</v>
      </c>
      <c r="R113" s="24">
        <f>IF(S112&gt;0,ROUND(ROUND(S112*100,0)*ROUND(Q$7*10000,0)/12000000,0)/100,0)</f>
        <v>0</v>
      </c>
      <c r="S113" s="24">
        <f>IF(S112&gt;0,ROUND(S112+R113-Q113,2),0)</f>
        <v>0</v>
      </c>
      <c r="T113" s="24">
        <f>IF(S112&gt;0,ROUND(T112+ROUND(ROUND(T112*100,0)*ROUND(Q$7*10000,0)/12000000,0)/100+0.02,2),0)</f>
        <v>0</v>
      </c>
      <c r="U113" s="24">
        <f>IF(W112&gt;0,IF(AND(ROUND(W112+V113-ROUND(U$6+IF(U$5=$C113,$E$5+$E113,0),2),2)&gt;0,ROUND(W112+V113-ROUND(U$6+IF(U$5=$C113,$E$5+$E113,0),2),2)&lt;=X113,ROUND(W112+V113-ROUND(U$6+IF(U$5=$C113,$E$5+$E113,0),2),2)*10&lt;=ROUND(U$6+IF(U$5=$C113,$E$5+$E113,0),2)),ROUND(W112+V113,2),MIN(ROUND(U$6+IF(U$5=$C113,$E$5+$E113,0),2),ROUND(W112+V113,2))),0)</f>
        <v>0</v>
      </c>
      <c r="V113" s="24">
        <f>IF(W112&gt;0,ROUND(ROUND(W112*100,0)*ROUND(U$7*10000,0)/12000000,0)/100,0)</f>
        <v>0</v>
      </c>
      <c r="W113" s="24">
        <f>IF(W112&gt;0,ROUND(W112+V113-U113,2),0)</f>
        <v>0</v>
      </c>
      <c r="X113" s="24">
        <f>IF(W112&gt;0,ROUND(X112+ROUND(ROUND(X112*100,0)*ROUND(U$7*10000,0)/12000000,0)/100+0.02,2),0)</f>
        <v>0</v>
      </c>
      <c r="Y113" s="24">
        <f>IF(AA112&gt;0,IF(AND(ROUND(AA112+Z113-ROUND(Y$6+IF(Y$5=$C113,$E$5+$E113,0),2),2)&gt;0,ROUND(AA112+Z113-ROUND(Y$6+IF(Y$5=$C113,$E$5+$E113,0),2),2)&lt;=AB113,ROUND(AA112+Z113-ROUND(Y$6+IF(Y$5=$C113,$E$5+$E113,0),2),2)*10&lt;=ROUND(Y$6+IF(Y$5=$C113,$E$5+$E113,0),2)),ROUND(AA112+Z113,2),MIN(ROUND(Y$6+IF(Y$5=$C113,$E$5+$E113,0),2),ROUND(AA112+Z113,2))),0)</f>
        <v>0</v>
      </c>
      <c r="Z113" s="24">
        <f>IF(AA112&gt;0,ROUND(ROUND(AA112*100,0)*ROUND(Y$7*10000,0)/12000000,0)/100,0)</f>
        <v>0</v>
      </c>
      <c r="AA113" s="24">
        <f>IF(AA112&gt;0,ROUND(AA112+Z113-Y113,2),0)</f>
        <v>0</v>
      </c>
      <c r="AB113" s="24">
        <f>IF(AA112&gt;0,ROUND(AB112+ROUND(ROUND(AB112*100,0)*ROUND(Y$7*10000,0)/12000000,0)/100+0.02,2),0)</f>
        <v>0</v>
      </c>
      <c r="AC113" s="24">
        <f>IF(AE112&gt;0,IF(AND(ROUND(AE112+AD113-ROUND(AC$6+IF(AC$5=$C113,$E$5+$E113,0),2),2)&gt;0,ROUND(AE112+AD113-ROUND(AC$6+IF(AC$5=$C113,$E$5+$E113,0),2),2)&lt;=AF113,ROUND(AE112+AD113-ROUND(AC$6+IF(AC$5=$C113,$E$5+$E113,0),2),2)*10&lt;=ROUND(AC$6+IF(AC$5=$C113,$E$5+$E113,0),2)),ROUND(AE112+AD113,2),MIN(ROUND(AC$6+IF(AC$5=$C113,$E$5+$E113,0),2),ROUND(AE112+AD113,2))),0)</f>
        <v>0</v>
      </c>
      <c r="AD113" s="24">
        <f>IF(AE112&gt;0,ROUND(ROUND(AE112*100,0)*ROUND(AC$7*10000,0)/12000000,0)/100,0)</f>
        <v>0</v>
      </c>
      <c r="AE113" s="24">
        <f>IF(AE112&gt;0,ROUND(AE112+AD113-AC113,2),0)</f>
        <v>0</v>
      </c>
      <c r="AF113" s="24">
        <f>IF(AE112&gt;0,ROUND(AF112+ROUND(ROUND(AF112*100,0)*ROUND(AC$7*10000,0)/12000000,0)/100+0.02,2),0)</f>
        <v>0</v>
      </c>
      <c r="AG113" s="24">
        <f>IF(AI112&gt;0,IF(AND(ROUND(AI112+AH113-ROUND(AG$6+IF(AG$5=$C113,$E$5+$E113,0),2),2)&gt;0,ROUND(AI112+AH113-ROUND(AG$6+IF(AG$5=$C113,$E$5+$E113,0),2),2)&lt;=AJ113,ROUND(AI112+AH113-ROUND(AG$6+IF(AG$5=$C113,$E$5+$E113,0),2),2)*10&lt;=ROUND(AG$6+IF(AG$5=$C113,$E$5+$E113,0),2)),ROUND(AI112+AH113,2),MIN(ROUND(AG$6+IF(AG$5=$C113,$E$5+$E113,0),2),ROUND(AI112+AH113,2))),0)</f>
        <v>0</v>
      </c>
      <c r="AH113" s="24">
        <f>IF(AI112&gt;0,ROUND(ROUND(AI112*100,0)*ROUND(AG$7*10000,0)/12000000,0)/100,0)</f>
        <v>0</v>
      </c>
      <c r="AI113" s="24">
        <f>IF(AI112&gt;0,ROUND(AI112+AH113-AG113,2),0)</f>
        <v>0</v>
      </c>
      <c r="AJ113" s="24">
        <f>IF(AI112&gt;0,ROUND(AJ112+ROUND(ROUND(AJ112*100,0)*ROUND(AG$7*10000,0)/12000000,0)/100+0.02,2),0)</f>
        <v>0</v>
      </c>
      <c r="AK113" s="24">
        <f>IF(AM112&gt;0,IF(AND(ROUND(AM112+AL113-ROUND(AK$6+IF(AK$5=$C113,$E$5+$E113,0),2),2)&gt;0,ROUND(AM112+AL113-ROUND(AK$6+IF(AK$5=$C113,$E$5+$E113,0),2),2)&lt;=AN113,ROUND(AM112+AL113-ROUND(AK$6+IF(AK$5=$C113,$E$5+$E113,0),2),2)*10&lt;=ROUND(AK$6+IF(AK$5=$C113,$E$5+$E113,0),2)),ROUND(AM112+AL113,2),MIN(ROUND(AK$6+IF(AK$5=$C113,$E$5+$E113,0),2),ROUND(AM112+AL113,2))),0)</f>
        <v>0</v>
      </c>
      <c r="AL113" s="24">
        <f>IF(AM112&gt;0,ROUND(ROUND(AM112*100,0)*ROUND(AK$7*10000,0)/12000000,0)/100,0)</f>
        <v>0</v>
      </c>
      <c r="AM113" s="24">
        <f>IF(AM112&gt;0,ROUND(AM112+AL113-AK113,2),0)</f>
        <v>0</v>
      </c>
      <c r="AN113" s="24">
        <f>IF(AM112&gt;0,ROUND(AN112+ROUND(ROUND(AN112*100,0)*ROUND(AK$7*10000,0)/12000000,0)/100+0.02,2),0)</f>
        <v>0</v>
      </c>
      <c r="AO113" s="24">
        <f>IF(AQ112&gt;0,IF(AND(ROUND(AQ112+AP113-ROUND(AO$6+IF(AO$5=$C113,$E$5+$E113,0),2),2)&gt;0,ROUND(AQ112+AP113-ROUND(AO$6+IF(AO$5=$C113,$E$5+$E113,0),2),2)&lt;=AR113,ROUND(AQ112+AP113-ROUND(AO$6+IF(AO$5=$C113,$E$5+$E113,0),2),2)*10&lt;=ROUND(AO$6+IF(AO$5=$C113,$E$5+$E113,0),2)),ROUND(AQ112+AP113,2),MIN(ROUND(AO$6+IF(AO$5=$C113,$E$5+$E113,0),2),ROUND(AQ112+AP113,2))),0)</f>
        <v>0</v>
      </c>
      <c r="AP113" s="24">
        <f>IF(AQ112&gt;0,ROUND(ROUND(AQ112*100,0)*ROUND(AO$7*10000,0)/12000000,0)/100,0)</f>
        <v>0</v>
      </c>
      <c r="AQ113" s="24">
        <f>IF(AQ112&gt;0,ROUND(AQ112+AP113-AO113,2),0)</f>
        <v>0</v>
      </c>
      <c r="AR113" s="24">
        <f>IF(AQ112&gt;0,ROUND(AR112+ROUND(ROUND(AR112*100,0)*ROUND(AO$7*10000,0)/12000000,0)/100+0.02,2),0)</f>
        <v>0</v>
      </c>
      <c r="AS113" s="24">
        <f>IF(AU112&gt;0,IF(AND(ROUND(AU112+AT113-ROUND(AS$6+IF(AS$5=$C113,$E$5+$E113,0),2),2)&gt;0,ROUND(AU112+AT113-ROUND(AS$6+IF(AS$5=$C113,$E$5+$E113,0),2),2)&lt;=AV113,ROUND(AU112+AT113-ROUND(AS$6+IF(AS$5=$C113,$E$5+$E113,0),2),2)*10&lt;=ROUND(AS$6+IF(AS$5=$C113,$E$5+$E113,0),2)),ROUND(AU112+AT113,2),MIN(ROUND(AS$6+IF(AS$5=$C113,$E$5+$E113,0),2),ROUND(AU112+AT113,2))),0)</f>
        <v>0</v>
      </c>
      <c r="AT113" s="24">
        <f>IF(AU112&gt;0,ROUND(ROUND(AU112*100,0)*ROUND(AS$7*10000,0)/12000000,0)/100,0)</f>
        <v>0</v>
      </c>
      <c r="AU113" s="24">
        <f>IF(AU112&gt;0,ROUND(AU112+AT113-AS113,2),0)</f>
        <v>0</v>
      </c>
      <c r="AV113" s="24">
        <f>IF(AU112&gt;0,ROUND(AV112+ROUND(ROUND(AV112*100,0)*ROUND(AS$7*10000,0)/12000000,0)/100+0.02,2),0)</f>
        <v>0</v>
      </c>
    </row>
    <row r="114" spans="1:48" x14ac:dyDescent="0.25">
      <c r="A114" s="17" t="str">
        <f>IF(F114&gt;0,104,"")</f>
        <v/>
      </c>
      <c r="B114" s="18" t="str">
        <f>IF(F114&gt;0,EDATE($E$6,104),"")</f>
        <v/>
      </c>
      <c r="C114" s="21">
        <f>IF(H113&gt;0,MIN(IF(K113&gt;0,I$5,99),IF(O113&gt;0,M$5,99),IF(S113&gt;0,Q$5,99),IF(W113&gt;0,U$5,99),IF(AA113&gt;0,Y$5,99),IF(AE113&gt;0,AC$5,99),IF(AI113&gt;0,AG$5,99),IF(AM113&gt;0,AK$5,99),IF(AQ113&gt;0,AO$5,99),IF(AU113&gt;0,AS$5,99)),0)</f>
        <v>0</v>
      </c>
      <c r="D114" t="str">
        <f>IF(C114&gt;0,INDEX($I$4:$AV$4,1,MATCH(C114,$I$5:$AV$5,0)),"")</f>
        <v/>
      </c>
      <c r="E114" s="24">
        <f>ROUND(IF(AND(I$8&gt;0,K113=0),I$6,0)+IF(AND(M$8&gt;0,O113=0),M$6,0)+IF(AND(Q$8&gt;0,S113=0),Q$6,0)+IF(AND(U$8&gt;0,W113=0),U$6,0)+IF(AND(Y$8&gt;0,AA113=0),Y$6,0)+IF(AND(AC$8&gt;0,AE113=0),AC$6,0)+IF(AND(AG$8&gt;0,AI113=0),AG$6,0)+IF(AND(AK$8&gt;0,AM113=0),AK$6,0)+IF(AND(AO$8&gt;0,AQ113=0),AO$6,0)+IF(AND(AS$8&gt;0,AU113=0),AS$6,0),2)</f>
        <v>325</v>
      </c>
      <c r="F114" s="24">
        <f>ROUND(I114+M114+Q114+U114+Y114+AC114+AG114+AK114+AO114+AS114,2)</f>
        <v>0</v>
      </c>
      <c r="G114" s="24">
        <f>ROUND(J114+N114+R114+V114+Z114+AD114+AH114+AL114+AP114+AT114,2)</f>
        <v>0</v>
      </c>
      <c r="H114" s="24">
        <f>ROUND(K114+O114+S114+W114+AA114+AE114+AI114+AM114+AQ114+AU114,2)</f>
        <v>0</v>
      </c>
      <c r="I114" s="24">
        <f>IF(K113&gt;0,IF(AND(ROUND(K113+J114-ROUND(I$6+IF(I$5=$C114,$E$5+$E114,0),2),2)&gt;0,ROUND(K113+J114-ROUND(I$6+IF(I$5=$C114,$E$5+$E114,0),2),2)&lt;=L114,ROUND(K113+J114-ROUND(I$6+IF(I$5=$C114,$E$5+$E114,0),2),2)*10&lt;=ROUND(I$6+IF(I$5=$C114,$E$5+$E114,0),2)),ROUND(K113+J114,2),MIN(ROUND(I$6+IF(I$5=$C114,$E$5+$E114,0),2),ROUND(K113+J114,2))),0)</f>
        <v>0</v>
      </c>
      <c r="J114" s="24">
        <f>IF(K113&gt;0,ROUND(ROUND(K113*100,0)*ROUND(I$7*10000,0)/12000000,0)/100,0)</f>
        <v>0</v>
      </c>
      <c r="K114" s="24">
        <f>IF(K113&gt;0,ROUND(K113+J114-I114,2),0)</f>
        <v>0</v>
      </c>
      <c r="L114" s="24">
        <f>IF(K113&gt;0,ROUND(L113+ROUND(ROUND(L113*100,0)*ROUND(I$7*10000,0)/12000000,0)/100+0.02,2),0)</f>
        <v>0</v>
      </c>
      <c r="M114" s="24">
        <f>IF(O113&gt;0,IF(AND(ROUND(O113+N114-ROUND(M$6+IF(M$5=$C114,$E$5+$E114,0),2),2)&gt;0,ROUND(O113+N114-ROUND(M$6+IF(M$5=$C114,$E$5+$E114,0),2),2)&lt;=P114,ROUND(O113+N114-ROUND(M$6+IF(M$5=$C114,$E$5+$E114,0),2),2)*10&lt;=ROUND(M$6+IF(M$5=$C114,$E$5+$E114,0),2)),ROUND(O113+N114,2),MIN(ROUND(M$6+IF(M$5=$C114,$E$5+$E114,0),2),ROUND(O113+N114,2))),0)</f>
        <v>0</v>
      </c>
      <c r="N114" s="24">
        <f>IF(O113&gt;0,ROUND(ROUND(O113*100,0)*ROUND(M$7*10000,0)/12000000,0)/100,0)</f>
        <v>0</v>
      </c>
      <c r="O114" s="24">
        <f>IF(O113&gt;0,ROUND(O113+N114-M114,2),0)</f>
        <v>0</v>
      </c>
      <c r="P114" s="24">
        <f>IF(O113&gt;0,ROUND(P113+ROUND(ROUND(P113*100,0)*ROUND(M$7*10000,0)/12000000,0)/100+0.02,2),0)</f>
        <v>0</v>
      </c>
      <c r="Q114" s="24">
        <f>IF(S113&gt;0,IF(AND(ROUND(S113+R114-ROUND(Q$6+IF(Q$5=$C114,$E$5+$E114,0),2),2)&gt;0,ROUND(S113+R114-ROUND(Q$6+IF(Q$5=$C114,$E$5+$E114,0),2),2)&lt;=T114,ROUND(S113+R114-ROUND(Q$6+IF(Q$5=$C114,$E$5+$E114,0),2),2)*10&lt;=ROUND(Q$6+IF(Q$5=$C114,$E$5+$E114,0),2)),ROUND(S113+R114,2),MIN(ROUND(Q$6+IF(Q$5=$C114,$E$5+$E114,0),2),ROUND(S113+R114,2))),0)</f>
        <v>0</v>
      </c>
      <c r="R114" s="24">
        <f>IF(S113&gt;0,ROUND(ROUND(S113*100,0)*ROUND(Q$7*10000,0)/12000000,0)/100,0)</f>
        <v>0</v>
      </c>
      <c r="S114" s="24">
        <f>IF(S113&gt;0,ROUND(S113+R114-Q114,2),0)</f>
        <v>0</v>
      </c>
      <c r="T114" s="24">
        <f>IF(S113&gt;0,ROUND(T113+ROUND(ROUND(T113*100,0)*ROUND(Q$7*10000,0)/12000000,0)/100+0.02,2),0)</f>
        <v>0</v>
      </c>
      <c r="U114" s="24">
        <f>IF(W113&gt;0,IF(AND(ROUND(W113+V114-ROUND(U$6+IF(U$5=$C114,$E$5+$E114,0),2),2)&gt;0,ROUND(W113+V114-ROUND(U$6+IF(U$5=$C114,$E$5+$E114,0),2),2)&lt;=X114,ROUND(W113+V114-ROUND(U$6+IF(U$5=$C114,$E$5+$E114,0),2),2)*10&lt;=ROUND(U$6+IF(U$5=$C114,$E$5+$E114,0),2)),ROUND(W113+V114,2),MIN(ROUND(U$6+IF(U$5=$C114,$E$5+$E114,0),2),ROUND(W113+V114,2))),0)</f>
        <v>0</v>
      </c>
      <c r="V114" s="24">
        <f>IF(W113&gt;0,ROUND(ROUND(W113*100,0)*ROUND(U$7*10000,0)/12000000,0)/100,0)</f>
        <v>0</v>
      </c>
      <c r="W114" s="24">
        <f>IF(W113&gt;0,ROUND(W113+V114-U114,2),0)</f>
        <v>0</v>
      </c>
      <c r="X114" s="24">
        <f>IF(W113&gt;0,ROUND(X113+ROUND(ROUND(X113*100,0)*ROUND(U$7*10000,0)/12000000,0)/100+0.02,2),0)</f>
        <v>0</v>
      </c>
      <c r="Y114" s="24">
        <f>IF(AA113&gt;0,IF(AND(ROUND(AA113+Z114-ROUND(Y$6+IF(Y$5=$C114,$E$5+$E114,0),2),2)&gt;0,ROUND(AA113+Z114-ROUND(Y$6+IF(Y$5=$C114,$E$5+$E114,0),2),2)&lt;=AB114,ROUND(AA113+Z114-ROUND(Y$6+IF(Y$5=$C114,$E$5+$E114,0),2),2)*10&lt;=ROUND(Y$6+IF(Y$5=$C114,$E$5+$E114,0),2)),ROUND(AA113+Z114,2),MIN(ROUND(Y$6+IF(Y$5=$C114,$E$5+$E114,0),2),ROUND(AA113+Z114,2))),0)</f>
        <v>0</v>
      </c>
      <c r="Z114" s="24">
        <f>IF(AA113&gt;0,ROUND(ROUND(AA113*100,0)*ROUND(Y$7*10000,0)/12000000,0)/100,0)</f>
        <v>0</v>
      </c>
      <c r="AA114" s="24">
        <f>IF(AA113&gt;0,ROUND(AA113+Z114-Y114,2),0)</f>
        <v>0</v>
      </c>
      <c r="AB114" s="24">
        <f>IF(AA113&gt;0,ROUND(AB113+ROUND(ROUND(AB113*100,0)*ROUND(Y$7*10000,0)/12000000,0)/100+0.02,2),0)</f>
        <v>0</v>
      </c>
      <c r="AC114" s="24">
        <f>IF(AE113&gt;0,IF(AND(ROUND(AE113+AD114-ROUND(AC$6+IF(AC$5=$C114,$E$5+$E114,0),2),2)&gt;0,ROUND(AE113+AD114-ROUND(AC$6+IF(AC$5=$C114,$E$5+$E114,0),2),2)&lt;=AF114,ROUND(AE113+AD114-ROUND(AC$6+IF(AC$5=$C114,$E$5+$E114,0),2),2)*10&lt;=ROUND(AC$6+IF(AC$5=$C114,$E$5+$E114,0),2)),ROUND(AE113+AD114,2),MIN(ROUND(AC$6+IF(AC$5=$C114,$E$5+$E114,0),2),ROUND(AE113+AD114,2))),0)</f>
        <v>0</v>
      </c>
      <c r="AD114" s="24">
        <f>IF(AE113&gt;0,ROUND(ROUND(AE113*100,0)*ROUND(AC$7*10000,0)/12000000,0)/100,0)</f>
        <v>0</v>
      </c>
      <c r="AE114" s="24">
        <f>IF(AE113&gt;0,ROUND(AE113+AD114-AC114,2),0)</f>
        <v>0</v>
      </c>
      <c r="AF114" s="24">
        <f>IF(AE113&gt;0,ROUND(AF113+ROUND(ROUND(AF113*100,0)*ROUND(AC$7*10000,0)/12000000,0)/100+0.02,2),0)</f>
        <v>0</v>
      </c>
      <c r="AG114" s="24">
        <f>IF(AI113&gt;0,IF(AND(ROUND(AI113+AH114-ROUND(AG$6+IF(AG$5=$C114,$E$5+$E114,0),2),2)&gt;0,ROUND(AI113+AH114-ROUND(AG$6+IF(AG$5=$C114,$E$5+$E114,0),2),2)&lt;=AJ114,ROUND(AI113+AH114-ROUND(AG$6+IF(AG$5=$C114,$E$5+$E114,0),2),2)*10&lt;=ROUND(AG$6+IF(AG$5=$C114,$E$5+$E114,0),2)),ROUND(AI113+AH114,2),MIN(ROUND(AG$6+IF(AG$5=$C114,$E$5+$E114,0),2),ROUND(AI113+AH114,2))),0)</f>
        <v>0</v>
      </c>
      <c r="AH114" s="24">
        <f>IF(AI113&gt;0,ROUND(ROUND(AI113*100,0)*ROUND(AG$7*10000,0)/12000000,0)/100,0)</f>
        <v>0</v>
      </c>
      <c r="AI114" s="24">
        <f>IF(AI113&gt;0,ROUND(AI113+AH114-AG114,2),0)</f>
        <v>0</v>
      </c>
      <c r="AJ114" s="24">
        <f>IF(AI113&gt;0,ROUND(AJ113+ROUND(ROUND(AJ113*100,0)*ROUND(AG$7*10000,0)/12000000,0)/100+0.02,2),0)</f>
        <v>0</v>
      </c>
      <c r="AK114" s="24">
        <f>IF(AM113&gt;0,IF(AND(ROUND(AM113+AL114-ROUND(AK$6+IF(AK$5=$C114,$E$5+$E114,0),2),2)&gt;0,ROUND(AM113+AL114-ROUND(AK$6+IF(AK$5=$C114,$E$5+$E114,0),2),2)&lt;=AN114,ROUND(AM113+AL114-ROUND(AK$6+IF(AK$5=$C114,$E$5+$E114,0),2),2)*10&lt;=ROUND(AK$6+IF(AK$5=$C114,$E$5+$E114,0),2)),ROUND(AM113+AL114,2),MIN(ROUND(AK$6+IF(AK$5=$C114,$E$5+$E114,0),2),ROUND(AM113+AL114,2))),0)</f>
        <v>0</v>
      </c>
      <c r="AL114" s="24">
        <f>IF(AM113&gt;0,ROUND(ROUND(AM113*100,0)*ROUND(AK$7*10000,0)/12000000,0)/100,0)</f>
        <v>0</v>
      </c>
      <c r="AM114" s="24">
        <f>IF(AM113&gt;0,ROUND(AM113+AL114-AK114,2),0)</f>
        <v>0</v>
      </c>
      <c r="AN114" s="24">
        <f>IF(AM113&gt;0,ROUND(AN113+ROUND(ROUND(AN113*100,0)*ROUND(AK$7*10000,0)/12000000,0)/100+0.02,2),0)</f>
        <v>0</v>
      </c>
      <c r="AO114" s="24">
        <f>IF(AQ113&gt;0,IF(AND(ROUND(AQ113+AP114-ROUND(AO$6+IF(AO$5=$C114,$E$5+$E114,0),2),2)&gt;0,ROUND(AQ113+AP114-ROUND(AO$6+IF(AO$5=$C114,$E$5+$E114,0),2),2)&lt;=AR114,ROUND(AQ113+AP114-ROUND(AO$6+IF(AO$5=$C114,$E$5+$E114,0),2),2)*10&lt;=ROUND(AO$6+IF(AO$5=$C114,$E$5+$E114,0),2)),ROUND(AQ113+AP114,2),MIN(ROUND(AO$6+IF(AO$5=$C114,$E$5+$E114,0),2),ROUND(AQ113+AP114,2))),0)</f>
        <v>0</v>
      </c>
      <c r="AP114" s="24">
        <f>IF(AQ113&gt;0,ROUND(ROUND(AQ113*100,0)*ROUND(AO$7*10000,0)/12000000,0)/100,0)</f>
        <v>0</v>
      </c>
      <c r="AQ114" s="24">
        <f>IF(AQ113&gt;0,ROUND(AQ113+AP114-AO114,2),0)</f>
        <v>0</v>
      </c>
      <c r="AR114" s="24">
        <f>IF(AQ113&gt;0,ROUND(AR113+ROUND(ROUND(AR113*100,0)*ROUND(AO$7*10000,0)/12000000,0)/100+0.02,2),0)</f>
        <v>0</v>
      </c>
      <c r="AS114" s="24">
        <f>IF(AU113&gt;0,IF(AND(ROUND(AU113+AT114-ROUND(AS$6+IF(AS$5=$C114,$E$5+$E114,0),2),2)&gt;0,ROUND(AU113+AT114-ROUND(AS$6+IF(AS$5=$C114,$E$5+$E114,0),2),2)&lt;=AV114,ROUND(AU113+AT114-ROUND(AS$6+IF(AS$5=$C114,$E$5+$E114,0),2),2)*10&lt;=ROUND(AS$6+IF(AS$5=$C114,$E$5+$E114,0),2)),ROUND(AU113+AT114,2),MIN(ROUND(AS$6+IF(AS$5=$C114,$E$5+$E114,0),2),ROUND(AU113+AT114,2))),0)</f>
        <v>0</v>
      </c>
      <c r="AT114" s="24">
        <f>IF(AU113&gt;0,ROUND(ROUND(AU113*100,0)*ROUND(AS$7*10000,0)/12000000,0)/100,0)</f>
        <v>0</v>
      </c>
      <c r="AU114" s="24">
        <f>IF(AU113&gt;0,ROUND(AU113+AT114-AS114,2),0)</f>
        <v>0</v>
      </c>
      <c r="AV114" s="24">
        <f>IF(AU113&gt;0,ROUND(AV113+ROUND(ROUND(AV113*100,0)*ROUND(AS$7*10000,0)/12000000,0)/100+0.02,2),0)</f>
        <v>0</v>
      </c>
    </row>
    <row r="115" spans="1:48" x14ac:dyDescent="0.25">
      <c r="A115" s="17" t="str">
        <f>IF(F115&gt;0,105,"")</f>
        <v/>
      </c>
      <c r="B115" s="18" t="str">
        <f>IF(F115&gt;0,EDATE($E$6,105),"")</f>
        <v/>
      </c>
      <c r="C115" s="21">
        <f>IF(H114&gt;0,MIN(IF(K114&gt;0,I$5,99),IF(O114&gt;0,M$5,99),IF(S114&gt;0,Q$5,99),IF(W114&gt;0,U$5,99),IF(AA114&gt;0,Y$5,99),IF(AE114&gt;0,AC$5,99),IF(AI114&gt;0,AG$5,99),IF(AM114&gt;0,AK$5,99),IF(AQ114&gt;0,AO$5,99),IF(AU114&gt;0,AS$5,99)),0)</f>
        <v>0</v>
      </c>
      <c r="D115" t="str">
        <f>IF(C115&gt;0,INDEX($I$4:$AV$4,1,MATCH(C115,$I$5:$AV$5,0)),"")</f>
        <v/>
      </c>
      <c r="E115" s="24">
        <f>ROUND(IF(AND(I$8&gt;0,K114=0),I$6,0)+IF(AND(M$8&gt;0,O114=0),M$6,0)+IF(AND(Q$8&gt;0,S114=0),Q$6,0)+IF(AND(U$8&gt;0,W114=0),U$6,0)+IF(AND(Y$8&gt;0,AA114=0),Y$6,0)+IF(AND(AC$8&gt;0,AE114=0),AC$6,0)+IF(AND(AG$8&gt;0,AI114=0),AG$6,0)+IF(AND(AK$8&gt;0,AM114=0),AK$6,0)+IF(AND(AO$8&gt;0,AQ114=0),AO$6,0)+IF(AND(AS$8&gt;0,AU114=0),AS$6,0),2)</f>
        <v>325</v>
      </c>
      <c r="F115" s="24">
        <f>ROUND(I115+M115+Q115+U115+Y115+AC115+AG115+AK115+AO115+AS115,2)</f>
        <v>0</v>
      </c>
      <c r="G115" s="24">
        <f>ROUND(J115+N115+R115+V115+Z115+AD115+AH115+AL115+AP115+AT115,2)</f>
        <v>0</v>
      </c>
      <c r="H115" s="24">
        <f>ROUND(K115+O115+S115+W115+AA115+AE115+AI115+AM115+AQ115+AU115,2)</f>
        <v>0</v>
      </c>
      <c r="I115" s="24">
        <f>IF(K114&gt;0,IF(AND(ROUND(K114+J115-ROUND(I$6+IF(I$5=$C115,$E$5+$E115,0),2),2)&gt;0,ROUND(K114+J115-ROUND(I$6+IF(I$5=$C115,$E$5+$E115,0),2),2)&lt;=L115,ROUND(K114+J115-ROUND(I$6+IF(I$5=$C115,$E$5+$E115,0),2),2)*10&lt;=ROUND(I$6+IF(I$5=$C115,$E$5+$E115,0),2)),ROUND(K114+J115,2),MIN(ROUND(I$6+IF(I$5=$C115,$E$5+$E115,0),2),ROUND(K114+J115,2))),0)</f>
        <v>0</v>
      </c>
      <c r="J115" s="24">
        <f>IF(K114&gt;0,ROUND(ROUND(K114*100,0)*ROUND(I$7*10000,0)/12000000,0)/100,0)</f>
        <v>0</v>
      </c>
      <c r="K115" s="24">
        <f>IF(K114&gt;0,ROUND(K114+J115-I115,2),0)</f>
        <v>0</v>
      </c>
      <c r="L115" s="24">
        <f>IF(K114&gt;0,ROUND(L114+ROUND(ROUND(L114*100,0)*ROUND(I$7*10000,0)/12000000,0)/100+0.02,2),0)</f>
        <v>0</v>
      </c>
      <c r="M115" s="24">
        <f>IF(O114&gt;0,IF(AND(ROUND(O114+N115-ROUND(M$6+IF(M$5=$C115,$E$5+$E115,0),2),2)&gt;0,ROUND(O114+N115-ROUND(M$6+IF(M$5=$C115,$E$5+$E115,0),2),2)&lt;=P115,ROUND(O114+N115-ROUND(M$6+IF(M$5=$C115,$E$5+$E115,0),2),2)*10&lt;=ROUND(M$6+IF(M$5=$C115,$E$5+$E115,0),2)),ROUND(O114+N115,2),MIN(ROUND(M$6+IF(M$5=$C115,$E$5+$E115,0),2),ROUND(O114+N115,2))),0)</f>
        <v>0</v>
      </c>
      <c r="N115" s="24">
        <f>IF(O114&gt;0,ROUND(ROUND(O114*100,0)*ROUND(M$7*10000,0)/12000000,0)/100,0)</f>
        <v>0</v>
      </c>
      <c r="O115" s="24">
        <f>IF(O114&gt;0,ROUND(O114+N115-M115,2),0)</f>
        <v>0</v>
      </c>
      <c r="P115" s="24">
        <f>IF(O114&gt;0,ROUND(P114+ROUND(ROUND(P114*100,0)*ROUND(M$7*10000,0)/12000000,0)/100+0.02,2),0)</f>
        <v>0</v>
      </c>
      <c r="Q115" s="24">
        <f>IF(S114&gt;0,IF(AND(ROUND(S114+R115-ROUND(Q$6+IF(Q$5=$C115,$E$5+$E115,0),2),2)&gt;0,ROUND(S114+R115-ROUND(Q$6+IF(Q$5=$C115,$E$5+$E115,0),2),2)&lt;=T115,ROUND(S114+R115-ROUND(Q$6+IF(Q$5=$C115,$E$5+$E115,0),2),2)*10&lt;=ROUND(Q$6+IF(Q$5=$C115,$E$5+$E115,0),2)),ROUND(S114+R115,2),MIN(ROUND(Q$6+IF(Q$5=$C115,$E$5+$E115,0),2),ROUND(S114+R115,2))),0)</f>
        <v>0</v>
      </c>
      <c r="R115" s="24">
        <f>IF(S114&gt;0,ROUND(ROUND(S114*100,0)*ROUND(Q$7*10000,0)/12000000,0)/100,0)</f>
        <v>0</v>
      </c>
      <c r="S115" s="24">
        <f>IF(S114&gt;0,ROUND(S114+R115-Q115,2),0)</f>
        <v>0</v>
      </c>
      <c r="T115" s="24">
        <f>IF(S114&gt;0,ROUND(T114+ROUND(ROUND(T114*100,0)*ROUND(Q$7*10000,0)/12000000,0)/100+0.02,2),0)</f>
        <v>0</v>
      </c>
      <c r="U115" s="24">
        <f>IF(W114&gt;0,IF(AND(ROUND(W114+V115-ROUND(U$6+IF(U$5=$C115,$E$5+$E115,0),2),2)&gt;0,ROUND(W114+V115-ROUND(U$6+IF(U$5=$C115,$E$5+$E115,0),2),2)&lt;=X115,ROUND(W114+V115-ROUND(U$6+IF(U$5=$C115,$E$5+$E115,0),2),2)*10&lt;=ROUND(U$6+IF(U$5=$C115,$E$5+$E115,0),2)),ROUND(W114+V115,2),MIN(ROUND(U$6+IF(U$5=$C115,$E$5+$E115,0),2),ROUND(W114+V115,2))),0)</f>
        <v>0</v>
      </c>
      <c r="V115" s="24">
        <f>IF(W114&gt;0,ROUND(ROUND(W114*100,0)*ROUND(U$7*10000,0)/12000000,0)/100,0)</f>
        <v>0</v>
      </c>
      <c r="W115" s="24">
        <f>IF(W114&gt;0,ROUND(W114+V115-U115,2),0)</f>
        <v>0</v>
      </c>
      <c r="X115" s="24">
        <f>IF(W114&gt;0,ROUND(X114+ROUND(ROUND(X114*100,0)*ROUND(U$7*10000,0)/12000000,0)/100+0.02,2),0)</f>
        <v>0</v>
      </c>
      <c r="Y115" s="24">
        <f>IF(AA114&gt;0,IF(AND(ROUND(AA114+Z115-ROUND(Y$6+IF(Y$5=$C115,$E$5+$E115,0),2),2)&gt;0,ROUND(AA114+Z115-ROUND(Y$6+IF(Y$5=$C115,$E$5+$E115,0),2),2)&lt;=AB115,ROUND(AA114+Z115-ROUND(Y$6+IF(Y$5=$C115,$E$5+$E115,0),2),2)*10&lt;=ROUND(Y$6+IF(Y$5=$C115,$E$5+$E115,0),2)),ROUND(AA114+Z115,2),MIN(ROUND(Y$6+IF(Y$5=$C115,$E$5+$E115,0),2),ROUND(AA114+Z115,2))),0)</f>
        <v>0</v>
      </c>
      <c r="Z115" s="24">
        <f>IF(AA114&gt;0,ROUND(ROUND(AA114*100,0)*ROUND(Y$7*10000,0)/12000000,0)/100,0)</f>
        <v>0</v>
      </c>
      <c r="AA115" s="24">
        <f>IF(AA114&gt;0,ROUND(AA114+Z115-Y115,2),0)</f>
        <v>0</v>
      </c>
      <c r="AB115" s="24">
        <f>IF(AA114&gt;0,ROUND(AB114+ROUND(ROUND(AB114*100,0)*ROUND(Y$7*10000,0)/12000000,0)/100+0.02,2),0)</f>
        <v>0</v>
      </c>
      <c r="AC115" s="24">
        <f>IF(AE114&gt;0,IF(AND(ROUND(AE114+AD115-ROUND(AC$6+IF(AC$5=$C115,$E$5+$E115,0),2),2)&gt;0,ROUND(AE114+AD115-ROUND(AC$6+IF(AC$5=$C115,$E$5+$E115,0),2),2)&lt;=AF115,ROUND(AE114+AD115-ROUND(AC$6+IF(AC$5=$C115,$E$5+$E115,0),2),2)*10&lt;=ROUND(AC$6+IF(AC$5=$C115,$E$5+$E115,0),2)),ROUND(AE114+AD115,2),MIN(ROUND(AC$6+IF(AC$5=$C115,$E$5+$E115,0),2),ROUND(AE114+AD115,2))),0)</f>
        <v>0</v>
      </c>
      <c r="AD115" s="24">
        <f>IF(AE114&gt;0,ROUND(ROUND(AE114*100,0)*ROUND(AC$7*10000,0)/12000000,0)/100,0)</f>
        <v>0</v>
      </c>
      <c r="AE115" s="24">
        <f>IF(AE114&gt;0,ROUND(AE114+AD115-AC115,2),0)</f>
        <v>0</v>
      </c>
      <c r="AF115" s="24">
        <f>IF(AE114&gt;0,ROUND(AF114+ROUND(ROUND(AF114*100,0)*ROUND(AC$7*10000,0)/12000000,0)/100+0.02,2),0)</f>
        <v>0</v>
      </c>
      <c r="AG115" s="24">
        <f>IF(AI114&gt;0,IF(AND(ROUND(AI114+AH115-ROUND(AG$6+IF(AG$5=$C115,$E$5+$E115,0),2),2)&gt;0,ROUND(AI114+AH115-ROUND(AG$6+IF(AG$5=$C115,$E$5+$E115,0),2),2)&lt;=AJ115,ROUND(AI114+AH115-ROUND(AG$6+IF(AG$5=$C115,$E$5+$E115,0),2),2)*10&lt;=ROUND(AG$6+IF(AG$5=$C115,$E$5+$E115,0),2)),ROUND(AI114+AH115,2),MIN(ROUND(AG$6+IF(AG$5=$C115,$E$5+$E115,0),2),ROUND(AI114+AH115,2))),0)</f>
        <v>0</v>
      </c>
      <c r="AH115" s="24">
        <f>IF(AI114&gt;0,ROUND(ROUND(AI114*100,0)*ROUND(AG$7*10000,0)/12000000,0)/100,0)</f>
        <v>0</v>
      </c>
      <c r="AI115" s="24">
        <f>IF(AI114&gt;0,ROUND(AI114+AH115-AG115,2),0)</f>
        <v>0</v>
      </c>
      <c r="AJ115" s="24">
        <f>IF(AI114&gt;0,ROUND(AJ114+ROUND(ROUND(AJ114*100,0)*ROUND(AG$7*10000,0)/12000000,0)/100+0.02,2),0)</f>
        <v>0</v>
      </c>
      <c r="AK115" s="24">
        <f>IF(AM114&gt;0,IF(AND(ROUND(AM114+AL115-ROUND(AK$6+IF(AK$5=$C115,$E$5+$E115,0),2),2)&gt;0,ROUND(AM114+AL115-ROUND(AK$6+IF(AK$5=$C115,$E$5+$E115,0),2),2)&lt;=AN115,ROUND(AM114+AL115-ROUND(AK$6+IF(AK$5=$C115,$E$5+$E115,0),2),2)*10&lt;=ROUND(AK$6+IF(AK$5=$C115,$E$5+$E115,0),2)),ROUND(AM114+AL115,2),MIN(ROUND(AK$6+IF(AK$5=$C115,$E$5+$E115,0),2),ROUND(AM114+AL115,2))),0)</f>
        <v>0</v>
      </c>
      <c r="AL115" s="24">
        <f>IF(AM114&gt;0,ROUND(ROUND(AM114*100,0)*ROUND(AK$7*10000,0)/12000000,0)/100,0)</f>
        <v>0</v>
      </c>
      <c r="AM115" s="24">
        <f>IF(AM114&gt;0,ROUND(AM114+AL115-AK115,2),0)</f>
        <v>0</v>
      </c>
      <c r="AN115" s="24">
        <f>IF(AM114&gt;0,ROUND(AN114+ROUND(ROUND(AN114*100,0)*ROUND(AK$7*10000,0)/12000000,0)/100+0.02,2),0)</f>
        <v>0</v>
      </c>
      <c r="AO115" s="24">
        <f>IF(AQ114&gt;0,IF(AND(ROUND(AQ114+AP115-ROUND(AO$6+IF(AO$5=$C115,$E$5+$E115,0),2),2)&gt;0,ROUND(AQ114+AP115-ROUND(AO$6+IF(AO$5=$C115,$E$5+$E115,0),2),2)&lt;=AR115,ROUND(AQ114+AP115-ROUND(AO$6+IF(AO$5=$C115,$E$5+$E115,0),2),2)*10&lt;=ROUND(AO$6+IF(AO$5=$C115,$E$5+$E115,0),2)),ROUND(AQ114+AP115,2),MIN(ROUND(AO$6+IF(AO$5=$C115,$E$5+$E115,0),2),ROUND(AQ114+AP115,2))),0)</f>
        <v>0</v>
      </c>
      <c r="AP115" s="24">
        <f>IF(AQ114&gt;0,ROUND(ROUND(AQ114*100,0)*ROUND(AO$7*10000,0)/12000000,0)/100,0)</f>
        <v>0</v>
      </c>
      <c r="AQ115" s="24">
        <f>IF(AQ114&gt;0,ROUND(AQ114+AP115-AO115,2),0)</f>
        <v>0</v>
      </c>
      <c r="AR115" s="24">
        <f>IF(AQ114&gt;0,ROUND(AR114+ROUND(ROUND(AR114*100,0)*ROUND(AO$7*10000,0)/12000000,0)/100+0.02,2),0)</f>
        <v>0</v>
      </c>
      <c r="AS115" s="24">
        <f>IF(AU114&gt;0,IF(AND(ROUND(AU114+AT115-ROUND(AS$6+IF(AS$5=$C115,$E$5+$E115,0),2),2)&gt;0,ROUND(AU114+AT115-ROUND(AS$6+IF(AS$5=$C115,$E$5+$E115,0),2),2)&lt;=AV115,ROUND(AU114+AT115-ROUND(AS$6+IF(AS$5=$C115,$E$5+$E115,0),2),2)*10&lt;=ROUND(AS$6+IF(AS$5=$C115,$E$5+$E115,0),2)),ROUND(AU114+AT115,2),MIN(ROUND(AS$6+IF(AS$5=$C115,$E$5+$E115,0),2),ROUND(AU114+AT115,2))),0)</f>
        <v>0</v>
      </c>
      <c r="AT115" s="24">
        <f>IF(AU114&gt;0,ROUND(ROUND(AU114*100,0)*ROUND(AS$7*10000,0)/12000000,0)/100,0)</f>
        <v>0</v>
      </c>
      <c r="AU115" s="24">
        <f>IF(AU114&gt;0,ROUND(AU114+AT115-AS115,2),0)</f>
        <v>0</v>
      </c>
      <c r="AV115" s="24">
        <f>IF(AU114&gt;0,ROUND(AV114+ROUND(ROUND(AV114*100,0)*ROUND(AS$7*10000,0)/12000000,0)/100+0.02,2),0)</f>
        <v>0</v>
      </c>
    </row>
    <row r="116" spans="1:48" x14ac:dyDescent="0.25">
      <c r="A116" s="17" t="str">
        <f>IF(F116&gt;0,106,"")</f>
        <v/>
      </c>
      <c r="B116" s="18" t="str">
        <f>IF(F116&gt;0,EDATE($E$6,106),"")</f>
        <v/>
      </c>
      <c r="C116" s="21">
        <f>IF(H115&gt;0,MIN(IF(K115&gt;0,I$5,99),IF(O115&gt;0,M$5,99),IF(S115&gt;0,Q$5,99),IF(W115&gt;0,U$5,99),IF(AA115&gt;0,Y$5,99),IF(AE115&gt;0,AC$5,99),IF(AI115&gt;0,AG$5,99),IF(AM115&gt;0,AK$5,99),IF(AQ115&gt;0,AO$5,99),IF(AU115&gt;0,AS$5,99)),0)</f>
        <v>0</v>
      </c>
      <c r="D116" t="str">
        <f>IF(C116&gt;0,INDEX($I$4:$AV$4,1,MATCH(C116,$I$5:$AV$5,0)),"")</f>
        <v/>
      </c>
      <c r="E116" s="24">
        <f>ROUND(IF(AND(I$8&gt;0,K115=0),I$6,0)+IF(AND(M$8&gt;0,O115=0),M$6,0)+IF(AND(Q$8&gt;0,S115=0),Q$6,0)+IF(AND(U$8&gt;0,W115=0),U$6,0)+IF(AND(Y$8&gt;0,AA115=0),Y$6,0)+IF(AND(AC$8&gt;0,AE115=0),AC$6,0)+IF(AND(AG$8&gt;0,AI115=0),AG$6,0)+IF(AND(AK$8&gt;0,AM115=0),AK$6,0)+IF(AND(AO$8&gt;0,AQ115=0),AO$6,0)+IF(AND(AS$8&gt;0,AU115=0),AS$6,0),2)</f>
        <v>325</v>
      </c>
      <c r="F116" s="24">
        <f>ROUND(I116+M116+Q116+U116+Y116+AC116+AG116+AK116+AO116+AS116,2)</f>
        <v>0</v>
      </c>
      <c r="G116" s="24">
        <f>ROUND(J116+N116+R116+V116+Z116+AD116+AH116+AL116+AP116+AT116,2)</f>
        <v>0</v>
      </c>
      <c r="H116" s="24">
        <f>ROUND(K116+O116+S116+W116+AA116+AE116+AI116+AM116+AQ116+AU116,2)</f>
        <v>0</v>
      </c>
      <c r="I116" s="24">
        <f>IF(K115&gt;0,IF(AND(ROUND(K115+J116-ROUND(I$6+IF(I$5=$C116,$E$5+$E116,0),2),2)&gt;0,ROUND(K115+J116-ROUND(I$6+IF(I$5=$C116,$E$5+$E116,0),2),2)&lt;=L116,ROUND(K115+J116-ROUND(I$6+IF(I$5=$C116,$E$5+$E116,0),2),2)*10&lt;=ROUND(I$6+IF(I$5=$C116,$E$5+$E116,0),2)),ROUND(K115+J116,2),MIN(ROUND(I$6+IF(I$5=$C116,$E$5+$E116,0),2),ROUND(K115+J116,2))),0)</f>
        <v>0</v>
      </c>
      <c r="J116" s="24">
        <f>IF(K115&gt;0,ROUND(ROUND(K115*100,0)*ROUND(I$7*10000,0)/12000000,0)/100,0)</f>
        <v>0</v>
      </c>
      <c r="K116" s="24">
        <f>IF(K115&gt;0,ROUND(K115+J116-I116,2),0)</f>
        <v>0</v>
      </c>
      <c r="L116" s="24">
        <f>IF(K115&gt;0,ROUND(L115+ROUND(ROUND(L115*100,0)*ROUND(I$7*10000,0)/12000000,0)/100+0.02,2),0)</f>
        <v>0</v>
      </c>
      <c r="M116" s="24">
        <f>IF(O115&gt;0,IF(AND(ROUND(O115+N116-ROUND(M$6+IF(M$5=$C116,$E$5+$E116,0),2),2)&gt;0,ROUND(O115+N116-ROUND(M$6+IF(M$5=$C116,$E$5+$E116,0),2),2)&lt;=P116,ROUND(O115+N116-ROUND(M$6+IF(M$5=$C116,$E$5+$E116,0),2),2)*10&lt;=ROUND(M$6+IF(M$5=$C116,$E$5+$E116,0),2)),ROUND(O115+N116,2),MIN(ROUND(M$6+IF(M$5=$C116,$E$5+$E116,0),2),ROUND(O115+N116,2))),0)</f>
        <v>0</v>
      </c>
      <c r="N116" s="24">
        <f>IF(O115&gt;0,ROUND(ROUND(O115*100,0)*ROUND(M$7*10000,0)/12000000,0)/100,0)</f>
        <v>0</v>
      </c>
      <c r="O116" s="24">
        <f>IF(O115&gt;0,ROUND(O115+N116-M116,2),0)</f>
        <v>0</v>
      </c>
      <c r="P116" s="24">
        <f>IF(O115&gt;0,ROUND(P115+ROUND(ROUND(P115*100,0)*ROUND(M$7*10000,0)/12000000,0)/100+0.02,2),0)</f>
        <v>0</v>
      </c>
      <c r="Q116" s="24">
        <f>IF(S115&gt;0,IF(AND(ROUND(S115+R116-ROUND(Q$6+IF(Q$5=$C116,$E$5+$E116,0),2),2)&gt;0,ROUND(S115+R116-ROUND(Q$6+IF(Q$5=$C116,$E$5+$E116,0),2),2)&lt;=T116,ROUND(S115+R116-ROUND(Q$6+IF(Q$5=$C116,$E$5+$E116,0),2),2)*10&lt;=ROUND(Q$6+IF(Q$5=$C116,$E$5+$E116,0),2)),ROUND(S115+R116,2),MIN(ROUND(Q$6+IF(Q$5=$C116,$E$5+$E116,0),2),ROUND(S115+R116,2))),0)</f>
        <v>0</v>
      </c>
      <c r="R116" s="24">
        <f>IF(S115&gt;0,ROUND(ROUND(S115*100,0)*ROUND(Q$7*10000,0)/12000000,0)/100,0)</f>
        <v>0</v>
      </c>
      <c r="S116" s="24">
        <f>IF(S115&gt;0,ROUND(S115+R116-Q116,2),0)</f>
        <v>0</v>
      </c>
      <c r="T116" s="24">
        <f>IF(S115&gt;0,ROUND(T115+ROUND(ROUND(T115*100,0)*ROUND(Q$7*10000,0)/12000000,0)/100+0.02,2),0)</f>
        <v>0</v>
      </c>
      <c r="U116" s="24">
        <f>IF(W115&gt;0,IF(AND(ROUND(W115+V116-ROUND(U$6+IF(U$5=$C116,$E$5+$E116,0),2),2)&gt;0,ROUND(W115+V116-ROUND(U$6+IF(U$5=$C116,$E$5+$E116,0),2),2)&lt;=X116,ROUND(W115+V116-ROUND(U$6+IF(U$5=$C116,$E$5+$E116,0),2),2)*10&lt;=ROUND(U$6+IF(U$5=$C116,$E$5+$E116,0),2)),ROUND(W115+V116,2),MIN(ROUND(U$6+IF(U$5=$C116,$E$5+$E116,0),2),ROUND(W115+V116,2))),0)</f>
        <v>0</v>
      </c>
      <c r="V116" s="24">
        <f>IF(W115&gt;0,ROUND(ROUND(W115*100,0)*ROUND(U$7*10000,0)/12000000,0)/100,0)</f>
        <v>0</v>
      </c>
      <c r="W116" s="24">
        <f>IF(W115&gt;0,ROUND(W115+V116-U116,2),0)</f>
        <v>0</v>
      </c>
      <c r="X116" s="24">
        <f>IF(W115&gt;0,ROUND(X115+ROUND(ROUND(X115*100,0)*ROUND(U$7*10000,0)/12000000,0)/100+0.02,2),0)</f>
        <v>0</v>
      </c>
      <c r="Y116" s="24">
        <f>IF(AA115&gt;0,IF(AND(ROUND(AA115+Z116-ROUND(Y$6+IF(Y$5=$C116,$E$5+$E116,0),2),2)&gt;0,ROUND(AA115+Z116-ROUND(Y$6+IF(Y$5=$C116,$E$5+$E116,0),2),2)&lt;=AB116,ROUND(AA115+Z116-ROUND(Y$6+IF(Y$5=$C116,$E$5+$E116,0),2),2)*10&lt;=ROUND(Y$6+IF(Y$5=$C116,$E$5+$E116,0),2)),ROUND(AA115+Z116,2),MIN(ROUND(Y$6+IF(Y$5=$C116,$E$5+$E116,0),2),ROUND(AA115+Z116,2))),0)</f>
        <v>0</v>
      </c>
      <c r="Z116" s="24">
        <f>IF(AA115&gt;0,ROUND(ROUND(AA115*100,0)*ROUND(Y$7*10000,0)/12000000,0)/100,0)</f>
        <v>0</v>
      </c>
      <c r="AA116" s="24">
        <f>IF(AA115&gt;0,ROUND(AA115+Z116-Y116,2),0)</f>
        <v>0</v>
      </c>
      <c r="AB116" s="24">
        <f>IF(AA115&gt;0,ROUND(AB115+ROUND(ROUND(AB115*100,0)*ROUND(Y$7*10000,0)/12000000,0)/100+0.02,2),0)</f>
        <v>0</v>
      </c>
      <c r="AC116" s="24">
        <f>IF(AE115&gt;0,IF(AND(ROUND(AE115+AD116-ROUND(AC$6+IF(AC$5=$C116,$E$5+$E116,0),2),2)&gt;0,ROUND(AE115+AD116-ROUND(AC$6+IF(AC$5=$C116,$E$5+$E116,0),2),2)&lt;=AF116,ROUND(AE115+AD116-ROUND(AC$6+IF(AC$5=$C116,$E$5+$E116,0),2),2)*10&lt;=ROUND(AC$6+IF(AC$5=$C116,$E$5+$E116,0),2)),ROUND(AE115+AD116,2),MIN(ROUND(AC$6+IF(AC$5=$C116,$E$5+$E116,0),2),ROUND(AE115+AD116,2))),0)</f>
        <v>0</v>
      </c>
      <c r="AD116" s="24">
        <f>IF(AE115&gt;0,ROUND(ROUND(AE115*100,0)*ROUND(AC$7*10000,0)/12000000,0)/100,0)</f>
        <v>0</v>
      </c>
      <c r="AE116" s="24">
        <f>IF(AE115&gt;0,ROUND(AE115+AD116-AC116,2),0)</f>
        <v>0</v>
      </c>
      <c r="AF116" s="24">
        <f>IF(AE115&gt;0,ROUND(AF115+ROUND(ROUND(AF115*100,0)*ROUND(AC$7*10000,0)/12000000,0)/100+0.02,2),0)</f>
        <v>0</v>
      </c>
      <c r="AG116" s="24">
        <f>IF(AI115&gt;0,IF(AND(ROUND(AI115+AH116-ROUND(AG$6+IF(AG$5=$C116,$E$5+$E116,0),2),2)&gt;0,ROUND(AI115+AH116-ROUND(AG$6+IF(AG$5=$C116,$E$5+$E116,0),2),2)&lt;=AJ116,ROUND(AI115+AH116-ROUND(AG$6+IF(AG$5=$C116,$E$5+$E116,0),2),2)*10&lt;=ROUND(AG$6+IF(AG$5=$C116,$E$5+$E116,0),2)),ROUND(AI115+AH116,2),MIN(ROUND(AG$6+IF(AG$5=$C116,$E$5+$E116,0),2),ROUND(AI115+AH116,2))),0)</f>
        <v>0</v>
      </c>
      <c r="AH116" s="24">
        <f>IF(AI115&gt;0,ROUND(ROUND(AI115*100,0)*ROUND(AG$7*10000,0)/12000000,0)/100,0)</f>
        <v>0</v>
      </c>
      <c r="AI116" s="24">
        <f>IF(AI115&gt;0,ROUND(AI115+AH116-AG116,2),0)</f>
        <v>0</v>
      </c>
      <c r="AJ116" s="24">
        <f>IF(AI115&gt;0,ROUND(AJ115+ROUND(ROUND(AJ115*100,0)*ROUND(AG$7*10000,0)/12000000,0)/100+0.02,2),0)</f>
        <v>0</v>
      </c>
      <c r="AK116" s="24">
        <f>IF(AM115&gt;0,IF(AND(ROUND(AM115+AL116-ROUND(AK$6+IF(AK$5=$C116,$E$5+$E116,0),2),2)&gt;0,ROUND(AM115+AL116-ROUND(AK$6+IF(AK$5=$C116,$E$5+$E116,0),2),2)&lt;=AN116,ROUND(AM115+AL116-ROUND(AK$6+IF(AK$5=$C116,$E$5+$E116,0),2),2)*10&lt;=ROUND(AK$6+IF(AK$5=$C116,$E$5+$E116,0),2)),ROUND(AM115+AL116,2),MIN(ROUND(AK$6+IF(AK$5=$C116,$E$5+$E116,0),2),ROUND(AM115+AL116,2))),0)</f>
        <v>0</v>
      </c>
      <c r="AL116" s="24">
        <f>IF(AM115&gt;0,ROUND(ROUND(AM115*100,0)*ROUND(AK$7*10000,0)/12000000,0)/100,0)</f>
        <v>0</v>
      </c>
      <c r="AM116" s="24">
        <f>IF(AM115&gt;0,ROUND(AM115+AL116-AK116,2),0)</f>
        <v>0</v>
      </c>
      <c r="AN116" s="24">
        <f>IF(AM115&gt;0,ROUND(AN115+ROUND(ROUND(AN115*100,0)*ROUND(AK$7*10000,0)/12000000,0)/100+0.02,2),0)</f>
        <v>0</v>
      </c>
      <c r="AO116" s="24">
        <f>IF(AQ115&gt;0,IF(AND(ROUND(AQ115+AP116-ROUND(AO$6+IF(AO$5=$C116,$E$5+$E116,0),2),2)&gt;0,ROUND(AQ115+AP116-ROUND(AO$6+IF(AO$5=$C116,$E$5+$E116,0),2),2)&lt;=AR116,ROUND(AQ115+AP116-ROUND(AO$6+IF(AO$5=$C116,$E$5+$E116,0),2),2)*10&lt;=ROUND(AO$6+IF(AO$5=$C116,$E$5+$E116,0),2)),ROUND(AQ115+AP116,2),MIN(ROUND(AO$6+IF(AO$5=$C116,$E$5+$E116,0),2),ROUND(AQ115+AP116,2))),0)</f>
        <v>0</v>
      </c>
      <c r="AP116" s="24">
        <f>IF(AQ115&gt;0,ROUND(ROUND(AQ115*100,0)*ROUND(AO$7*10000,0)/12000000,0)/100,0)</f>
        <v>0</v>
      </c>
      <c r="AQ116" s="24">
        <f>IF(AQ115&gt;0,ROUND(AQ115+AP116-AO116,2),0)</f>
        <v>0</v>
      </c>
      <c r="AR116" s="24">
        <f>IF(AQ115&gt;0,ROUND(AR115+ROUND(ROUND(AR115*100,0)*ROUND(AO$7*10000,0)/12000000,0)/100+0.02,2),0)</f>
        <v>0</v>
      </c>
      <c r="AS116" s="24">
        <f>IF(AU115&gt;0,IF(AND(ROUND(AU115+AT116-ROUND(AS$6+IF(AS$5=$C116,$E$5+$E116,0),2),2)&gt;0,ROUND(AU115+AT116-ROUND(AS$6+IF(AS$5=$C116,$E$5+$E116,0),2),2)&lt;=AV116,ROUND(AU115+AT116-ROUND(AS$6+IF(AS$5=$C116,$E$5+$E116,0),2),2)*10&lt;=ROUND(AS$6+IF(AS$5=$C116,$E$5+$E116,0),2)),ROUND(AU115+AT116,2),MIN(ROUND(AS$6+IF(AS$5=$C116,$E$5+$E116,0),2),ROUND(AU115+AT116,2))),0)</f>
        <v>0</v>
      </c>
      <c r="AT116" s="24">
        <f>IF(AU115&gt;0,ROUND(ROUND(AU115*100,0)*ROUND(AS$7*10000,0)/12000000,0)/100,0)</f>
        <v>0</v>
      </c>
      <c r="AU116" s="24">
        <f>IF(AU115&gt;0,ROUND(AU115+AT116-AS116,2),0)</f>
        <v>0</v>
      </c>
      <c r="AV116" s="24">
        <f>IF(AU115&gt;0,ROUND(AV115+ROUND(ROUND(AV115*100,0)*ROUND(AS$7*10000,0)/12000000,0)/100+0.02,2),0)</f>
        <v>0</v>
      </c>
    </row>
    <row r="117" spans="1:48" x14ac:dyDescent="0.25">
      <c r="A117" s="17" t="str">
        <f>IF(F117&gt;0,107,"")</f>
        <v/>
      </c>
      <c r="B117" s="18" t="str">
        <f>IF(F117&gt;0,EDATE($E$6,107),"")</f>
        <v/>
      </c>
      <c r="C117" s="21">
        <f>IF(H116&gt;0,MIN(IF(K116&gt;0,I$5,99),IF(O116&gt;0,M$5,99),IF(S116&gt;0,Q$5,99),IF(W116&gt;0,U$5,99),IF(AA116&gt;0,Y$5,99),IF(AE116&gt;0,AC$5,99),IF(AI116&gt;0,AG$5,99),IF(AM116&gt;0,AK$5,99),IF(AQ116&gt;0,AO$5,99),IF(AU116&gt;0,AS$5,99)),0)</f>
        <v>0</v>
      </c>
      <c r="D117" t="str">
        <f>IF(C117&gt;0,INDEX($I$4:$AV$4,1,MATCH(C117,$I$5:$AV$5,0)),"")</f>
        <v/>
      </c>
      <c r="E117" s="24">
        <f>ROUND(IF(AND(I$8&gt;0,K116=0),I$6,0)+IF(AND(M$8&gt;0,O116=0),M$6,0)+IF(AND(Q$8&gt;0,S116=0),Q$6,0)+IF(AND(U$8&gt;0,W116=0),U$6,0)+IF(AND(Y$8&gt;0,AA116=0),Y$6,0)+IF(AND(AC$8&gt;0,AE116=0),AC$6,0)+IF(AND(AG$8&gt;0,AI116=0),AG$6,0)+IF(AND(AK$8&gt;0,AM116=0),AK$6,0)+IF(AND(AO$8&gt;0,AQ116=0),AO$6,0)+IF(AND(AS$8&gt;0,AU116=0),AS$6,0),2)</f>
        <v>325</v>
      </c>
      <c r="F117" s="24">
        <f>ROUND(I117+M117+Q117+U117+Y117+AC117+AG117+AK117+AO117+AS117,2)</f>
        <v>0</v>
      </c>
      <c r="G117" s="24">
        <f>ROUND(J117+N117+R117+V117+Z117+AD117+AH117+AL117+AP117+AT117,2)</f>
        <v>0</v>
      </c>
      <c r="H117" s="24">
        <f>ROUND(K117+O117+S117+W117+AA117+AE117+AI117+AM117+AQ117+AU117,2)</f>
        <v>0</v>
      </c>
      <c r="I117" s="24">
        <f>IF(K116&gt;0,IF(AND(ROUND(K116+J117-ROUND(I$6+IF(I$5=$C117,$E$5+$E117,0),2),2)&gt;0,ROUND(K116+J117-ROUND(I$6+IF(I$5=$C117,$E$5+$E117,0),2),2)&lt;=L117,ROUND(K116+J117-ROUND(I$6+IF(I$5=$C117,$E$5+$E117,0),2),2)*10&lt;=ROUND(I$6+IF(I$5=$C117,$E$5+$E117,0),2)),ROUND(K116+J117,2),MIN(ROUND(I$6+IF(I$5=$C117,$E$5+$E117,0),2),ROUND(K116+J117,2))),0)</f>
        <v>0</v>
      </c>
      <c r="J117" s="24">
        <f>IF(K116&gt;0,ROUND(ROUND(K116*100,0)*ROUND(I$7*10000,0)/12000000,0)/100,0)</f>
        <v>0</v>
      </c>
      <c r="K117" s="24">
        <f>IF(K116&gt;0,ROUND(K116+J117-I117,2),0)</f>
        <v>0</v>
      </c>
      <c r="L117" s="24">
        <f>IF(K116&gt;0,ROUND(L116+ROUND(ROUND(L116*100,0)*ROUND(I$7*10000,0)/12000000,0)/100+0.02,2),0)</f>
        <v>0</v>
      </c>
      <c r="M117" s="24">
        <f>IF(O116&gt;0,IF(AND(ROUND(O116+N117-ROUND(M$6+IF(M$5=$C117,$E$5+$E117,0),2),2)&gt;0,ROUND(O116+N117-ROUND(M$6+IF(M$5=$C117,$E$5+$E117,0),2),2)&lt;=P117,ROUND(O116+N117-ROUND(M$6+IF(M$5=$C117,$E$5+$E117,0),2),2)*10&lt;=ROUND(M$6+IF(M$5=$C117,$E$5+$E117,0),2)),ROUND(O116+N117,2),MIN(ROUND(M$6+IF(M$5=$C117,$E$5+$E117,0),2),ROUND(O116+N117,2))),0)</f>
        <v>0</v>
      </c>
      <c r="N117" s="24">
        <f>IF(O116&gt;0,ROUND(ROUND(O116*100,0)*ROUND(M$7*10000,0)/12000000,0)/100,0)</f>
        <v>0</v>
      </c>
      <c r="O117" s="24">
        <f>IF(O116&gt;0,ROUND(O116+N117-M117,2),0)</f>
        <v>0</v>
      </c>
      <c r="P117" s="24">
        <f>IF(O116&gt;0,ROUND(P116+ROUND(ROUND(P116*100,0)*ROUND(M$7*10000,0)/12000000,0)/100+0.02,2),0)</f>
        <v>0</v>
      </c>
      <c r="Q117" s="24">
        <f>IF(S116&gt;0,IF(AND(ROUND(S116+R117-ROUND(Q$6+IF(Q$5=$C117,$E$5+$E117,0),2),2)&gt;0,ROUND(S116+R117-ROUND(Q$6+IF(Q$5=$C117,$E$5+$E117,0),2),2)&lt;=T117,ROUND(S116+R117-ROUND(Q$6+IF(Q$5=$C117,$E$5+$E117,0),2),2)*10&lt;=ROUND(Q$6+IF(Q$5=$C117,$E$5+$E117,0),2)),ROUND(S116+R117,2),MIN(ROUND(Q$6+IF(Q$5=$C117,$E$5+$E117,0),2),ROUND(S116+R117,2))),0)</f>
        <v>0</v>
      </c>
      <c r="R117" s="24">
        <f>IF(S116&gt;0,ROUND(ROUND(S116*100,0)*ROUND(Q$7*10000,0)/12000000,0)/100,0)</f>
        <v>0</v>
      </c>
      <c r="S117" s="24">
        <f>IF(S116&gt;0,ROUND(S116+R117-Q117,2),0)</f>
        <v>0</v>
      </c>
      <c r="T117" s="24">
        <f>IF(S116&gt;0,ROUND(T116+ROUND(ROUND(T116*100,0)*ROUND(Q$7*10000,0)/12000000,0)/100+0.02,2),0)</f>
        <v>0</v>
      </c>
      <c r="U117" s="24">
        <f>IF(W116&gt;0,IF(AND(ROUND(W116+V117-ROUND(U$6+IF(U$5=$C117,$E$5+$E117,0),2),2)&gt;0,ROUND(W116+V117-ROUND(U$6+IF(U$5=$C117,$E$5+$E117,0),2),2)&lt;=X117,ROUND(W116+V117-ROUND(U$6+IF(U$5=$C117,$E$5+$E117,0),2),2)*10&lt;=ROUND(U$6+IF(U$5=$C117,$E$5+$E117,0),2)),ROUND(W116+V117,2),MIN(ROUND(U$6+IF(U$5=$C117,$E$5+$E117,0),2),ROUND(W116+V117,2))),0)</f>
        <v>0</v>
      </c>
      <c r="V117" s="24">
        <f>IF(W116&gt;0,ROUND(ROUND(W116*100,0)*ROUND(U$7*10000,0)/12000000,0)/100,0)</f>
        <v>0</v>
      </c>
      <c r="W117" s="24">
        <f>IF(W116&gt;0,ROUND(W116+V117-U117,2),0)</f>
        <v>0</v>
      </c>
      <c r="X117" s="24">
        <f>IF(W116&gt;0,ROUND(X116+ROUND(ROUND(X116*100,0)*ROUND(U$7*10000,0)/12000000,0)/100+0.02,2),0)</f>
        <v>0</v>
      </c>
      <c r="Y117" s="24">
        <f>IF(AA116&gt;0,IF(AND(ROUND(AA116+Z117-ROUND(Y$6+IF(Y$5=$C117,$E$5+$E117,0),2),2)&gt;0,ROUND(AA116+Z117-ROUND(Y$6+IF(Y$5=$C117,$E$5+$E117,0),2),2)&lt;=AB117,ROUND(AA116+Z117-ROUND(Y$6+IF(Y$5=$C117,$E$5+$E117,0),2),2)*10&lt;=ROUND(Y$6+IF(Y$5=$C117,$E$5+$E117,0),2)),ROUND(AA116+Z117,2),MIN(ROUND(Y$6+IF(Y$5=$C117,$E$5+$E117,0),2),ROUND(AA116+Z117,2))),0)</f>
        <v>0</v>
      </c>
      <c r="Z117" s="24">
        <f>IF(AA116&gt;0,ROUND(ROUND(AA116*100,0)*ROUND(Y$7*10000,0)/12000000,0)/100,0)</f>
        <v>0</v>
      </c>
      <c r="AA117" s="24">
        <f>IF(AA116&gt;0,ROUND(AA116+Z117-Y117,2),0)</f>
        <v>0</v>
      </c>
      <c r="AB117" s="24">
        <f>IF(AA116&gt;0,ROUND(AB116+ROUND(ROUND(AB116*100,0)*ROUND(Y$7*10000,0)/12000000,0)/100+0.02,2),0)</f>
        <v>0</v>
      </c>
      <c r="AC117" s="24">
        <f>IF(AE116&gt;0,IF(AND(ROUND(AE116+AD117-ROUND(AC$6+IF(AC$5=$C117,$E$5+$E117,0),2),2)&gt;0,ROUND(AE116+AD117-ROUND(AC$6+IF(AC$5=$C117,$E$5+$E117,0),2),2)&lt;=AF117,ROUND(AE116+AD117-ROUND(AC$6+IF(AC$5=$C117,$E$5+$E117,0),2),2)*10&lt;=ROUND(AC$6+IF(AC$5=$C117,$E$5+$E117,0),2)),ROUND(AE116+AD117,2),MIN(ROUND(AC$6+IF(AC$5=$C117,$E$5+$E117,0),2),ROUND(AE116+AD117,2))),0)</f>
        <v>0</v>
      </c>
      <c r="AD117" s="24">
        <f>IF(AE116&gt;0,ROUND(ROUND(AE116*100,0)*ROUND(AC$7*10000,0)/12000000,0)/100,0)</f>
        <v>0</v>
      </c>
      <c r="AE117" s="24">
        <f>IF(AE116&gt;0,ROUND(AE116+AD117-AC117,2),0)</f>
        <v>0</v>
      </c>
      <c r="AF117" s="24">
        <f>IF(AE116&gt;0,ROUND(AF116+ROUND(ROUND(AF116*100,0)*ROUND(AC$7*10000,0)/12000000,0)/100+0.02,2),0)</f>
        <v>0</v>
      </c>
      <c r="AG117" s="24">
        <f>IF(AI116&gt;0,IF(AND(ROUND(AI116+AH117-ROUND(AG$6+IF(AG$5=$C117,$E$5+$E117,0),2),2)&gt;0,ROUND(AI116+AH117-ROUND(AG$6+IF(AG$5=$C117,$E$5+$E117,0),2),2)&lt;=AJ117,ROUND(AI116+AH117-ROUND(AG$6+IF(AG$5=$C117,$E$5+$E117,0),2),2)*10&lt;=ROUND(AG$6+IF(AG$5=$C117,$E$5+$E117,0),2)),ROUND(AI116+AH117,2),MIN(ROUND(AG$6+IF(AG$5=$C117,$E$5+$E117,0),2),ROUND(AI116+AH117,2))),0)</f>
        <v>0</v>
      </c>
      <c r="AH117" s="24">
        <f>IF(AI116&gt;0,ROUND(ROUND(AI116*100,0)*ROUND(AG$7*10000,0)/12000000,0)/100,0)</f>
        <v>0</v>
      </c>
      <c r="AI117" s="24">
        <f>IF(AI116&gt;0,ROUND(AI116+AH117-AG117,2),0)</f>
        <v>0</v>
      </c>
      <c r="AJ117" s="24">
        <f>IF(AI116&gt;0,ROUND(AJ116+ROUND(ROUND(AJ116*100,0)*ROUND(AG$7*10000,0)/12000000,0)/100+0.02,2),0)</f>
        <v>0</v>
      </c>
      <c r="AK117" s="24">
        <f>IF(AM116&gt;0,IF(AND(ROUND(AM116+AL117-ROUND(AK$6+IF(AK$5=$C117,$E$5+$E117,0),2),2)&gt;0,ROUND(AM116+AL117-ROUND(AK$6+IF(AK$5=$C117,$E$5+$E117,0),2),2)&lt;=AN117,ROUND(AM116+AL117-ROUND(AK$6+IF(AK$5=$C117,$E$5+$E117,0),2),2)*10&lt;=ROUND(AK$6+IF(AK$5=$C117,$E$5+$E117,0),2)),ROUND(AM116+AL117,2),MIN(ROUND(AK$6+IF(AK$5=$C117,$E$5+$E117,0),2),ROUND(AM116+AL117,2))),0)</f>
        <v>0</v>
      </c>
      <c r="AL117" s="24">
        <f>IF(AM116&gt;0,ROUND(ROUND(AM116*100,0)*ROUND(AK$7*10000,0)/12000000,0)/100,0)</f>
        <v>0</v>
      </c>
      <c r="AM117" s="24">
        <f>IF(AM116&gt;0,ROUND(AM116+AL117-AK117,2),0)</f>
        <v>0</v>
      </c>
      <c r="AN117" s="24">
        <f>IF(AM116&gt;0,ROUND(AN116+ROUND(ROUND(AN116*100,0)*ROUND(AK$7*10000,0)/12000000,0)/100+0.02,2),0)</f>
        <v>0</v>
      </c>
      <c r="AO117" s="24">
        <f>IF(AQ116&gt;0,IF(AND(ROUND(AQ116+AP117-ROUND(AO$6+IF(AO$5=$C117,$E$5+$E117,0),2),2)&gt;0,ROUND(AQ116+AP117-ROUND(AO$6+IF(AO$5=$C117,$E$5+$E117,0),2),2)&lt;=AR117,ROUND(AQ116+AP117-ROUND(AO$6+IF(AO$5=$C117,$E$5+$E117,0),2),2)*10&lt;=ROUND(AO$6+IF(AO$5=$C117,$E$5+$E117,0),2)),ROUND(AQ116+AP117,2),MIN(ROUND(AO$6+IF(AO$5=$C117,$E$5+$E117,0),2),ROUND(AQ116+AP117,2))),0)</f>
        <v>0</v>
      </c>
      <c r="AP117" s="24">
        <f>IF(AQ116&gt;0,ROUND(ROUND(AQ116*100,0)*ROUND(AO$7*10000,0)/12000000,0)/100,0)</f>
        <v>0</v>
      </c>
      <c r="AQ117" s="24">
        <f>IF(AQ116&gt;0,ROUND(AQ116+AP117-AO117,2),0)</f>
        <v>0</v>
      </c>
      <c r="AR117" s="24">
        <f>IF(AQ116&gt;0,ROUND(AR116+ROUND(ROUND(AR116*100,0)*ROUND(AO$7*10000,0)/12000000,0)/100+0.02,2),0)</f>
        <v>0</v>
      </c>
      <c r="AS117" s="24">
        <f>IF(AU116&gt;0,IF(AND(ROUND(AU116+AT117-ROUND(AS$6+IF(AS$5=$C117,$E$5+$E117,0),2),2)&gt;0,ROUND(AU116+AT117-ROUND(AS$6+IF(AS$5=$C117,$E$5+$E117,0),2),2)&lt;=AV117,ROUND(AU116+AT117-ROUND(AS$6+IF(AS$5=$C117,$E$5+$E117,0),2),2)*10&lt;=ROUND(AS$6+IF(AS$5=$C117,$E$5+$E117,0),2)),ROUND(AU116+AT117,2),MIN(ROUND(AS$6+IF(AS$5=$C117,$E$5+$E117,0),2),ROUND(AU116+AT117,2))),0)</f>
        <v>0</v>
      </c>
      <c r="AT117" s="24">
        <f>IF(AU116&gt;0,ROUND(ROUND(AU116*100,0)*ROUND(AS$7*10000,0)/12000000,0)/100,0)</f>
        <v>0</v>
      </c>
      <c r="AU117" s="24">
        <f>IF(AU116&gt;0,ROUND(AU116+AT117-AS117,2),0)</f>
        <v>0</v>
      </c>
      <c r="AV117" s="24">
        <f>IF(AU116&gt;0,ROUND(AV116+ROUND(ROUND(AV116*100,0)*ROUND(AS$7*10000,0)/12000000,0)/100+0.02,2),0)</f>
        <v>0</v>
      </c>
    </row>
    <row r="118" spans="1:48" x14ac:dyDescent="0.25">
      <c r="A118" s="17" t="str">
        <f>IF(F118&gt;0,108,"")</f>
        <v/>
      </c>
      <c r="B118" s="18" t="str">
        <f>IF(F118&gt;0,EDATE($E$6,108),"")</f>
        <v/>
      </c>
      <c r="C118" s="21">
        <f>IF(H117&gt;0,MIN(IF(K117&gt;0,I$5,99),IF(O117&gt;0,M$5,99),IF(S117&gt;0,Q$5,99),IF(W117&gt;0,U$5,99),IF(AA117&gt;0,Y$5,99),IF(AE117&gt;0,AC$5,99),IF(AI117&gt;0,AG$5,99),IF(AM117&gt;0,AK$5,99),IF(AQ117&gt;0,AO$5,99),IF(AU117&gt;0,AS$5,99)),0)</f>
        <v>0</v>
      </c>
      <c r="D118" t="str">
        <f>IF(C118&gt;0,INDEX($I$4:$AV$4,1,MATCH(C118,$I$5:$AV$5,0)),"")</f>
        <v/>
      </c>
      <c r="E118" s="24">
        <f>ROUND(IF(AND(I$8&gt;0,K117=0),I$6,0)+IF(AND(M$8&gt;0,O117=0),M$6,0)+IF(AND(Q$8&gt;0,S117=0),Q$6,0)+IF(AND(U$8&gt;0,W117=0),U$6,0)+IF(AND(Y$8&gt;0,AA117=0),Y$6,0)+IF(AND(AC$8&gt;0,AE117=0),AC$6,0)+IF(AND(AG$8&gt;0,AI117=0),AG$6,0)+IF(AND(AK$8&gt;0,AM117=0),AK$6,0)+IF(AND(AO$8&gt;0,AQ117=0),AO$6,0)+IF(AND(AS$8&gt;0,AU117=0),AS$6,0),2)</f>
        <v>325</v>
      </c>
      <c r="F118" s="24">
        <f>ROUND(I118+M118+Q118+U118+Y118+AC118+AG118+AK118+AO118+AS118,2)</f>
        <v>0</v>
      </c>
      <c r="G118" s="24">
        <f>ROUND(J118+N118+R118+V118+Z118+AD118+AH118+AL118+AP118+AT118,2)</f>
        <v>0</v>
      </c>
      <c r="H118" s="24">
        <f>ROUND(K118+O118+S118+W118+AA118+AE118+AI118+AM118+AQ118+AU118,2)</f>
        <v>0</v>
      </c>
      <c r="I118" s="24">
        <f>IF(K117&gt;0,IF(AND(ROUND(K117+J118-ROUND(I$6+IF(I$5=$C118,$E$5+$E118,0),2),2)&gt;0,ROUND(K117+J118-ROUND(I$6+IF(I$5=$C118,$E$5+$E118,0),2),2)&lt;=L118,ROUND(K117+J118-ROUND(I$6+IF(I$5=$C118,$E$5+$E118,0),2),2)*10&lt;=ROUND(I$6+IF(I$5=$C118,$E$5+$E118,0),2)),ROUND(K117+J118,2),MIN(ROUND(I$6+IF(I$5=$C118,$E$5+$E118,0),2),ROUND(K117+J118,2))),0)</f>
        <v>0</v>
      </c>
      <c r="J118" s="24">
        <f>IF(K117&gt;0,ROUND(ROUND(K117*100,0)*ROUND(I$7*10000,0)/12000000,0)/100,0)</f>
        <v>0</v>
      </c>
      <c r="K118" s="24">
        <f>IF(K117&gt;0,ROUND(K117+J118-I118,2),0)</f>
        <v>0</v>
      </c>
      <c r="L118" s="24">
        <f>IF(K117&gt;0,ROUND(L117+ROUND(ROUND(L117*100,0)*ROUND(I$7*10000,0)/12000000,0)/100+0.02,2),0)</f>
        <v>0</v>
      </c>
      <c r="M118" s="24">
        <f>IF(O117&gt;0,IF(AND(ROUND(O117+N118-ROUND(M$6+IF(M$5=$C118,$E$5+$E118,0),2),2)&gt;0,ROUND(O117+N118-ROUND(M$6+IF(M$5=$C118,$E$5+$E118,0),2),2)&lt;=P118,ROUND(O117+N118-ROUND(M$6+IF(M$5=$C118,$E$5+$E118,0),2),2)*10&lt;=ROUND(M$6+IF(M$5=$C118,$E$5+$E118,0),2)),ROUND(O117+N118,2),MIN(ROUND(M$6+IF(M$5=$C118,$E$5+$E118,0),2),ROUND(O117+N118,2))),0)</f>
        <v>0</v>
      </c>
      <c r="N118" s="24">
        <f>IF(O117&gt;0,ROUND(ROUND(O117*100,0)*ROUND(M$7*10000,0)/12000000,0)/100,0)</f>
        <v>0</v>
      </c>
      <c r="O118" s="24">
        <f>IF(O117&gt;0,ROUND(O117+N118-M118,2),0)</f>
        <v>0</v>
      </c>
      <c r="P118" s="24">
        <f>IF(O117&gt;0,ROUND(P117+ROUND(ROUND(P117*100,0)*ROUND(M$7*10000,0)/12000000,0)/100+0.02,2),0)</f>
        <v>0</v>
      </c>
      <c r="Q118" s="24">
        <f>IF(S117&gt;0,IF(AND(ROUND(S117+R118-ROUND(Q$6+IF(Q$5=$C118,$E$5+$E118,0),2),2)&gt;0,ROUND(S117+R118-ROUND(Q$6+IF(Q$5=$C118,$E$5+$E118,0),2),2)&lt;=T118,ROUND(S117+R118-ROUND(Q$6+IF(Q$5=$C118,$E$5+$E118,0),2),2)*10&lt;=ROUND(Q$6+IF(Q$5=$C118,$E$5+$E118,0),2)),ROUND(S117+R118,2),MIN(ROUND(Q$6+IF(Q$5=$C118,$E$5+$E118,0),2),ROUND(S117+R118,2))),0)</f>
        <v>0</v>
      </c>
      <c r="R118" s="24">
        <f>IF(S117&gt;0,ROUND(ROUND(S117*100,0)*ROUND(Q$7*10000,0)/12000000,0)/100,0)</f>
        <v>0</v>
      </c>
      <c r="S118" s="24">
        <f>IF(S117&gt;0,ROUND(S117+R118-Q118,2),0)</f>
        <v>0</v>
      </c>
      <c r="T118" s="24">
        <f>IF(S117&gt;0,ROUND(T117+ROUND(ROUND(T117*100,0)*ROUND(Q$7*10000,0)/12000000,0)/100+0.02,2),0)</f>
        <v>0</v>
      </c>
      <c r="U118" s="24">
        <f>IF(W117&gt;0,IF(AND(ROUND(W117+V118-ROUND(U$6+IF(U$5=$C118,$E$5+$E118,0),2),2)&gt;0,ROUND(W117+V118-ROUND(U$6+IF(U$5=$C118,$E$5+$E118,0),2),2)&lt;=X118,ROUND(W117+V118-ROUND(U$6+IF(U$5=$C118,$E$5+$E118,0),2),2)*10&lt;=ROUND(U$6+IF(U$5=$C118,$E$5+$E118,0),2)),ROUND(W117+V118,2),MIN(ROUND(U$6+IF(U$5=$C118,$E$5+$E118,0),2),ROUND(W117+V118,2))),0)</f>
        <v>0</v>
      </c>
      <c r="V118" s="24">
        <f>IF(W117&gt;0,ROUND(ROUND(W117*100,0)*ROUND(U$7*10000,0)/12000000,0)/100,0)</f>
        <v>0</v>
      </c>
      <c r="W118" s="24">
        <f>IF(W117&gt;0,ROUND(W117+V118-U118,2),0)</f>
        <v>0</v>
      </c>
      <c r="X118" s="24">
        <f>IF(W117&gt;0,ROUND(X117+ROUND(ROUND(X117*100,0)*ROUND(U$7*10000,0)/12000000,0)/100+0.02,2),0)</f>
        <v>0</v>
      </c>
      <c r="Y118" s="24">
        <f>IF(AA117&gt;0,IF(AND(ROUND(AA117+Z118-ROUND(Y$6+IF(Y$5=$C118,$E$5+$E118,0),2),2)&gt;0,ROUND(AA117+Z118-ROUND(Y$6+IF(Y$5=$C118,$E$5+$E118,0),2),2)&lt;=AB118,ROUND(AA117+Z118-ROUND(Y$6+IF(Y$5=$C118,$E$5+$E118,0),2),2)*10&lt;=ROUND(Y$6+IF(Y$5=$C118,$E$5+$E118,0),2)),ROUND(AA117+Z118,2),MIN(ROUND(Y$6+IF(Y$5=$C118,$E$5+$E118,0),2),ROUND(AA117+Z118,2))),0)</f>
        <v>0</v>
      </c>
      <c r="Z118" s="24">
        <f>IF(AA117&gt;0,ROUND(ROUND(AA117*100,0)*ROUND(Y$7*10000,0)/12000000,0)/100,0)</f>
        <v>0</v>
      </c>
      <c r="AA118" s="24">
        <f>IF(AA117&gt;0,ROUND(AA117+Z118-Y118,2),0)</f>
        <v>0</v>
      </c>
      <c r="AB118" s="24">
        <f>IF(AA117&gt;0,ROUND(AB117+ROUND(ROUND(AB117*100,0)*ROUND(Y$7*10000,0)/12000000,0)/100+0.02,2),0)</f>
        <v>0</v>
      </c>
      <c r="AC118" s="24">
        <f>IF(AE117&gt;0,IF(AND(ROUND(AE117+AD118-ROUND(AC$6+IF(AC$5=$C118,$E$5+$E118,0),2),2)&gt;0,ROUND(AE117+AD118-ROUND(AC$6+IF(AC$5=$C118,$E$5+$E118,0),2),2)&lt;=AF118,ROUND(AE117+AD118-ROUND(AC$6+IF(AC$5=$C118,$E$5+$E118,0),2),2)*10&lt;=ROUND(AC$6+IF(AC$5=$C118,$E$5+$E118,0),2)),ROUND(AE117+AD118,2),MIN(ROUND(AC$6+IF(AC$5=$C118,$E$5+$E118,0),2),ROUND(AE117+AD118,2))),0)</f>
        <v>0</v>
      </c>
      <c r="AD118" s="24">
        <f>IF(AE117&gt;0,ROUND(ROUND(AE117*100,0)*ROUND(AC$7*10000,0)/12000000,0)/100,0)</f>
        <v>0</v>
      </c>
      <c r="AE118" s="24">
        <f>IF(AE117&gt;0,ROUND(AE117+AD118-AC118,2),0)</f>
        <v>0</v>
      </c>
      <c r="AF118" s="24">
        <f>IF(AE117&gt;0,ROUND(AF117+ROUND(ROUND(AF117*100,0)*ROUND(AC$7*10000,0)/12000000,0)/100+0.02,2),0)</f>
        <v>0</v>
      </c>
      <c r="AG118" s="24">
        <f>IF(AI117&gt;0,IF(AND(ROUND(AI117+AH118-ROUND(AG$6+IF(AG$5=$C118,$E$5+$E118,0),2),2)&gt;0,ROUND(AI117+AH118-ROUND(AG$6+IF(AG$5=$C118,$E$5+$E118,0),2),2)&lt;=AJ118,ROUND(AI117+AH118-ROUND(AG$6+IF(AG$5=$C118,$E$5+$E118,0),2),2)*10&lt;=ROUND(AG$6+IF(AG$5=$C118,$E$5+$E118,0),2)),ROUND(AI117+AH118,2),MIN(ROUND(AG$6+IF(AG$5=$C118,$E$5+$E118,0),2),ROUND(AI117+AH118,2))),0)</f>
        <v>0</v>
      </c>
      <c r="AH118" s="24">
        <f>IF(AI117&gt;0,ROUND(ROUND(AI117*100,0)*ROUND(AG$7*10000,0)/12000000,0)/100,0)</f>
        <v>0</v>
      </c>
      <c r="AI118" s="24">
        <f>IF(AI117&gt;0,ROUND(AI117+AH118-AG118,2),0)</f>
        <v>0</v>
      </c>
      <c r="AJ118" s="24">
        <f>IF(AI117&gt;0,ROUND(AJ117+ROUND(ROUND(AJ117*100,0)*ROUND(AG$7*10000,0)/12000000,0)/100+0.02,2),0)</f>
        <v>0</v>
      </c>
      <c r="AK118" s="24">
        <f>IF(AM117&gt;0,IF(AND(ROUND(AM117+AL118-ROUND(AK$6+IF(AK$5=$C118,$E$5+$E118,0),2),2)&gt;0,ROUND(AM117+AL118-ROUND(AK$6+IF(AK$5=$C118,$E$5+$E118,0),2),2)&lt;=AN118,ROUND(AM117+AL118-ROUND(AK$6+IF(AK$5=$C118,$E$5+$E118,0),2),2)*10&lt;=ROUND(AK$6+IF(AK$5=$C118,$E$5+$E118,0),2)),ROUND(AM117+AL118,2),MIN(ROUND(AK$6+IF(AK$5=$C118,$E$5+$E118,0),2),ROUND(AM117+AL118,2))),0)</f>
        <v>0</v>
      </c>
      <c r="AL118" s="24">
        <f>IF(AM117&gt;0,ROUND(ROUND(AM117*100,0)*ROUND(AK$7*10000,0)/12000000,0)/100,0)</f>
        <v>0</v>
      </c>
      <c r="AM118" s="24">
        <f>IF(AM117&gt;0,ROUND(AM117+AL118-AK118,2),0)</f>
        <v>0</v>
      </c>
      <c r="AN118" s="24">
        <f>IF(AM117&gt;0,ROUND(AN117+ROUND(ROUND(AN117*100,0)*ROUND(AK$7*10000,0)/12000000,0)/100+0.02,2),0)</f>
        <v>0</v>
      </c>
      <c r="AO118" s="24">
        <f>IF(AQ117&gt;0,IF(AND(ROUND(AQ117+AP118-ROUND(AO$6+IF(AO$5=$C118,$E$5+$E118,0),2),2)&gt;0,ROUND(AQ117+AP118-ROUND(AO$6+IF(AO$5=$C118,$E$5+$E118,0),2),2)&lt;=AR118,ROUND(AQ117+AP118-ROUND(AO$6+IF(AO$5=$C118,$E$5+$E118,0),2),2)*10&lt;=ROUND(AO$6+IF(AO$5=$C118,$E$5+$E118,0),2)),ROUND(AQ117+AP118,2),MIN(ROUND(AO$6+IF(AO$5=$C118,$E$5+$E118,0),2),ROUND(AQ117+AP118,2))),0)</f>
        <v>0</v>
      </c>
      <c r="AP118" s="24">
        <f>IF(AQ117&gt;0,ROUND(ROUND(AQ117*100,0)*ROUND(AO$7*10000,0)/12000000,0)/100,0)</f>
        <v>0</v>
      </c>
      <c r="AQ118" s="24">
        <f>IF(AQ117&gt;0,ROUND(AQ117+AP118-AO118,2),0)</f>
        <v>0</v>
      </c>
      <c r="AR118" s="24">
        <f>IF(AQ117&gt;0,ROUND(AR117+ROUND(ROUND(AR117*100,0)*ROUND(AO$7*10000,0)/12000000,0)/100+0.02,2),0)</f>
        <v>0</v>
      </c>
      <c r="AS118" s="24">
        <f>IF(AU117&gt;0,IF(AND(ROUND(AU117+AT118-ROUND(AS$6+IF(AS$5=$C118,$E$5+$E118,0),2),2)&gt;0,ROUND(AU117+AT118-ROUND(AS$6+IF(AS$5=$C118,$E$5+$E118,0),2),2)&lt;=AV118,ROUND(AU117+AT118-ROUND(AS$6+IF(AS$5=$C118,$E$5+$E118,0),2),2)*10&lt;=ROUND(AS$6+IF(AS$5=$C118,$E$5+$E118,0),2)),ROUND(AU117+AT118,2),MIN(ROUND(AS$6+IF(AS$5=$C118,$E$5+$E118,0),2),ROUND(AU117+AT118,2))),0)</f>
        <v>0</v>
      </c>
      <c r="AT118" s="24">
        <f>IF(AU117&gt;0,ROUND(ROUND(AU117*100,0)*ROUND(AS$7*10000,0)/12000000,0)/100,0)</f>
        <v>0</v>
      </c>
      <c r="AU118" s="24">
        <f>IF(AU117&gt;0,ROUND(AU117+AT118-AS118,2),0)</f>
        <v>0</v>
      </c>
      <c r="AV118" s="24">
        <f>IF(AU117&gt;0,ROUND(AV117+ROUND(ROUND(AV117*100,0)*ROUND(AS$7*10000,0)/12000000,0)/100+0.02,2),0)</f>
        <v>0</v>
      </c>
    </row>
    <row r="119" spans="1:48" x14ac:dyDescent="0.25">
      <c r="A119" s="17" t="str">
        <f>IF(F119&gt;0,109,"")</f>
        <v/>
      </c>
      <c r="B119" s="18" t="str">
        <f>IF(F119&gt;0,EDATE($E$6,109),"")</f>
        <v/>
      </c>
      <c r="C119" s="21">
        <f>IF(H118&gt;0,MIN(IF(K118&gt;0,I$5,99),IF(O118&gt;0,M$5,99),IF(S118&gt;0,Q$5,99),IF(W118&gt;0,U$5,99),IF(AA118&gt;0,Y$5,99),IF(AE118&gt;0,AC$5,99),IF(AI118&gt;0,AG$5,99),IF(AM118&gt;0,AK$5,99),IF(AQ118&gt;0,AO$5,99),IF(AU118&gt;0,AS$5,99)),0)</f>
        <v>0</v>
      </c>
      <c r="D119" t="str">
        <f>IF(C119&gt;0,INDEX($I$4:$AV$4,1,MATCH(C119,$I$5:$AV$5,0)),"")</f>
        <v/>
      </c>
      <c r="E119" s="24">
        <f>ROUND(IF(AND(I$8&gt;0,K118=0),I$6,0)+IF(AND(M$8&gt;0,O118=0),M$6,0)+IF(AND(Q$8&gt;0,S118=0),Q$6,0)+IF(AND(U$8&gt;0,W118=0),U$6,0)+IF(AND(Y$8&gt;0,AA118=0),Y$6,0)+IF(AND(AC$8&gt;0,AE118=0),AC$6,0)+IF(AND(AG$8&gt;0,AI118=0),AG$6,0)+IF(AND(AK$8&gt;0,AM118=0),AK$6,0)+IF(AND(AO$8&gt;0,AQ118=0),AO$6,0)+IF(AND(AS$8&gt;0,AU118=0),AS$6,0),2)</f>
        <v>325</v>
      </c>
      <c r="F119" s="24">
        <f>ROUND(I119+M119+Q119+U119+Y119+AC119+AG119+AK119+AO119+AS119,2)</f>
        <v>0</v>
      </c>
      <c r="G119" s="24">
        <f>ROUND(J119+N119+R119+V119+Z119+AD119+AH119+AL119+AP119+AT119,2)</f>
        <v>0</v>
      </c>
      <c r="H119" s="24">
        <f>ROUND(K119+O119+S119+W119+AA119+AE119+AI119+AM119+AQ119+AU119,2)</f>
        <v>0</v>
      </c>
      <c r="I119" s="24">
        <f>IF(K118&gt;0,IF(AND(ROUND(K118+J119-ROUND(I$6+IF(I$5=$C119,$E$5+$E119,0),2),2)&gt;0,ROUND(K118+J119-ROUND(I$6+IF(I$5=$C119,$E$5+$E119,0),2),2)&lt;=L119,ROUND(K118+J119-ROUND(I$6+IF(I$5=$C119,$E$5+$E119,0),2),2)*10&lt;=ROUND(I$6+IF(I$5=$C119,$E$5+$E119,0),2)),ROUND(K118+J119,2),MIN(ROUND(I$6+IF(I$5=$C119,$E$5+$E119,0),2),ROUND(K118+J119,2))),0)</f>
        <v>0</v>
      </c>
      <c r="J119" s="24">
        <f>IF(K118&gt;0,ROUND(ROUND(K118*100,0)*ROUND(I$7*10000,0)/12000000,0)/100,0)</f>
        <v>0</v>
      </c>
      <c r="K119" s="24">
        <f>IF(K118&gt;0,ROUND(K118+J119-I119,2),0)</f>
        <v>0</v>
      </c>
      <c r="L119" s="24">
        <f>IF(K118&gt;0,ROUND(L118+ROUND(ROUND(L118*100,0)*ROUND(I$7*10000,0)/12000000,0)/100+0.02,2),0)</f>
        <v>0</v>
      </c>
      <c r="M119" s="24">
        <f>IF(O118&gt;0,IF(AND(ROUND(O118+N119-ROUND(M$6+IF(M$5=$C119,$E$5+$E119,0),2),2)&gt;0,ROUND(O118+N119-ROUND(M$6+IF(M$5=$C119,$E$5+$E119,0),2),2)&lt;=P119,ROUND(O118+N119-ROUND(M$6+IF(M$5=$C119,$E$5+$E119,0),2),2)*10&lt;=ROUND(M$6+IF(M$5=$C119,$E$5+$E119,0),2)),ROUND(O118+N119,2),MIN(ROUND(M$6+IF(M$5=$C119,$E$5+$E119,0),2),ROUND(O118+N119,2))),0)</f>
        <v>0</v>
      </c>
      <c r="N119" s="24">
        <f>IF(O118&gt;0,ROUND(ROUND(O118*100,0)*ROUND(M$7*10000,0)/12000000,0)/100,0)</f>
        <v>0</v>
      </c>
      <c r="O119" s="24">
        <f>IF(O118&gt;0,ROUND(O118+N119-M119,2),0)</f>
        <v>0</v>
      </c>
      <c r="P119" s="24">
        <f>IF(O118&gt;0,ROUND(P118+ROUND(ROUND(P118*100,0)*ROUND(M$7*10000,0)/12000000,0)/100+0.02,2),0)</f>
        <v>0</v>
      </c>
      <c r="Q119" s="24">
        <f>IF(S118&gt;0,IF(AND(ROUND(S118+R119-ROUND(Q$6+IF(Q$5=$C119,$E$5+$E119,0),2),2)&gt;0,ROUND(S118+R119-ROUND(Q$6+IF(Q$5=$C119,$E$5+$E119,0),2),2)&lt;=T119,ROUND(S118+R119-ROUND(Q$6+IF(Q$5=$C119,$E$5+$E119,0),2),2)*10&lt;=ROUND(Q$6+IF(Q$5=$C119,$E$5+$E119,0),2)),ROUND(S118+R119,2),MIN(ROUND(Q$6+IF(Q$5=$C119,$E$5+$E119,0),2),ROUND(S118+R119,2))),0)</f>
        <v>0</v>
      </c>
      <c r="R119" s="24">
        <f>IF(S118&gt;0,ROUND(ROUND(S118*100,0)*ROUND(Q$7*10000,0)/12000000,0)/100,0)</f>
        <v>0</v>
      </c>
      <c r="S119" s="24">
        <f>IF(S118&gt;0,ROUND(S118+R119-Q119,2),0)</f>
        <v>0</v>
      </c>
      <c r="T119" s="24">
        <f>IF(S118&gt;0,ROUND(T118+ROUND(ROUND(T118*100,0)*ROUND(Q$7*10000,0)/12000000,0)/100+0.02,2),0)</f>
        <v>0</v>
      </c>
      <c r="U119" s="24">
        <f>IF(W118&gt;0,IF(AND(ROUND(W118+V119-ROUND(U$6+IF(U$5=$C119,$E$5+$E119,0),2),2)&gt;0,ROUND(W118+V119-ROUND(U$6+IF(U$5=$C119,$E$5+$E119,0),2),2)&lt;=X119,ROUND(W118+V119-ROUND(U$6+IF(U$5=$C119,$E$5+$E119,0),2),2)*10&lt;=ROUND(U$6+IF(U$5=$C119,$E$5+$E119,0),2)),ROUND(W118+V119,2),MIN(ROUND(U$6+IF(U$5=$C119,$E$5+$E119,0),2),ROUND(W118+V119,2))),0)</f>
        <v>0</v>
      </c>
      <c r="V119" s="24">
        <f>IF(W118&gt;0,ROUND(ROUND(W118*100,0)*ROUND(U$7*10000,0)/12000000,0)/100,0)</f>
        <v>0</v>
      </c>
      <c r="W119" s="24">
        <f>IF(W118&gt;0,ROUND(W118+V119-U119,2),0)</f>
        <v>0</v>
      </c>
      <c r="X119" s="24">
        <f>IF(W118&gt;0,ROUND(X118+ROUND(ROUND(X118*100,0)*ROUND(U$7*10000,0)/12000000,0)/100+0.02,2),0)</f>
        <v>0</v>
      </c>
      <c r="Y119" s="24">
        <f>IF(AA118&gt;0,IF(AND(ROUND(AA118+Z119-ROUND(Y$6+IF(Y$5=$C119,$E$5+$E119,0),2),2)&gt;0,ROUND(AA118+Z119-ROUND(Y$6+IF(Y$5=$C119,$E$5+$E119,0),2),2)&lt;=AB119,ROUND(AA118+Z119-ROUND(Y$6+IF(Y$5=$C119,$E$5+$E119,0),2),2)*10&lt;=ROUND(Y$6+IF(Y$5=$C119,$E$5+$E119,0),2)),ROUND(AA118+Z119,2),MIN(ROUND(Y$6+IF(Y$5=$C119,$E$5+$E119,0),2),ROUND(AA118+Z119,2))),0)</f>
        <v>0</v>
      </c>
      <c r="Z119" s="24">
        <f>IF(AA118&gt;0,ROUND(ROUND(AA118*100,0)*ROUND(Y$7*10000,0)/12000000,0)/100,0)</f>
        <v>0</v>
      </c>
      <c r="AA119" s="24">
        <f>IF(AA118&gt;0,ROUND(AA118+Z119-Y119,2),0)</f>
        <v>0</v>
      </c>
      <c r="AB119" s="24">
        <f>IF(AA118&gt;0,ROUND(AB118+ROUND(ROUND(AB118*100,0)*ROUND(Y$7*10000,0)/12000000,0)/100+0.02,2),0)</f>
        <v>0</v>
      </c>
      <c r="AC119" s="24">
        <f>IF(AE118&gt;0,IF(AND(ROUND(AE118+AD119-ROUND(AC$6+IF(AC$5=$C119,$E$5+$E119,0),2),2)&gt;0,ROUND(AE118+AD119-ROUND(AC$6+IF(AC$5=$C119,$E$5+$E119,0),2),2)&lt;=AF119,ROUND(AE118+AD119-ROUND(AC$6+IF(AC$5=$C119,$E$5+$E119,0),2),2)*10&lt;=ROUND(AC$6+IF(AC$5=$C119,$E$5+$E119,0),2)),ROUND(AE118+AD119,2),MIN(ROUND(AC$6+IF(AC$5=$C119,$E$5+$E119,0),2),ROUND(AE118+AD119,2))),0)</f>
        <v>0</v>
      </c>
      <c r="AD119" s="24">
        <f>IF(AE118&gt;0,ROUND(ROUND(AE118*100,0)*ROUND(AC$7*10000,0)/12000000,0)/100,0)</f>
        <v>0</v>
      </c>
      <c r="AE119" s="24">
        <f>IF(AE118&gt;0,ROUND(AE118+AD119-AC119,2),0)</f>
        <v>0</v>
      </c>
      <c r="AF119" s="24">
        <f>IF(AE118&gt;0,ROUND(AF118+ROUND(ROUND(AF118*100,0)*ROUND(AC$7*10000,0)/12000000,0)/100+0.02,2),0)</f>
        <v>0</v>
      </c>
      <c r="AG119" s="24">
        <f>IF(AI118&gt;0,IF(AND(ROUND(AI118+AH119-ROUND(AG$6+IF(AG$5=$C119,$E$5+$E119,0),2),2)&gt;0,ROUND(AI118+AH119-ROUND(AG$6+IF(AG$5=$C119,$E$5+$E119,0),2),2)&lt;=AJ119,ROUND(AI118+AH119-ROUND(AG$6+IF(AG$5=$C119,$E$5+$E119,0),2),2)*10&lt;=ROUND(AG$6+IF(AG$5=$C119,$E$5+$E119,0),2)),ROUND(AI118+AH119,2),MIN(ROUND(AG$6+IF(AG$5=$C119,$E$5+$E119,0),2),ROUND(AI118+AH119,2))),0)</f>
        <v>0</v>
      </c>
      <c r="AH119" s="24">
        <f>IF(AI118&gt;0,ROUND(ROUND(AI118*100,0)*ROUND(AG$7*10000,0)/12000000,0)/100,0)</f>
        <v>0</v>
      </c>
      <c r="AI119" s="24">
        <f>IF(AI118&gt;0,ROUND(AI118+AH119-AG119,2),0)</f>
        <v>0</v>
      </c>
      <c r="AJ119" s="24">
        <f>IF(AI118&gt;0,ROUND(AJ118+ROUND(ROUND(AJ118*100,0)*ROUND(AG$7*10000,0)/12000000,0)/100+0.02,2),0)</f>
        <v>0</v>
      </c>
      <c r="AK119" s="24">
        <f>IF(AM118&gt;0,IF(AND(ROUND(AM118+AL119-ROUND(AK$6+IF(AK$5=$C119,$E$5+$E119,0),2),2)&gt;0,ROUND(AM118+AL119-ROUND(AK$6+IF(AK$5=$C119,$E$5+$E119,0),2),2)&lt;=AN119,ROUND(AM118+AL119-ROUND(AK$6+IF(AK$5=$C119,$E$5+$E119,0),2),2)*10&lt;=ROUND(AK$6+IF(AK$5=$C119,$E$5+$E119,0),2)),ROUND(AM118+AL119,2),MIN(ROUND(AK$6+IF(AK$5=$C119,$E$5+$E119,0),2),ROUND(AM118+AL119,2))),0)</f>
        <v>0</v>
      </c>
      <c r="AL119" s="24">
        <f>IF(AM118&gt;0,ROUND(ROUND(AM118*100,0)*ROUND(AK$7*10000,0)/12000000,0)/100,0)</f>
        <v>0</v>
      </c>
      <c r="AM119" s="24">
        <f>IF(AM118&gt;0,ROUND(AM118+AL119-AK119,2),0)</f>
        <v>0</v>
      </c>
      <c r="AN119" s="24">
        <f>IF(AM118&gt;0,ROUND(AN118+ROUND(ROUND(AN118*100,0)*ROUND(AK$7*10000,0)/12000000,0)/100+0.02,2),0)</f>
        <v>0</v>
      </c>
      <c r="AO119" s="24">
        <f>IF(AQ118&gt;0,IF(AND(ROUND(AQ118+AP119-ROUND(AO$6+IF(AO$5=$C119,$E$5+$E119,0),2),2)&gt;0,ROUND(AQ118+AP119-ROUND(AO$6+IF(AO$5=$C119,$E$5+$E119,0),2),2)&lt;=AR119,ROUND(AQ118+AP119-ROUND(AO$6+IF(AO$5=$C119,$E$5+$E119,0),2),2)*10&lt;=ROUND(AO$6+IF(AO$5=$C119,$E$5+$E119,0),2)),ROUND(AQ118+AP119,2),MIN(ROUND(AO$6+IF(AO$5=$C119,$E$5+$E119,0),2),ROUND(AQ118+AP119,2))),0)</f>
        <v>0</v>
      </c>
      <c r="AP119" s="24">
        <f>IF(AQ118&gt;0,ROUND(ROUND(AQ118*100,0)*ROUND(AO$7*10000,0)/12000000,0)/100,0)</f>
        <v>0</v>
      </c>
      <c r="AQ119" s="24">
        <f>IF(AQ118&gt;0,ROUND(AQ118+AP119-AO119,2),0)</f>
        <v>0</v>
      </c>
      <c r="AR119" s="24">
        <f>IF(AQ118&gt;0,ROUND(AR118+ROUND(ROUND(AR118*100,0)*ROUND(AO$7*10000,0)/12000000,0)/100+0.02,2),0)</f>
        <v>0</v>
      </c>
      <c r="AS119" s="24">
        <f>IF(AU118&gt;0,IF(AND(ROUND(AU118+AT119-ROUND(AS$6+IF(AS$5=$C119,$E$5+$E119,0),2),2)&gt;0,ROUND(AU118+AT119-ROUND(AS$6+IF(AS$5=$C119,$E$5+$E119,0),2),2)&lt;=AV119,ROUND(AU118+AT119-ROUND(AS$6+IF(AS$5=$C119,$E$5+$E119,0),2),2)*10&lt;=ROUND(AS$6+IF(AS$5=$C119,$E$5+$E119,0),2)),ROUND(AU118+AT119,2),MIN(ROUND(AS$6+IF(AS$5=$C119,$E$5+$E119,0),2),ROUND(AU118+AT119,2))),0)</f>
        <v>0</v>
      </c>
      <c r="AT119" s="24">
        <f>IF(AU118&gt;0,ROUND(ROUND(AU118*100,0)*ROUND(AS$7*10000,0)/12000000,0)/100,0)</f>
        <v>0</v>
      </c>
      <c r="AU119" s="24">
        <f>IF(AU118&gt;0,ROUND(AU118+AT119-AS119,2),0)</f>
        <v>0</v>
      </c>
      <c r="AV119" s="24">
        <f>IF(AU118&gt;0,ROUND(AV118+ROUND(ROUND(AV118*100,0)*ROUND(AS$7*10000,0)/12000000,0)/100+0.02,2),0)</f>
        <v>0</v>
      </c>
    </row>
    <row r="120" spans="1:48" x14ac:dyDescent="0.25">
      <c r="A120" s="17" t="str">
        <f>IF(F120&gt;0,110,"")</f>
        <v/>
      </c>
      <c r="B120" s="18" t="str">
        <f>IF(F120&gt;0,EDATE($E$6,110),"")</f>
        <v/>
      </c>
      <c r="C120" s="21">
        <f>IF(H119&gt;0,MIN(IF(K119&gt;0,I$5,99),IF(O119&gt;0,M$5,99),IF(S119&gt;0,Q$5,99),IF(W119&gt;0,U$5,99),IF(AA119&gt;0,Y$5,99),IF(AE119&gt;0,AC$5,99),IF(AI119&gt;0,AG$5,99),IF(AM119&gt;0,AK$5,99),IF(AQ119&gt;0,AO$5,99),IF(AU119&gt;0,AS$5,99)),0)</f>
        <v>0</v>
      </c>
      <c r="D120" t="str">
        <f>IF(C120&gt;0,INDEX($I$4:$AV$4,1,MATCH(C120,$I$5:$AV$5,0)),"")</f>
        <v/>
      </c>
      <c r="E120" s="24">
        <f>ROUND(IF(AND(I$8&gt;0,K119=0),I$6,0)+IF(AND(M$8&gt;0,O119=0),M$6,0)+IF(AND(Q$8&gt;0,S119=0),Q$6,0)+IF(AND(U$8&gt;0,W119=0),U$6,0)+IF(AND(Y$8&gt;0,AA119=0),Y$6,0)+IF(AND(AC$8&gt;0,AE119=0),AC$6,0)+IF(AND(AG$8&gt;0,AI119=0),AG$6,0)+IF(AND(AK$8&gt;0,AM119=0),AK$6,0)+IF(AND(AO$8&gt;0,AQ119=0),AO$6,0)+IF(AND(AS$8&gt;0,AU119=0),AS$6,0),2)</f>
        <v>325</v>
      </c>
      <c r="F120" s="24">
        <f>ROUND(I120+M120+Q120+U120+Y120+AC120+AG120+AK120+AO120+AS120,2)</f>
        <v>0</v>
      </c>
      <c r="G120" s="24">
        <f>ROUND(J120+N120+R120+V120+Z120+AD120+AH120+AL120+AP120+AT120,2)</f>
        <v>0</v>
      </c>
      <c r="H120" s="24">
        <f>ROUND(K120+O120+S120+W120+AA120+AE120+AI120+AM120+AQ120+AU120,2)</f>
        <v>0</v>
      </c>
      <c r="I120" s="24">
        <f>IF(K119&gt;0,IF(AND(ROUND(K119+J120-ROUND(I$6+IF(I$5=$C120,$E$5+$E120,0),2),2)&gt;0,ROUND(K119+J120-ROUND(I$6+IF(I$5=$C120,$E$5+$E120,0),2),2)&lt;=L120,ROUND(K119+J120-ROUND(I$6+IF(I$5=$C120,$E$5+$E120,0),2),2)*10&lt;=ROUND(I$6+IF(I$5=$C120,$E$5+$E120,0),2)),ROUND(K119+J120,2),MIN(ROUND(I$6+IF(I$5=$C120,$E$5+$E120,0),2),ROUND(K119+J120,2))),0)</f>
        <v>0</v>
      </c>
      <c r="J120" s="24">
        <f>IF(K119&gt;0,ROUND(ROUND(K119*100,0)*ROUND(I$7*10000,0)/12000000,0)/100,0)</f>
        <v>0</v>
      </c>
      <c r="K120" s="24">
        <f>IF(K119&gt;0,ROUND(K119+J120-I120,2),0)</f>
        <v>0</v>
      </c>
      <c r="L120" s="24">
        <f>IF(K119&gt;0,ROUND(L119+ROUND(ROUND(L119*100,0)*ROUND(I$7*10000,0)/12000000,0)/100+0.02,2),0)</f>
        <v>0</v>
      </c>
      <c r="M120" s="24">
        <f>IF(O119&gt;0,IF(AND(ROUND(O119+N120-ROUND(M$6+IF(M$5=$C120,$E$5+$E120,0),2),2)&gt;0,ROUND(O119+N120-ROUND(M$6+IF(M$5=$C120,$E$5+$E120,0),2),2)&lt;=P120,ROUND(O119+N120-ROUND(M$6+IF(M$5=$C120,$E$5+$E120,0),2),2)*10&lt;=ROUND(M$6+IF(M$5=$C120,$E$5+$E120,0),2)),ROUND(O119+N120,2),MIN(ROUND(M$6+IF(M$5=$C120,$E$5+$E120,0),2),ROUND(O119+N120,2))),0)</f>
        <v>0</v>
      </c>
      <c r="N120" s="24">
        <f>IF(O119&gt;0,ROUND(ROUND(O119*100,0)*ROUND(M$7*10000,0)/12000000,0)/100,0)</f>
        <v>0</v>
      </c>
      <c r="O120" s="24">
        <f>IF(O119&gt;0,ROUND(O119+N120-M120,2),0)</f>
        <v>0</v>
      </c>
      <c r="P120" s="24">
        <f>IF(O119&gt;0,ROUND(P119+ROUND(ROUND(P119*100,0)*ROUND(M$7*10000,0)/12000000,0)/100+0.02,2),0)</f>
        <v>0</v>
      </c>
      <c r="Q120" s="24">
        <f>IF(S119&gt;0,IF(AND(ROUND(S119+R120-ROUND(Q$6+IF(Q$5=$C120,$E$5+$E120,0),2),2)&gt;0,ROUND(S119+R120-ROUND(Q$6+IF(Q$5=$C120,$E$5+$E120,0),2),2)&lt;=T120,ROUND(S119+R120-ROUND(Q$6+IF(Q$5=$C120,$E$5+$E120,0),2),2)*10&lt;=ROUND(Q$6+IF(Q$5=$C120,$E$5+$E120,0),2)),ROUND(S119+R120,2),MIN(ROUND(Q$6+IF(Q$5=$C120,$E$5+$E120,0),2),ROUND(S119+R120,2))),0)</f>
        <v>0</v>
      </c>
      <c r="R120" s="24">
        <f>IF(S119&gt;0,ROUND(ROUND(S119*100,0)*ROUND(Q$7*10000,0)/12000000,0)/100,0)</f>
        <v>0</v>
      </c>
      <c r="S120" s="24">
        <f>IF(S119&gt;0,ROUND(S119+R120-Q120,2),0)</f>
        <v>0</v>
      </c>
      <c r="T120" s="24">
        <f>IF(S119&gt;0,ROUND(T119+ROUND(ROUND(T119*100,0)*ROUND(Q$7*10000,0)/12000000,0)/100+0.02,2),0)</f>
        <v>0</v>
      </c>
      <c r="U120" s="24">
        <f>IF(W119&gt;0,IF(AND(ROUND(W119+V120-ROUND(U$6+IF(U$5=$C120,$E$5+$E120,0),2),2)&gt;0,ROUND(W119+V120-ROUND(U$6+IF(U$5=$C120,$E$5+$E120,0),2),2)&lt;=X120,ROUND(W119+V120-ROUND(U$6+IF(U$5=$C120,$E$5+$E120,0),2),2)*10&lt;=ROUND(U$6+IF(U$5=$C120,$E$5+$E120,0),2)),ROUND(W119+V120,2),MIN(ROUND(U$6+IF(U$5=$C120,$E$5+$E120,0),2),ROUND(W119+V120,2))),0)</f>
        <v>0</v>
      </c>
      <c r="V120" s="24">
        <f>IF(W119&gt;0,ROUND(ROUND(W119*100,0)*ROUND(U$7*10000,0)/12000000,0)/100,0)</f>
        <v>0</v>
      </c>
      <c r="W120" s="24">
        <f>IF(W119&gt;0,ROUND(W119+V120-U120,2),0)</f>
        <v>0</v>
      </c>
      <c r="X120" s="24">
        <f>IF(W119&gt;0,ROUND(X119+ROUND(ROUND(X119*100,0)*ROUND(U$7*10000,0)/12000000,0)/100+0.02,2),0)</f>
        <v>0</v>
      </c>
      <c r="Y120" s="24">
        <f>IF(AA119&gt;0,IF(AND(ROUND(AA119+Z120-ROUND(Y$6+IF(Y$5=$C120,$E$5+$E120,0),2),2)&gt;0,ROUND(AA119+Z120-ROUND(Y$6+IF(Y$5=$C120,$E$5+$E120,0),2),2)&lt;=AB120,ROUND(AA119+Z120-ROUND(Y$6+IF(Y$5=$C120,$E$5+$E120,0),2),2)*10&lt;=ROUND(Y$6+IF(Y$5=$C120,$E$5+$E120,0),2)),ROUND(AA119+Z120,2),MIN(ROUND(Y$6+IF(Y$5=$C120,$E$5+$E120,0),2),ROUND(AA119+Z120,2))),0)</f>
        <v>0</v>
      </c>
      <c r="Z120" s="24">
        <f>IF(AA119&gt;0,ROUND(ROUND(AA119*100,0)*ROUND(Y$7*10000,0)/12000000,0)/100,0)</f>
        <v>0</v>
      </c>
      <c r="AA120" s="24">
        <f>IF(AA119&gt;0,ROUND(AA119+Z120-Y120,2),0)</f>
        <v>0</v>
      </c>
      <c r="AB120" s="24">
        <f>IF(AA119&gt;0,ROUND(AB119+ROUND(ROUND(AB119*100,0)*ROUND(Y$7*10000,0)/12000000,0)/100+0.02,2),0)</f>
        <v>0</v>
      </c>
      <c r="AC120" s="24">
        <f>IF(AE119&gt;0,IF(AND(ROUND(AE119+AD120-ROUND(AC$6+IF(AC$5=$C120,$E$5+$E120,0),2),2)&gt;0,ROUND(AE119+AD120-ROUND(AC$6+IF(AC$5=$C120,$E$5+$E120,0),2),2)&lt;=AF120,ROUND(AE119+AD120-ROUND(AC$6+IF(AC$5=$C120,$E$5+$E120,0),2),2)*10&lt;=ROUND(AC$6+IF(AC$5=$C120,$E$5+$E120,0),2)),ROUND(AE119+AD120,2),MIN(ROUND(AC$6+IF(AC$5=$C120,$E$5+$E120,0),2),ROUND(AE119+AD120,2))),0)</f>
        <v>0</v>
      </c>
      <c r="AD120" s="24">
        <f>IF(AE119&gt;0,ROUND(ROUND(AE119*100,0)*ROUND(AC$7*10000,0)/12000000,0)/100,0)</f>
        <v>0</v>
      </c>
      <c r="AE120" s="24">
        <f>IF(AE119&gt;0,ROUND(AE119+AD120-AC120,2),0)</f>
        <v>0</v>
      </c>
      <c r="AF120" s="24">
        <f>IF(AE119&gt;0,ROUND(AF119+ROUND(ROUND(AF119*100,0)*ROUND(AC$7*10000,0)/12000000,0)/100+0.02,2),0)</f>
        <v>0</v>
      </c>
      <c r="AG120" s="24">
        <f>IF(AI119&gt;0,IF(AND(ROUND(AI119+AH120-ROUND(AG$6+IF(AG$5=$C120,$E$5+$E120,0),2),2)&gt;0,ROUND(AI119+AH120-ROUND(AG$6+IF(AG$5=$C120,$E$5+$E120,0),2),2)&lt;=AJ120,ROUND(AI119+AH120-ROUND(AG$6+IF(AG$5=$C120,$E$5+$E120,0),2),2)*10&lt;=ROUND(AG$6+IF(AG$5=$C120,$E$5+$E120,0),2)),ROUND(AI119+AH120,2),MIN(ROUND(AG$6+IF(AG$5=$C120,$E$5+$E120,0),2),ROUND(AI119+AH120,2))),0)</f>
        <v>0</v>
      </c>
      <c r="AH120" s="24">
        <f>IF(AI119&gt;0,ROUND(ROUND(AI119*100,0)*ROUND(AG$7*10000,0)/12000000,0)/100,0)</f>
        <v>0</v>
      </c>
      <c r="AI120" s="24">
        <f>IF(AI119&gt;0,ROUND(AI119+AH120-AG120,2),0)</f>
        <v>0</v>
      </c>
      <c r="AJ120" s="24">
        <f>IF(AI119&gt;0,ROUND(AJ119+ROUND(ROUND(AJ119*100,0)*ROUND(AG$7*10000,0)/12000000,0)/100+0.02,2),0)</f>
        <v>0</v>
      </c>
      <c r="AK120" s="24">
        <f>IF(AM119&gt;0,IF(AND(ROUND(AM119+AL120-ROUND(AK$6+IF(AK$5=$C120,$E$5+$E120,0),2),2)&gt;0,ROUND(AM119+AL120-ROUND(AK$6+IF(AK$5=$C120,$E$5+$E120,0),2),2)&lt;=AN120,ROUND(AM119+AL120-ROUND(AK$6+IF(AK$5=$C120,$E$5+$E120,0),2),2)*10&lt;=ROUND(AK$6+IF(AK$5=$C120,$E$5+$E120,0),2)),ROUND(AM119+AL120,2),MIN(ROUND(AK$6+IF(AK$5=$C120,$E$5+$E120,0),2),ROUND(AM119+AL120,2))),0)</f>
        <v>0</v>
      </c>
      <c r="AL120" s="24">
        <f>IF(AM119&gt;0,ROUND(ROUND(AM119*100,0)*ROUND(AK$7*10000,0)/12000000,0)/100,0)</f>
        <v>0</v>
      </c>
      <c r="AM120" s="24">
        <f>IF(AM119&gt;0,ROUND(AM119+AL120-AK120,2),0)</f>
        <v>0</v>
      </c>
      <c r="AN120" s="24">
        <f>IF(AM119&gt;0,ROUND(AN119+ROUND(ROUND(AN119*100,0)*ROUND(AK$7*10000,0)/12000000,0)/100+0.02,2),0)</f>
        <v>0</v>
      </c>
      <c r="AO120" s="24">
        <f>IF(AQ119&gt;0,IF(AND(ROUND(AQ119+AP120-ROUND(AO$6+IF(AO$5=$C120,$E$5+$E120,0),2),2)&gt;0,ROUND(AQ119+AP120-ROUND(AO$6+IF(AO$5=$C120,$E$5+$E120,0),2),2)&lt;=AR120,ROUND(AQ119+AP120-ROUND(AO$6+IF(AO$5=$C120,$E$5+$E120,0),2),2)*10&lt;=ROUND(AO$6+IF(AO$5=$C120,$E$5+$E120,0),2)),ROUND(AQ119+AP120,2),MIN(ROUND(AO$6+IF(AO$5=$C120,$E$5+$E120,0),2),ROUND(AQ119+AP120,2))),0)</f>
        <v>0</v>
      </c>
      <c r="AP120" s="24">
        <f>IF(AQ119&gt;0,ROUND(ROUND(AQ119*100,0)*ROUND(AO$7*10000,0)/12000000,0)/100,0)</f>
        <v>0</v>
      </c>
      <c r="AQ120" s="24">
        <f>IF(AQ119&gt;0,ROUND(AQ119+AP120-AO120,2),0)</f>
        <v>0</v>
      </c>
      <c r="AR120" s="24">
        <f>IF(AQ119&gt;0,ROUND(AR119+ROUND(ROUND(AR119*100,0)*ROUND(AO$7*10000,0)/12000000,0)/100+0.02,2),0)</f>
        <v>0</v>
      </c>
      <c r="AS120" s="24">
        <f>IF(AU119&gt;0,IF(AND(ROUND(AU119+AT120-ROUND(AS$6+IF(AS$5=$C120,$E$5+$E120,0),2),2)&gt;0,ROUND(AU119+AT120-ROUND(AS$6+IF(AS$5=$C120,$E$5+$E120,0),2),2)&lt;=AV120,ROUND(AU119+AT120-ROUND(AS$6+IF(AS$5=$C120,$E$5+$E120,0),2),2)*10&lt;=ROUND(AS$6+IF(AS$5=$C120,$E$5+$E120,0),2)),ROUND(AU119+AT120,2),MIN(ROUND(AS$6+IF(AS$5=$C120,$E$5+$E120,0),2),ROUND(AU119+AT120,2))),0)</f>
        <v>0</v>
      </c>
      <c r="AT120" s="24">
        <f>IF(AU119&gt;0,ROUND(ROUND(AU119*100,0)*ROUND(AS$7*10000,0)/12000000,0)/100,0)</f>
        <v>0</v>
      </c>
      <c r="AU120" s="24">
        <f>IF(AU119&gt;0,ROUND(AU119+AT120-AS120,2),0)</f>
        <v>0</v>
      </c>
      <c r="AV120" s="24">
        <f>IF(AU119&gt;0,ROUND(AV119+ROUND(ROUND(AV119*100,0)*ROUND(AS$7*10000,0)/12000000,0)/100+0.02,2),0)</f>
        <v>0</v>
      </c>
    </row>
    <row r="121" spans="1:48" x14ac:dyDescent="0.25">
      <c r="A121" s="17" t="str">
        <f>IF(F121&gt;0,111,"")</f>
        <v/>
      </c>
      <c r="B121" s="18" t="str">
        <f>IF(F121&gt;0,EDATE($E$6,111),"")</f>
        <v/>
      </c>
      <c r="C121" s="21">
        <f>IF(H120&gt;0,MIN(IF(K120&gt;0,I$5,99),IF(O120&gt;0,M$5,99),IF(S120&gt;0,Q$5,99),IF(W120&gt;0,U$5,99),IF(AA120&gt;0,Y$5,99),IF(AE120&gt;0,AC$5,99),IF(AI120&gt;0,AG$5,99),IF(AM120&gt;0,AK$5,99),IF(AQ120&gt;0,AO$5,99),IF(AU120&gt;0,AS$5,99)),0)</f>
        <v>0</v>
      </c>
      <c r="D121" t="str">
        <f>IF(C121&gt;0,INDEX($I$4:$AV$4,1,MATCH(C121,$I$5:$AV$5,0)),"")</f>
        <v/>
      </c>
      <c r="E121" s="24">
        <f>ROUND(IF(AND(I$8&gt;0,K120=0),I$6,0)+IF(AND(M$8&gt;0,O120=0),M$6,0)+IF(AND(Q$8&gt;0,S120=0),Q$6,0)+IF(AND(U$8&gt;0,W120=0),U$6,0)+IF(AND(Y$8&gt;0,AA120=0),Y$6,0)+IF(AND(AC$8&gt;0,AE120=0),AC$6,0)+IF(AND(AG$8&gt;0,AI120=0),AG$6,0)+IF(AND(AK$8&gt;0,AM120=0),AK$6,0)+IF(AND(AO$8&gt;0,AQ120=0),AO$6,0)+IF(AND(AS$8&gt;0,AU120=0),AS$6,0),2)</f>
        <v>325</v>
      </c>
      <c r="F121" s="24">
        <f>ROUND(I121+M121+Q121+U121+Y121+AC121+AG121+AK121+AO121+AS121,2)</f>
        <v>0</v>
      </c>
      <c r="G121" s="24">
        <f>ROUND(J121+N121+R121+V121+Z121+AD121+AH121+AL121+AP121+AT121,2)</f>
        <v>0</v>
      </c>
      <c r="H121" s="24">
        <f>ROUND(K121+O121+S121+W121+AA121+AE121+AI121+AM121+AQ121+AU121,2)</f>
        <v>0</v>
      </c>
      <c r="I121" s="24">
        <f>IF(K120&gt;0,IF(AND(ROUND(K120+J121-ROUND(I$6+IF(I$5=$C121,$E$5+$E121,0),2),2)&gt;0,ROUND(K120+J121-ROUND(I$6+IF(I$5=$C121,$E$5+$E121,0),2),2)&lt;=L121,ROUND(K120+J121-ROUND(I$6+IF(I$5=$C121,$E$5+$E121,0),2),2)*10&lt;=ROUND(I$6+IF(I$5=$C121,$E$5+$E121,0),2)),ROUND(K120+J121,2),MIN(ROUND(I$6+IF(I$5=$C121,$E$5+$E121,0),2),ROUND(K120+J121,2))),0)</f>
        <v>0</v>
      </c>
      <c r="J121" s="24">
        <f>IF(K120&gt;0,ROUND(ROUND(K120*100,0)*ROUND(I$7*10000,0)/12000000,0)/100,0)</f>
        <v>0</v>
      </c>
      <c r="K121" s="24">
        <f>IF(K120&gt;0,ROUND(K120+J121-I121,2),0)</f>
        <v>0</v>
      </c>
      <c r="L121" s="24">
        <f>IF(K120&gt;0,ROUND(L120+ROUND(ROUND(L120*100,0)*ROUND(I$7*10000,0)/12000000,0)/100+0.02,2),0)</f>
        <v>0</v>
      </c>
      <c r="M121" s="24">
        <f>IF(O120&gt;0,IF(AND(ROUND(O120+N121-ROUND(M$6+IF(M$5=$C121,$E$5+$E121,0),2),2)&gt;0,ROUND(O120+N121-ROUND(M$6+IF(M$5=$C121,$E$5+$E121,0),2),2)&lt;=P121,ROUND(O120+N121-ROUND(M$6+IF(M$5=$C121,$E$5+$E121,0),2),2)*10&lt;=ROUND(M$6+IF(M$5=$C121,$E$5+$E121,0),2)),ROUND(O120+N121,2),MIN(ROUND(M$6+IF(M$5=$C121,$E$5+$E121,0),2),ROUND(O120+N121,2))),0)</f>
        <v>0</v>
      </c>
      <c r="N121" s="24">
        <f>IF(O120&gt;0,ROUND(ROUND(O120*100,0)*ROUND(M$7*10000,0)/12000000,0)/100,0)</f>
        <v>0</v>
      </c>
      <c r="O121" s="24">
        <f>IF(O120&gt;0,ROUND(O120+N121-M121,2),0)</f>
        <v>0</v>
      </c>
      <c r="P121" s="24">
        <f>IF(O120&gt;0,ROUND(P120+ROUND(ROUND(P120*100,0)*ROUND(M$7*10000,0)/12000000,0)/100+0.02,2),0)</f>
        <v>0</v>
      </c>
      <c r="Q121" s="24">
        <f>IF(S120&gt;0,IF(AND(ROUND(S120+R121-ROUND(Q$6+IF(Q$5=$C121,$E$5+$E121,0),2),2)&gt;0,ROUND(S120+R121-ROUND(Q$6+IF(Q$5=$C121,$E$5+$E121,0),2),2)&lt;=T121,ROUND(S120+R121-ROUND(Q$6+IF(Q$5=$C121,$E$5+$E121,0),2),2)*10&lt;=ROUND(Q$6+IF(Q$5=$C121,$E$5+$E121,0),2)),ROUND(S120+R121,2),MIN(ROUND(Q$6+IF(Q$5=$C121,$E$5+$E121,0),2),ROUND(S120+R121,2))),0)</f>
        <v>0</v>
      </c>
      <c r="R121" s="24">
        <f>IF(S120&gt;0,ROUND(ROUND(S120*100,0)*ROUND(Q$7*10000,0)/12000000,0)/100,0)</f>
        <v>0</v>
      </c>
      <c r="S121" s="24">
        <f>IF(S120&gt;0,ROUND(S120+R121-Q121,2),0)</f>
        <v>0</v>
      </c>
      <c r="T121" s="24">
        <f>IF(S120&gt;0,ROUND(T120+ROUND(ROUND(T120*100,0)*ROUND(Q$7*10000,0)/12000000,0)/100+0.02,2),0)</f>
        <v>0</v>
      </c>
      <c r="U121" s="24">
        <f>IF(W120&gt;0,IF(AND(ROUND(W120+V121-ROUND(U$6+IF(U$5=$C121,$E$5+$E121,0),2),2)&gt;0,ROUND(W120+V121-ROUND(U$6+IF(U$5=$C121,$E$5+$E121,0),2),2)&lt;=X121,ROUND(W120+V121-ROUND(U$6+IF(U$5=$C121,$E$5+$E121,0),2),2)*10&lt;=ROUND(U$6+IF(U$5=$C121,$E$5+$E121,0),2)),ROUND(W120+V121,2),MIN(ROUND(U$6+IF(U$5=$C121,$E$5+$E121,0),2),ROUND(W120+V121,2))),0)</f>
        <v>0</v>
      </c>
      <c r="V121" s="24">
        <f>IF(W120&gt;0,ROUND(ROUND(W120*100,0)*ROUND(U$7*10000,0)/12000000,0)/100,0)</f>
        <v>0</v>
      </c>
      <c r="W121" s="24">
        <f>IF(W120&gt;0,ROUND(W120+V121-U121,2),0)</f>
        <v>0</v>
      </c>
      <c r="X121" s="24">
        <f>IF(W120&gt;0,ROUND(X120+ROUND(ROUND(X120*100,0)*ROUND(U$7*10000,0)/12000000,0)/100+0.02,2),0)</f>
        <v>0</v>
      </c>
      <c r="Y121" s="24">
        <f>IF(AA120&gt;0,IF(AND(ROUND(AA120+Z121-ROUND(Y$6+IF(Y$5=$C121,$E$5+$E121,0),2),2)&gt;0,ROUND(AA120+Z121-ROUND(Y$6+IF(Y$5=$C121,$E$5+$E121,0),2),2)&lt;=AB121,ROUND(AA120+Z121-ROUND(Y$6+IF(Y$5=$C121,$E$5+$E121,0),2),2)*10&lt;=ROUND(Y$6+IF(Y$5=$C121,$E$5+$E121,0),2)),ROUND(AA120+Z121,2),MIN(ROUND(Y$6+IF(Y$5=$C121,$E$5+$E121,0),2),ROUND(AA120+Z121,2))),0)</f>
        <v>0</v>
      </c>
      <c r="Z121" s="24">
        <f>IF(AA120&gt;0,ROUND(ROUND(AA120*100,0)*ROUND(Y$7*10000,0)/12000000,0)/100,0)</f>
        <v>0</v>
      </c>
      <c r="AA121" s="24">
        <f>IF(AA120&gt;0,ROUND(AA120+Z121-Y121,2),0)</f>
        <v>0</v>
      </c>
      <c r="AB121" s="24">
        <f>IF(AA120&gt;0,ROUND(AB120+ROUND(ROUND(AB120*100,0)*ROUND(Y$7*10000,0)/12000000,0)/100+0.02,2),0)</f>
        <v>0</v>
      </c>
      <c r="AC121" s="24">
        <f>IF(AE120&gt;0,IF(AND(ROUND(AE120+AD121-ROUND(AC$6+IF(AC$5=$C121,$E$5+$E121,0),2),2)&gt;0,ROUND(AE120+AD121-ROUND(AC$6+IF(AC$5=$C121,$E$5+$E121,0),2),2)&lt;=AF121,ROUND(AE120+AD121-ROUND(AC$6+IF(AC$5=$C121,$E$5+$E121,0),2),2)*10&lt;=ROUND(AC$6+IF(AC$5=$C121,$E$5+$E121,0),2)),ROUND(AE120+AD121,2),MIN(ROUND(AC$6+IF(AC$5=$C121,$E$5+$E121,0),2),ROUND(AE120+AD121,2))),0)</f>
        <v>0</v>
      </c>
      <c r="AD121" s="24">
        <f>IF(AE120&gt;0,ROUND(ROUND(AE120*100,0)*ROUND(AC$7*10000,0)/12000000,0)/100,0)</f>
        <v>0</v>
      </c>
      <c r="AE121" s="24">
        <f>IF(AE120&gt;0,ROUND(AE120+AD121-AC121,2),0)</f>
        <v>0</v>
      </c>
      <c r="AF121" s="24">
        <f>IF(AE120&gt;0,ROUND(AF120+ROUND(ROUND(AF120*100,0)*ROUND(AC$7*10000,0)/12000000,0)/100+0.02,2),0)</f>
        <v>0</v>
      </c>
      <c r="AG121" s="24">
        <f>IF(AI120&gt;0,IF(AND(ROUND(AI120+AH121-ROUND(AG$6+IF(AG$5=$C121,$E$5+$E121,0),2),2)&gt;0,ROUND(AI120+AH121-ROUND(AG$6+IF(AG$5=$C121,$E$5+$E121,0),2),2)&lt;=AJ121,ROUND(AI120+AH121-ROUND(AG$6+IF(AG$5=$C121,$E$5+$E121,0),2),2)*10&lt;=ROUND(AG$6+IF(AG$5=$C121,$E$5+$E121,0),2)),ROUND(AI120+AH121,2),MIN(ROUND(AG$6+IF(AG$5=$C121,$E$5+$E121,0),2),ROUND(AI120+AH121,2))),0)</f>
        <v>0</v>
      </c>
      <c r="AH121" s="24">
        <f>IF(AI120&gt;0,ROUND(ROUND(AI120*100,0)*ROUND(AG$7*10000,0)/12000000,0)/100,0)</f>
        <v>0</v>
      </c>
      <c r="AI121" s="24">
        <f>IF(AI120&gt;0,ROUND(AI120+AH121-AG121,2),0)</f>
        <v>0</v>
      </c>
      <c r="AJ121" s="24">
        <f>IF(AI120&gt;0,ROUND(AJ120+ROUND(ROUND(AJ120*100,0)*ROUND(AG$7*10000,0)/12000000,0)/100+0.02,2),0)</f>
        <v>0</v>
      </c>
      <c r="AK121" s="24">
        <f>IF(AM120&gt;0,IF(AND(ROUND(AM120+AL121-ROUND(AK$6+IF(AK$5=$C121,$E$5+$E121,0),2),2)&gt;0,ROUND(AM120+AL121-ROUND(AK$6+IF(AK$5=$C121,$E$5+$E121,0),2),2)&lt;=AN121,ROUND(AM120+AL121-ROUND(AK$6+IF(AK$5=$C121,$E$5+$E121,0),2),2)*10&lt;=ROUND(AK$6+IF(AK$5=$C121,$E$5+$E121,0),2)),ROUND(AM120+AL121,2),MIN(ROUND(AK$6+IF(AK$5=$C121,$E$5+$E121,0),2),ROUND(AM120+AL121,2))),0)</f>
        <v>0</v>
      </c>
      <c r="AL121" s="24">
        <f>IF(AM120&gt;0,ROUND(ROUND(AM120*100,0)*ROUND(AK$7*10000,0)/12000000,0)/100,0)</f>
        <v>0</v>
      </c>
      <c r="AM121" s="24">
        <f>IF(AM120&gt;0,ROUND(AM120+AL121-AK121,2),0)</f>
        <v>0</v>
      </c>
      <c r="AN121" s="24">
        <f>IF(AM120&gt;0,ROUND(AN120+ROUND(ROUND(AN120*100,0)*ROUND(AK$7*10000,0)/12000000,0)/100+0.02,2),0)</f>
        <v>0</v>
      </c>
      <c r="AO121" s="24">
        <f>IF(AQ120&gt;0,IF(AND(ROUND(AQ120+AP121-ROUND(AO$6+IF(AO$5=$C121,$E$5+$E121,0),2),2)&gt;0,ROUND(AQ120+AP121-ROUND(AO$6+IF(AO$5=$C121,$E$5+$E121,0),2),2)&lt;=AR121,ROUND(AQ120+AP121-ROUND(AO$6+IF(AO$5=$C121,$E$5+$E121,0),2),2)*10&lt;=ROUND(AO$6+IF(AO$5=$C121,$E$5+$E121,0),2)),ROUND(AQ120+AP121,2),MIN(ROUND(AO$6+IF(AO$5=$C121,$E$5+$E121,0),2),ROUND(AQ120+AP121,2))),0)</f>
        <v>0</v>
      </c>
      <c r="AP121" s="24">
        <f>IF(AQ120&gt;0,ROUND(ROUND(AQ120*100,0)*ROUND(AO$7*10000,0)/12000000,0)/100,0)</f>
        <v>0</v>
      </c>
      <c r="AQ121" s="24">
        <f>IF(AQ120&gt;0,ROUND(AQ120+AP121-AO121,2),0)</f>
        <v>0</v>
      </c>
      <c r="AR121" s="24">
        <f>IF(AQ120&gt;0,ROUND(AR120+ROUND(ROUND(AR120*100,0)*ROUND(AO$7*10000,0)/12000000,0)/100+0.02,2),0)</f>
        <v>0</v>
      </c>
      <c r="AS121" s="24">
        <f>IF(AU120&gt;0,IF(AND(ROUND(AU120+AT121-ROUND(AS$6+IF(AS$5=$C121,$E$5+$E121,0),2),2)&gt;0,ROUND(AU120+AT121-ROUND(AS$6+IF(AS$5=$C121,$E$5+$E121,0),2),2)&lt;=AV121,ROUND(AU120+AT121-ROUND(AS$6+IF(AS$5=$C121,$E$5+$E121,0),2),2)*10&lt;=ROUND(AS$6+IF(AS$5=$C121,$E$5+$E121,0),2)),ROUND(AU120+AT121,2),MIN(ROUND(AS$6+IF(AS$5=$C121,$E$5+$E121,0),2),ROUND(AU120+AT121,2))),0)</f>
        <v>0</v>
      </c>
      <c r="AT121" s="24">
        <f>IF(AU120&gt;0,ROUND(ROUND(AU120*100,0)*ROUND(AS$7*10000,0)/12000000,0)/100,0)</f>
        <v>0</v>
      </c>
      <c r="AU121" s="24">
        <f>IF(AU120&gt;0,ROUND(AU120+AT121-AS121,2),0)</f>
        <v>0</v>
      </c>
      <c r="AV121" s="24">
        <f>IF(AU120&gt;0,ROUND(AV120+ROUND(ROUND(AV120*100,0)*ROUND(AS$7*10000,0)/12000000,0)/100+0.02,2),0)</f>
        <v>0</v>
      </c>
    </row>
    <row r="122" spans="1:48" x14ac:dyDescent="0.25">
      <c r="A122" s="17" t="str">
        <f>IF(F122&gt;0,112,"")</f>
        <v/>
      </c>
      <c r="B122" s="18" t="str">
        <f>IF(F122&gt;0,EDATE($E$6,112),"")</f>
        <v/>
      </c>
      <c r="C122" s="21">
        <f>IF(H121&gt;0,MIN(IF(K121&gt;0,I$5,99),IF(O121&gt;0,M$5,99),IF(S121&gt;0,Q$5,99),IF(W121&gt;0,U$5,99),IF(AA121&gt;0,Y$5,99),IF(AE121&gt;0,AC$5,99),IF(AI121&gt;0,AG$5,99),IF(AM121&gt;0,AK$5,99),IF(AQ121&gt;0,AO$5,99),IF(AU121&gt;0,AS$5,99)),0)</f>
        <v>0</v>
      </c>
      <c r="D122" t="str">
        <f>IF(C122&gt;0,INDEX($I$4:$AV$4,1,MATCH(C122,$I$5:$AV$5,0)),"")</f>
        <v/>
      </c>
      <c r="E122" s="24">
        <f>ROUND(IF(AND(I$8&gt;0,K121=0),I$6,0)+IF(AND(M$8&gt;0,O121=0),M$6,0)+IF(AND(Q$8&gt;0,S121=0),Q$6,0)+IF(AND(U$8&gt;0,W121=0),U$6,0)+IF(AND(Y$8&gt;0,AA121=0),Y$6,0)+IF(AND(AC$8&gt;0,AE121=0),AC$6,0)+IF(AND(AG$8&gt;0,AI121=0),AG$6,0)+IF(AND(AK$8&gt;0,AM121=0),AK$6,0)+IF(AND(AO$8&gt;0,AQ121=0),AO$6,0)+IF(AND(AS$8&gt;0,AU121=0),AS$6,0),2)</f>
        <v>325</v>
      </c>
      <c r="F122" s="24">
        <f>ROUND(I122+M122+Q122+U122+Y122+AC122+AG122+AK122+AO122+AS122,2)</f>
        <v>0</v>
      </c>
      <c r="G122" s="24">
        <f>ROUND(J122+N122+R122+V122+Z122+AD122+AH122+AL122+AP122+AT122,2)</f>
        <v>0</v>
      </c>
      <c r="H122" s="24">
        <f>ROUND(K122+O122+S122+W122+AA122+AE122+AI122+AM122+AQ122+AU122,2)</f>
        <v>0</v>
      </c>
      <c r="I122" s="24">
        <f>IF(K121&gt;0,IF(AND(ROUND(K121+J122-ROUND(I$6+IF(I$5=$C122,$E$5+$E122,0),2),2)&gt;0,ROUND(K121+J122-ROUND(I$6+IF(I$5=$C122,$E$5+$E122,0),2),2)&lt;=L122,ROUND(K121+J122-ROUND(I$6+IF(I$5=$C122,$E$5+$E122,0),2),2)*10&lt;=ROUND(I$6+IF(I$5=$C122,$E$5+$E122,0),2)),ROUND(K121+J122,2),MIN(ROUND(I$6+IF(I$5=$C122,$E$5+$E122,0),2),ROUND(K121+J122,2))),0)</f>
        <v>0</v>
      </c>
      <c r="J122" s="24">
        <f>IF(K121&gt;0,ROUND(ROUND(K121*100,0)*ROUND(I$7*10000,0)/12000000,0)/100,0)</f>
        <v>0</v>
      </c>
      <c r="K122" s="24">
        <f>IF(K121&gt;0,ROUND(K121+J122-I122,2),0)</f>
        <v>0</v>
      </c>
      <c r="L122" s="24">
        <f>IF(K121&gt;0,ROUND(L121+ROUND(ROUND(L121*100,0)*ROUND(I$7*10000,0)/12000000,0)/100+0.02,2),0)</f>
        <v>0</v>
      </c>
      <c r="M122" s="24">
        <f>IF(O121&gt;0,IF(AND(ROUND(O121+N122-ROUND(M$6+IF(M$5=$C122,$E$5+$E122,0),2),2)&gt;0,ROUND(O121+N122-ROUND(M$6+IF(M$5=$C122,$E$5+$E122,0),2),2)&lt;=P122,ROUND(O121+N122-ROUND(M$6+IF(M$5=$C122,$E$5+$E122,0),2),2)*10&lt;=ROUND(M$6+IF(M$5=$C122,$E$5+$E122,0),2)),ROUND(O121+N122,2),MIN(ROUND(M$6+IF(M$5=$C122,$E$5+$E122,0),2),ROUND(O121+N122,2))),0)</f>
        <v>0</v>
      </c>
      <c r="N122" s="24">
        <f>IF(O121&gt;0,ROUND(ROUND(O121*100,0)*ROUND(M$7*10000,0)/12000000,0)/100,0)</f>
        <v>0</v>
      </c>
      <c r="O122" s="24">
        <f>IF(O121&gt;0,ROUND(O121+N122-M122,2),0)</f>
        <v>0</v>
      </c>
      <c r="P122" s="24">
        <f>IF(O121&gt;0,ROUND(P121+ROUND(ROUND(P121*100,0)*ROUND(M$7*10000,0)/12000000,0)/100+0.02,2),0)</f>
        <v>0</v>
      </c>
      <c r="Q122" s="24">
        <f>IF(S121&gt;0,IF(AND(ROUND(S121+R122-ROUND(Q$6+IF(Q$5=$C122,$E$5+$E122,0),2),2)&gt;0,ROUND(S121+R122-ROUND(Q$6+IF(Q$5=$C122,$E$5+$E122,0),2),2)&lt;=T122,ROUND(S121+R122-ROUND(Q$6+IF(Q$5=$C122,$E$5+$E122,0),2),2)*10&lt;=ROUND(Q$6+IF(Q$5=$C122,$E$5+$E122,0),2)),ROUND(S121+R122,2),MIN(ROUND(Q$6+IF(Q$5=$C122,$E$5+$E122,0),2),ROUND(S121+R122,2))),0)</f>
        <v>0</v>
      </c>
      <c r="R122" s="24">
        <f>IF(S121&gt;0,ROUND(ROUND(S121*100,0)*ROUND(Q$7*10000,0)/12000000,0)/100,0)</f>
        <v>0</v>
      </c>
      <c r="S122" s="24">
        <f>IF(S121&gt;0,ROUND(S121+R122-Q122,2),0)</f>
        <v>0</v>
      </c>
      <c r="T122" s="24">
        <f>IF(S121&gt;0,ROUND(T121+ROUND(ROUND(T121*100,0)*ROUND(Q$7*10000,0)/12000000,0)/100+0.02,2),0)</f>
        <v>0</v>
      </c>
      <c r="U122" s="24">
        <f>IF(W121&gt;0,IF(AND(ROUND(W121+V122-ROUND(U$6+IF(U$5=$C122,$E$5+$E122,0),2),2)&gt;0,ROUND(W121+V122-ROUND(U$6+IF(U$5=$C122,$E$5+$E122,0),2),2)&lt;=X122,ROUND(W121+V122-ROUND(U$6+IF(U$5=$C122,$E$5+$E122,0),2),2)*10&lt;=ROUND(U$6+IF(U$5=$C122,$E$5+$E122,0),2)),ROUND(W121+V122,2),MIN(ROUND(U$6+IF(U$5=$C122,$E$5+$E122,0),2),ROUND(W121+V122,2))),0)</f>
        <v>0</v>
      </c>
      <c r="V122" s="24">
        <f>IF(W121&gt;0,ROUND(ROUND(W121*100,0)*ROUND(U$7*10000,0)/12000000,0)/100,0)</f>
        <v>0</v>
      </c>
      <c r="W122" s="24">
        <f>IF(W121&gt;0,ROUND(W121+V122-U122,2),0)</f>
        <v>0</v>
      </c>
      <c r="X122" s="24">
        <f>IF(W121&gt;0,ROUND(X121+ROUND(ROUND(X121*100,0)*ROUND(U$7*10000,0)/12000000,0)/100+0.02,2),0)</f>
        <v>0</v>
      </c>
      <c r="Y122" s="24">
        <f>IF(AA121&gt;0,IF(AND(ROUND(AA121+Z122-ROUND(Y$6+IF(Y$5=$C122,$E$5+$E122,0),2),2)&gt;0,ROUND(AA121+Z122-ROUND(Y$6+IF(Y$5=$C122,$E$5+$E122,0),2),2)&lt;=AB122,ROUND(AA121+Z122-ROUND(Y$6+IF(Y$5=$C122,$E$5+$E122,0),2),2)*10&lt;=ROUND(Y$6+IF(Y$5=$C122,$E$5+$E122,0),2)),ROUND(AA121+Z122,2),MIN(ROUND(Y$6+IF(Y$5=$C122,$E$5+$E122,0),2),ROUND(AA121+Z122,2))),0)</f>
        <v>0</v>
      </c>
      <c r="Z122" s="24">
        <f>IF(AA121&gt;0,ROUND(ROUND(AA121*100,0)*ROUND(Y$7*10000,0)/12000000,0)/100,0)</f>
        <v>0</v>
      </c>
      <c r="AA122" s="24">
        <f>IF(AA121&gt;0,ROUND(AA121+Z122-Y122,2),0)</f>
        <v>0</v>
      </c>
      <c r="AB122" s="24">
        <f>IF(AA121&gt;0,ROUND(AB121+ROUND(ROUND(AB121*100,0)*ROUND(Y$7*10000,0)/12000000,0)/100+0.02,2),0)</f>
        <v>0</v>
      </c>
      <c r="AC122" s="24">
        <f>IF(AE121&gt;0,IF(AND(ROUND(AE121+AD122-ROUND(AC$6+IF(AC$5=$C122,$E$5+$E122,0),2),2)&gt;0,ROUND(AE121+AD122-ROUND(AC$6+IF(AC$5=$C122,$E$5+$E122,0),2),2)&lt;=AF122,ROUND(AE121+AD122-ROUND(AC$6+IF(AC$5=$C122,$E$5+$E122,0),2),2)*10&lt;=ROUND(AC$6+IF(AC$5=$C122,$E$5+$E122,0),2)),ROUND(AE121+AD122,2),MIN(ROUND(AC$6+IF(AC$5=$C122,$E$5+$E122,0),2),ROUND(AE121+AD122,2))),0)</f>
        <v>0</v>
      </c>
      <c r="AD122" s="24">
        <f>IF(AE121&gt;0,ROUND(ROUND(AE121*100,0)*ROUND(AC$7*10000,0)/12000000,0)/100,0)</f>
        <v>0</v>
      </c>
      <c r="AE122" s="24">
        <f>IF(AE121&gt;0,ROUND(AE121+AD122-AC122,2),0)</f>
        <v>0</v>
      </c>
      <c r="AF122" s="24">
        <f>IF(AE121&gt;0,ROUND(AF121+ROUND(ROUND(AF121*100,0)*ROUND(AC$7*10000,0)/12000000,0)/100+0.02,2),0)</f>
        <v>0</v>
      </c>
      <c r="AG122" s="24">
        <f>IF(AI121&gt;0,IF(AND(ROUND(AI121+AH122-ROUND(AG$6+IF(AG$5=$C122,$E$5+$E122,0),2),2)&gt;0,ROUND(AI121+AH122-ROUND(AG$6+IF(AG$5=$C122,$E$5+$E122,0),2),2)&lt;=AJ122,ROUND(AI121+AH122-ROUND(AG$6+IF(AG$5=$C122,$E$5+$E122,0),2),2)*10&lt;=ROUND(AG$6+IF(AG$5=$C122,$E$5+$E122,0),2)),ROUND(AI121+AH122,2),MIN(ROUND(AG$6+IF(AG$5=$C122,$E$5+$E122,0),2),ROUND(AI121+AH122,2))),0)</f>
        <v>0</v>
      </c>
      <c r="AH122" s="24">
        <f>IF(AI121&gt;0,ROUND(ROUND(AI121*100,0)*ROUND(AG$7*10000,0)/12000000,0)/100,0)</f>
        <v>0</v>
      </c>
      <c r="AI122" s="24">
        <f>IF(AI121&gt;0,ROUND(AI121+AH122-AG122,2),0)</f>
        <v>0</v>
      </c>
      <c r="AJ122" s="24">
        <f>IF(AI121&gt;0,ROUND(AJ121+ROUND(ROUND(AJ121*100,0)*ROUND(AG$7*10000,0)/12000000,0)/100+0.02,2),0)</f>
        <v>0</v>
      </c>
      <c r="AK122" s="24">
        <f>IF(AM121&gt;0,IF(AND(ROUND(AM121+AL122-ROUND(AK$6+IF(AK$5=$C122,$E$5+$E122,0),2),2)&gt;0,ROUND(AM121+AL122-ROUND(AK$6+IF(AK$5=$C122,$E$5+$E122,0),2),2)&lt;=AN122,ROUND(AM121+AL122-ROUND(AK$6+IF(AK$5=$C122,$E$5+$E122,0),2),2)*10&lt;=ROUND(AK$6+IF(AK$5=$C122,$E$5+$E122,0),2)),ROUND(AM121+AL122,2),MIN(ROUND(AK$6+IF(AK$5=$C122,$E$5+$E122,0),2),ROUND(AM121+AL122,2))),0)</f>
        <v>0</v>
      </c>
      <c r="AL122" s="24">
        <f>IF(AM121&gt;0,ROUND(ROUND(AM121*100,0)*ROUND(AK$7*10000,0)/12000000,0)/100,0)</f>
        <v>0</v>
      </c>
      <c r="AM122" s="24">
        <f>IF(AM121&gt;0,ROUND(AM121+AL122-AK122,2),0)</f>
        <v>0</v>
      </c>
      <c r="AN122" s="24">
        <f>IF(AM121&gt;0,ROUND(AN121+ROUND(ROUND(AN121*100,0)*ROUND(AK$7*10000,0)/12000000,0)/100+0.02,2),0)</f>
        <v>0</v>
      </c>
      <c r="AO122" s="24">
        <f>IF(AQ121&gt;0,IF(AND(ROUND(AQ121+AP122-ROUND(AO$6+IF(AO$5=$C122,$E$5+$E122,0),2),2)&gt;0,ROUND(AQ121+AP122-ROUND(AO$6+IF(AO$5=$C122,$E$5+$E122,0),2),2)&lt;=AR122,ROUND(AQ121+AP122-ROUND(AO$6+IF(AO$5=$C122,$E$5+$E122,0),2),2)*10&lt;=ROUND(AO$6+IF(AO$5=$C122,$E$5+$E122,0),2)),ROUND(AQ121+AP122,2),MIN(ROUND(AO$6+IF(AO$5=$C122,$E$5+$E122,0),2),ROUND(AQ121+AP122,2))),0)</f>
        <v>0</v>
      </c>
      <c r="AP122" s="24">
        <f>IF(AQ121&gt;0,ROUND(ROUND(AQ121*100,0)*ROUND(AO$7*10000,0)/12000000,0)/100,0)</f>
        <v>0</v>
      </c>
      <c r="AQ122" s="24">
        <f>IF(AQ121&gt;0,ROUND(AQ121+AP122-AO122,2),0)</f>
        <v>0</v>
      </c>
      <c r="AR122" s="24">
        <f>IF(AQ121&gt;0,ROUND(AR121+ROUND(ROUND(AR121*100,0)*ROUND(AO$7*10000,0)/12000000,0)/100+0.02,2),0)</f>
        <v>0</v>
      </c>
      <c r="AS122" s="24">
        <f>IF(AU121&gt;0,IF(AND(ROUND(AU121+AT122-ROUND(AS$6+IF(AS$5=$C122,$E$5+$E122,0),2),2)&gt;0,ROUND(AU121+AT122-ROUND(AS$6+IF(AS$5=$C122,$E$5+$E122,0),2),2)&lt;=AV122,ROUND(AU121+AT122-ROUND(AS$6+IF(AS$5=$C122,$E$5+$E122,0),2),2)*10&lt;=ROUND(AS$6+IF(AS$5=$C122,$E$5+$E122,0),2)),ROUND(AU121+AT122,2),MIN(ROUND(AS$6+IF(AS$5=$C122,$E$5+$E122,0),2),ROUND(AU121+AT122,2))),0)</f>
        <v>0</v>
      </c>
      <c r="AT122" s="24">
        <f>IF(AU121&gt;0,ROUND(ROUND(AU121*100,0)*ROUND(AS$7*10000,0)/12000000,0)/100,0)</f>
        <v>0</v>
      </c>
      <c r="AU122" s="24">
        <f>IF(AU121&gt;0,ROUND(AU121+AT122-AS122,2),0)</f>
        <v>0</v>
      </c>
      <c r="AV122" s="24">
        <f>IF(AU121&gt;0,ROUND(AV121+ROUND(ROUND(AV121*100,0)*ROUND(AS$7*10000,0)/12000000,0)/100+0.02,2),0)</f>
        <v>0</v>
      </c>
    </row>
    <row r="123" spans="1:48" x14ac:dyDescent="0.25">
      <c r="A123" s="17" t="str">
        <f>IF(F123&gt;0,113,"")</f>
        <v/>
      </c>
      <c r="B123" s="18" t="str">
        <f>IF(F123&gt;0,EDATE($E$6,113),"")</f>
        <v/>
      </c>
      <c r="C123" s="21">
        <f>IF(H122&gt;0,MIN(IF(K122&gt;0,I$5,99),IF(O122&gt;0,M$5,99),IF(S122&gt;0,Q$5,99),IF(W122&gt;0,U$5,99),IF(AA122&gt;0,Y$5,99),IF(AE122&gt;0,AC$5,99),IF(AI122&gt;0,AG$5,99),IF(AM122&gt;0,AK$5,99),IF(AQ122&gt;0,AO$5,99),IF(AU122&gt;0,AS$5,99)),0)</f>
        <v>0</v>
      </c>
      <c r="D123" t="str">
        <f>IF(C123&gt;0,INDEX($I$4:$AV$4,1,MATCH(C123,$I$5:$AV$5,0)),"")</f>
        <v/>
      </c>
      <c r="E123" s="24">
        <f>ROUND(IF(AND(I$8&gt;0,K122=0),I$6,0)+IF(AND(M$8&gt;0,O122=0),M$6,0)+IF(AND(Q$8&gt;0,S122=0),Q$6,0)+IF(AND(U$8&gt;0,W122=0),U$6,0)+IF(AND(Y$8&gt;0,AA122=0),Y$6,0)+IF(AND(AC$8&gt;0,AE122=0),AC$6,0)+IF(AND(AG$8&gt;0,AI122=0),AG$6,0)+IF(AND(AK$8&gt;0,AM122=0),AK$6,0)+IF(AND(AO$8&gt;0,AQ122=0),AO$6,0)+IF(AND(AS$8&gt;0,AU122=0),AS$6,0),2)</f>
        <v>325</v>
      </c>
      <c r="F123" s="24">
        <f>ROUND(I123+M123+Q123+U123+Y123+AC123+AG123+AK123+AO123+AS123,2)</f>
        <v>0</v>
      </c>
      <c r="G123" s="24">
        <f>ROUND(J123+N123+R123+V123+Z123+AD123+AH123+AL123+AP123+AT123,2)</f>
        <v>0</v>
      </c>
      <c r="H123" s="24">
        <f>ROUND(K123+O123+S123+W123+AA123+AE123+AI123+AM123+AQ123+AU123,2)</f>
        <v>0</v>
      </c>
      <c r="I123" s="24">
        <f>IF(K122&gt;0,IF(AND(ROUND(K122+J123-ROUND(I$6+IF(I$5=$C123,$E$5+$E123,0),2),2)&gt;0,ROUND(K122+J123-ROUND(I$6+IF(I$5=$C123,$E$5+$E123,0),2),2)&lt;=L123,ROUND(K122+J123-ROUND(I$6+IF(I$5=$C123,$E$5+$E123,0),2),2)*10&lt;=ROUND(I$6+IF(I$5=$C123,$E$5+$E123,0),2)),ROUND(K122+J123,2),MIN(ROUND(I$6+IF(I$5=$C123,$E$5+$E123,0),2),ROUND(K122+J123,2))),0)</f>
        <v>0</v>
      </c>
      <c r="J123" s="24">
        <f>IF(K122&gt;0,ROUND(ROUND(K122*100,0)*ROUND(I$7*10000,0)/12000000,0)/100,0)</f>
        <v>0</v>
      </c>
      <c r="K123" s="24">
        <f>IF(K122&gt;0,ROUND(K122+J123-I123,2),0)</f>
        <v>0</v>
      </c>
      <c r="L123" s="24">
        <f>IF(K122&gt;0,ROUND(L122+ROUND(ROUND(L122*100,0)*ROUND(I$7*10000,0)/12000000,0)/100+0.02,2),0)</f>
        <v>0</v>
      </c>
      <c r="M123" s="24">
        <f>IF(O122&gt;0,IF(AND(ROUND(O122+N123-ROUND(M$6+IF(M$5=$C123,$E$5+$E123,0),2),2)&gt;0,ROUND(O122+N123-ROUND(M$6+IF(M$5=$C123,$E$5+$E123,0),2),2)&lt;=P123,ROUND(O122+N123-ROUND(M$6+IF(M$5=$C123,$E$5+$E123,0),2),2)*10&lt;=ROUND(M$6+IF(M$5=$C123,$E$5+$E123,0),2)),ROUND(O122+N123,2),MIN(ROUND(M$6+IF(M$5=$C123,$E$5+$E123,0),2),ROUND(O122+N123,2))),0)</f>
        <v>0</v>
      </c>
      <c r="N123" s="24">
        <f>IF(O122&gt;0,ROUND(ROUND(O122*100,0)*ROUND(M$7*10000,0)/12000000,0)/100,0)</f>
        <v>0</v>
      </c>
      <c r="O123" s="24">
        <f>IF(O122&gt;0,ROUND(O122+N123-M123,2),0)</f>
        <v>0</v>
      </c>
      <c r="P123" s="24">
        <f>IF(O122&gt;0,ROUND(P122+ROUND(ROUND(P122*100,0)*ROUND(M$7*10000,0)/12000000,0)/100+0.02,2),0)</f>
        <v>0</v>
      </c>
      <c r="Q123" s="24">
        <f>IF(S122&gt;0,IF(AND(ROUND(S122+R123-ROUND(Q$6+IF(Q$5=$C123,$E$5+$E123,0),2),2)&gt;0,ROUND(S122+R123-ROUND(Q$6+IF(Q$5=$C123,$E$5+$E123,0),2),2)&lt;=T123,ROUND(S122+R123-ROUND(Q$6+IF(Q$5=$C123,$E$5+$E123,0),2),2)*10&lt;=ROUND(Q$6+IF(Q$5=$C123,$E$5+$E123,0),2)),ROUND(S122+R123,2),MIN(ROUND(Q$6+IF(Q$5=$C123,$E$5+$E123,0),2),ROUND(S122+R123,2))),0)</f>
        <v>0</v>
      </c>
      <c r="R123" s="24">
        <f>IF(S122&gt;0,ROUND(ROUND(S122*100,0)*ROUND(Q$7*10000,0)/12000000,0)/100,0)</f>
        <v>0</v>
      </c>
      <c r="S123" s="24">
        <f>IF(S122&gt;0,ROUND(S122+R123-Q123,2),0)</f>
        <v>0</v>
      </c>
      <c r="T123" s="24">
        <f>IF(S122&gt;0,ROUND(T122+ROUND(ROUND(T122*100,0)*ROUND(Q$7*10000,0)/12000000,0)/100+0.02,2),0)</f>
        <v>0</v>
      </c>
      <c r="U123" s="24">
        <f>IF(W122&gt;0,IF(AND(ROUND(W122+V123-ROUND(U$6+IF(U$5=$C123,$E$5+$E123,0),2),2)&gt;0,ROUND(W122+V123-ROUND(U$6+IF(U$5=$C123,$E$5+$E123,0),2),2)&lt;=X123,ROUND(W122+V123-ROUND(U$6+IF(U$5=$C123,$E$5+$E123,0),2),2)*10&lt;=ROUND(U$6+IF(U$5=$C123,$E$5+$E123,0),2)),ROUND(W122+V123,2),MIN(ROUND(U$6+IF(U$5=$C123,$E$5+$E123,0),2),ROUND(W122+V123,2))),0)</f>
        <v>0</v>
      </c>
      <c r="V123" s="24">
        <f>IF(W122&gt;0,ROUND(ROUND(W122*100,0)*ROUND(U$7*10000,0)/12000000,0)/100,0)</f>
        <v>0</v>
      </c>
      <c r="W123" s="24">
        <f>IF(W122&gt;0,ROUND(W122+V123-U123,2),0)</f>
        <v>0</v>
      </c>
      <c r="X123" s="24">
        <f>IF(W122&gt;0,ROUND(X122+ROUND(ROUND(X122*100,0)*ROUND(U$7*10000,0)/12000000,0)/100+0.02,2),0)</f>
        <v>0</v>
      </c>
      <c r="Y123" s="24">
        <f>IF(AA122&gt;0,IF(AND(ROUND(AA122+Z123-ROUND(Y$6+IF(Y$5=$C123,$E$5+$E123,0),2),2)&gt;0,ROUND(AA122+Z123-ROUND(Y$6+IF(Y$5=$C123,$E$5+$E123,0),2),2)&lt;=AB123,ROUND(AA122+Z123-ROUND(Y$6+IF(Y$5=$C123,$E$5+$E123,0),2),2)*10&lt;=ROUND(Y$6+IF(Y$5=$C123,$E$5+$E123,0),2)),ROUND(AA122+Z123,2),MIN(ROUND(Y$6+IF(Y$5=$C123,$E$5+$E123,0),2),ROUND(AA122+Z123,2))),0)</f>
        <v>0</v>
      </c>
      <c r="Z123" s="24">
        <f>IF(AA122&gt;0,ROUND(ROUND(AA122*100,0)*ROUND(Y$7*10000,0)/12000000,0)/100,0)</f>
        <v>0</v>
      </c>
      <c r="AA123" s="24">
        <f>IF(AA122&gt;0,ROUND(AA122+Z123-Y123,2),0)</f>
        <v>0</v>
      </c>
      <c r="AB123" s="24">
        <f>IF(AA122&gt;0,ROUND(AB122+ROUND(ROUND(AB122*100,0)*ROUND(Y$7*10000,0)/12000000,0)/100+0.02,2),0)</f>
        <v>0</v>
      </c>
      <c r="AC123" s="24">
        <f>IF(AE122&gt;0,IF(AND(ROUND(AE122+AD123-ROUND(AC$6+IF(AC$5=$C123,$E$5+$E123,0),2),2)&gt;0,ROUND(AE122+AD123-ROUND(AC$6+IF(AC$5=$C123,$E$5+$E123,0),2),2)&lt;=AF123,ROUND(AE122+AD123-ROUND(AC$6+IF(AC$5=$C123,$E$5+$E123,0),2),2)*10&lt;=ROUND(AC$6+IF(AC$5=$C123,$E$5+$E123,0),2)),ROUND(AE122+AD123,2),MIN(ROUND(AC$6+IF(AC$5=$C123,$E$5+$E123,0),2),ROUND(AE122+AD123,2))),0)</f>
        <v>0</v>
      </c>
      <c r="AD123" s="24">
        <f>IF(AE122&gt;0,ROUND(ROUND(AE122*100,0)*ROUND(AC$7*10000,0)/12000000,0)/100,0)</f>
        <v>0</v>
      </c>
      <c r="AE123" s="24">
        <f>IF(AE122&gt;0,ROUND(AE122+AD123-AC123,2),0)</f>
        <v>0</v>
      </c>
      <c r="AF123" s="24">
        <f>IF(AE122&gt;0,ROUND(AF122+ROUND(ROUND(AF122*100,0)*ROUND(AC$7*10000,0)/12000000,0)/100+0.02,2),0)</f>
        <v>0</v>
      </c>
      <c r="AG123" s="24">
        <f>IF(AI122&gt;0,IF(AND(ROUND(AI122+AH123-ROUND(AG$6+IF(AG$5=$C123,$E$5+$E123,0),2),2)&gt;0,ROUND(AI122+AH123-ROUND(AG$6+IF(AG$5=$C123,$E$5+$E123,0),2),2)&lt;=AJ123,ROUND(AI122+AH123-ROUND(AG$6+IF(AG$5=$C123,$E$5+$E123,0),2),2)*10&lt;=ROUND(AG$6+IF(AG$5=$C123,$E$5+$E123,0),2)),ROUND(AI122+AH123,2),MIN(ROUND(AG$6+IF(AG$5=$C123,$E$5+$E123,0),2),ROUND(AI122+AH123,2))),0)</f>
        <v>0</v>
      </c>
      <c r="AH123" s="24">
        <f>IF(AI122&gt;0,ROUND(ROUND(AI122*100,0)*ROUND(AG$7*10000,0)/12000000,0)/100,0)</f>
        <v>0</v>
      </c>
      <c r="AI123" s="24">
        <f>IF(AI122&gt;0,ROUND(AI122+AH123-AG123,2),0)</f>
        <v>0</v>
      </c>
      <c r="AJ123" s="24">
        <f>IF(AI122&gt;0,ROUND(AJ122+ROUND(ROUND(AJ122*100,0)*ROUND(AG$7*10000,0)/12000000,0)/100+0.02,2),0)</f>
        <v>0</v>
      </c>
      <c r="AK123" s="24">
        <f>IF(AM122&gt;0,IF(AND(ROUND(AM122+AL123-ROUND(AK$6+IF(AK$5=$C123,$E$5+$E123,0),2),2)&gt;0,ROUND(AM122+AL123-ROUND(AK$6+IF(AK$5=$C123,$E$5+$E123,0),2),2)&lt;=AN123,ROUND(AM122+AL123-ROUND(AK$6+IF(AK$5=$C123,$E$5+$E123,0),2),2)*10&lt;=ROUND(AK$6+IF(AK$5=$C123,$E$5+$E123,0),2)),ROUND(AM122+AL123,2),MIN(ROUND(AK$6+IF(AK$5=$C123,$E$5+$E123,0),2),ROUND(AM122+AL123,2))),0)</f>
        <v>0</v>
      </c>
      <c r="AL123" s="24">
        <f>IF(AM122&gt;0,ROUND(ROUND(AM122*100,0)*ROUND(AK$7*10000,0)/12000000,0)/100,0)</f>
        <v>0</v>
      </c>
      <c r="AM123" s="24">
        <f>IF(AM122&gt;0,ROUND(AM122+AL123-AK123,2),0)</f>
        <v>0</v>
      </c>
      <c r="AN123" s="24">
        <f>IF(AM122&gt;0,ROUND(AN122+ROUND(ROUND(AN122*100,0)*ROUND(AK$7*10000,0)/12000000,0)/100+0.02,2),0)</f>
        <v>0</v>
      </c>
      <c r="AO123" s="24">
        <f>IF(AQ122&gt;0,IF(AND(ROUND(AQ122+AP123-ROUND(AO$6+IF(AO$5=$C123,$E$5+$E123,0),2),2)&gt;0,ROUND(AQ122+AP123-ROUND(AO$6+IF(AO$5=$C123,$E$5+$E123,0),2),2)&lt;=AR123,ROUND(AQ122+AP123-ROUND(AO$6+IF(AO$5=$C123,$E$5+$E123,0),2),2)*10&lt;=ROUND(AO$6+IF(AO$5=$C123,$E$5+$E123,0),2)),ROUND(AQ122+AP123,2),MIN(ROUND(AO$6+IF(AO$5=$C123,$E$5+$E123,0),2),ROUND(AQ122+AP123,2))),0)</f>
        <v>0</v>
      </c>
      <c r="AP123" s="24">
        <f>IF(AQ122&gt;0,ROUND(ROUND(AQ122*100,0)*ROUND(AO$7*10000,0)/12000000,0)/100,0)</f>
        <v>0</v>
      </c>
      <c r="AQ123" s="24">
        <f>IF(AQ122&gt;0,ROUND(AQ122+AP123-AO123,2),0)</f>
        <v>0</v>
      </c>
      <c r="AR123" s="24">
        <f>IF(AQ122&gt;0,ROUND(AR122+ROUND(ROUND(AR122*100,0)*ROUND(AO$7*10000,0)/12000000,0)/100+0.02,2),0)</f>
        <v>0</v>
      </c>
      <c r="AS123" s="24">
        <f>IF(AU122&gt;0,IF(AND(ROUND(AU122+AT123-ROUND(AS$6+IF(AS$5=$C123,$E$5+$E123,0),2),2)&gt;0,ROUND(AU122+AT123-ROUND(AS$6+IF(AS$5=$C123,$E$5+$E123,0),2),2)&lt;=AV123,ROUND(AU122+AT123-ROUND(AS$6+IF(AS$5=$C123,$E$5+$E123,0),2),2)*10&lt;=ROUND(AS$6+IF(AS$5=$C123,$E$5+$E123,0),2)),ROUND(AU122+AT123,2),MIN(ROUND(AS$6+IF(AS$5=$C123,$E$5+$E123,0),2),ROUND(AU122+AT123,2))),0)</f>
        <v>0</v>
      </c>
      <c r="AT123" s="24">
        <f>IF(AU122&gt;0,ROUND(ROUND(AU122*100,0)*ROUND(AS$7*10000,0)/12000000,0)/100,0)</f>
        <v>0</v>
      </c>
      <c r="AU123" s="24">
        <f>IF(AU122&gt;0,ROUND(AU122+AT123-AS123,2),0)</f>
        <v>0</v>
      </c>
      <c r="AV123" s="24">
        <f>IF(AU122&gt;0,ROUND(AV122+ROUND(ROUND(AV122*100,0)*ROUND(AS$7*10000,0)/12000000,0)/100+0.02,2),0)</f>
        <v>0</v>
      </c>
    </row>
    <row r="124" spans="1:48" x14ac:dyDescent="0.25">
      <c r="A124" s="17" t="str">
        <f>IF(F124&gt;0,114,"")</f>
        <v/>
      </c>
      <c r="B124" s="18" t="str">
        <f>IF(F124&gt;0,EDATE($E$6,114),"")</f>
        <v/>
      </c>
      <c r="C124" s="21">
        <f>IF(H123&gt;0,MIN(IF(K123&gt;0,I$5,99),IF(O123&gt;0,M$5,99),IF(S123&gt;0,Q$5,99),IF(W123&gt;0,U$5,99),IF(AA123&gt;0,Y$5,99),IF(AE123&gt;0,AC$5,99),IF(AI123&gt;0,AG$5,99),IF(AM123&gt;0,AK$5,99),IF(AQ123&gt;0,AO$5,99),IF(AU123&gt;0,AS$5,99)),0)</f>
        <v>0</v>
      </c>
      <c r="D124" t="str">
        <f>IF(C124&gt;0,INDEX($I$4:$AV$4,1,MATCH(C124,$I$5:$AV$5,0)),"")</f>
        <v/>
      </c>
      <c r="E124" s="24">
        <f>ROUND(IF(AND(I$8&gt;0,K123=0),I$6,0)+IF(AND(M$8&gt;0,O123=0),M$6,0)+IF(AND(Q$8&gt;0,S123=0),Q$6,0)+IF(AND(U$8&gt;0,W123=0),U$6,0)+IF(AND(Y$8&gt;0,AA123=0),Y$6,0)+IF(AND(AC$8&gt;0,AE123=0),AC$6,0)+IF(AND(AG$8&gt;0,AI123=0),AG$6,0)+IF(AND(AK$8&gt;0,AM123=0),AK$6,0)+IF(AND(AO$8&gt;0,AQ123=0),AO$6,0)+IF(AND(AS$8&gt;0,AU123=0),AS$6,0),2)</f>
        <v>325</v>
      </c>
      <c r="F124" s="24">
        <f>ROUND(I124+M124+Q124+U124+Y124+AC124+AG124+AK124+AO124+AS124,2)</f>
        <v>0</v>
      </c>
      <c r="G124" s="24">
        <f>ROUND(J124+N124+R124+V124+Z124+AD124+AH124+AL124+AP124+AT124,2)</f>
        <v>0</v>
      </c>
      <c r="H124" s="24">
        <f>ROUND(K124+O124+S124+W124+AA124+AE124+AI124+AM124+AQ124+AU124,2)</f>
        <v>0</v>
      </c>
      <c r="I124" s="24">
        <f>IF(K123&gt;0,IF(AND(ROUND(K123+J124-ROUND(I$6+IF(I$5=$C124,$E$5+$E124,0),2),2)&gt;0,ROUND(K123+J124-ROUND(I$6+IF(I$5=$C124,$E$5+$E124,0),2),2)&lt;=L124,ROUND(K123+J124-ROUND(I$6+IF(I$5=$C124,$E$5+$E124,0),2),2)*10&lt;=ROUND(I$6+IF(I$5=$C124,$E$5+$E124,0),2)),ROUND(K123+J124,2),MIN(ROUND(I$6+IF(I$5=$C124,$E$5+$E124,0),2),ROUND(K123+J124,2))),0)</f>
        <v>0</v>
      </c>
      <c r="J124" s="24">
        <f>IF(K123&gt;0,ROUND(ROUND(K123*100,0)*ROUND(I$7*10000,0)/12000000,0)/100,0)</f>
        <v>0</v>
      </c>
      <c r="K124" s="24">
        <f>IF(K123&gt;0,ROUND(K123+J124-I124,2),0)</f>
        <v>0</v>
      </c>
      <c r="L124" s="24">
        <f>IF(K123&gt;0,ROUND(L123+ROUND(ROUND(L123*100,0)*ROUND(I$7*10000,0)/12000000,0)/100+0.02,2),0)</f>
        <v>0</v>
      </c>
      <c r="M124" s="24">
        <f>IF(O123&gt;0,IF(AND(ROUND(O123+N124-ROUND(M$6+IF(M$5=$C124,$E$5+$E124,0),2),2)&gt;0,ROUND(O123+N124-ROUND(M$6+IF(M$5=$C124,$E$5+$E124,0),2),2)&lt;=P124,ROUND(O123+N124-ROUND(M$6+IF(M$5=$C124,$E$5+$E124,0),2),2)*10&lt;=ROUND(M$6+IF(M$5=$C124,$E$5+$E124,0),2)),ROUND(O123+N124,2),MIN(ROUND(M$6+IF(M$5=$C124,$E$5+$E124,0),2),ROUND(O123+N124,2))),0)</f>
        <v>0</v>
      </c>
      <c r="N124" s="24">
        <f>IF(O123&gt;0,ROUND(ROUND(O123*100,0)*ROUND(M$7*10000,0)/12000000,0)/100,0)</f>
        <v>0</v>
      </c>
      <c r="O124" s="24">
        <f>IF(O123&gt;0,ROUND(O123+N124-M124,2),0)</f>
        <v>0</v>
      </c>
      <c r="P124" s="24">
        <f>IF(O123&gt;0,ROUND(P123+ROUND(ROUND(P123*100,0)*ROUND(M$7*10000,0)/12000000,0)/100+0.02,2),0)</f>
        <v>0</v>
      </c>
      <c r="Q124" s="24">
        <f>IF(S123&gt;0,IF(AND(ROUND(S123+R124-ROUND(Q$6+IF(Q$5=$C124,$E$5+$E124,0),2),2)&gt;0,ROUND(S123+R124-ROUND(Q$6+IF(Q$5=$C124,$E$5+$E124,0),2),2)&lt;=T124,ROUND(S123+R124-ROUND(Q$6+IF(Q$5=$C124,$E$5+$E124,0),2),2)*10&lt;=ROUND(Q$6+IF(Q$5=$C124,$E$5+$E124,0),2)),ROUND(S123+R124,2),MIN(ROUND(Q$6+IF(Q$5=$C124,$E$5+$E124,0),2),ROUND(S123+R124,2))),0)</f>
        <v>0</v>
      </c>
      <c r="R124" s="24">
        <f>IF(S123&gt;0,ROUND(ROUND(S123*100,0)*ROUND(Q$7*10000,0)/12000000,0)/100,0)</f>
        <v>0</v>
      </c>
      <c r="S124" s="24">
        <f>IF(S123&gt;0,ROUND(S123+R124-Q124,2),0)</f>
        <v>0</v>
      </c>
      <c r="T124" s="24">
        <f>IF(S123&gt;0,ROUND(T123+ROUND(ROUND(T123*100,0)*ROUND(Q$7*10000,0)/12000000,0)/100+0.02,2),0)</f>
        <v>0</v>
      </c>
      <c r="U124" s="24">
        <f>IF(W123&gt;0,IF(AND(ROUND(W123+V124-ROUND(U$6+IF(U$5=$C124,$E$5+$E124,0),2),2)&gt;0,ROUND(W123+V124-ROUND(U$6+IF(U$5=$C124,$E$5+$E124,0),2),2)&lt;=X124,ROUND(W123+V124-ROUND(U$6+IF(U$5=$C124,$E$5+$E124,0),2),2)*10&lt;=ROUND(U$6+IF(U$5=$C124,$E$5+$E124,0),2)),ROUND(W123+V124,2),MIN(ROUND(U$6+IF(U$5=$C124,$E$5+$E124,0),2),ROUND(W123+V124,2))),0)</f>
        <v>0</v>
      </c>
      <c r="V124" s="24">
        <f>IF(W123&gt;0,ROUND(ROUND(W123*100,0)*ROUND(U$7*10000,0)/12000000,0)/100,0)</f>
        <v>0</v>
      </c>
      <c r="W124" s="24">
        <f>IF(W123&gt;0,ROUND(W123+V124-U124,2),0)</f>
        <v>0</v>
      </c>
      <c r="X124" s="24">
        <f>IF(W123&gt;0,ROUND(X123+ROUND(ROUND(X123*100,0)*ROUND(U$7*10000,0)/12000000,0)/100+0.02,2),0)</f>
        <v>0</v>
      </c>
      <c r="Y124" s="24">
        <f>IF(AA123&gt;0,IF(AND(ROUND(AA123+Z124-ROUND(Y$6+IF(Y$5=$C124,$E$5+$E124,0),2),2)&gt;0,ROUND(AA123+Z124-ROUND(Y$6+IF(Y$5=$C124,$E$5+$E124,0),2),2)&lt;=AB124,ROUND(AA123+Z124-ROUND(Y$6+IF(Y$5=$C124,$E$5+$E124,0),2),2)*10&lt;=ROUND(Y$6+IF(Y$5=$C124,$E$5+$E124,0),2)),ROUND(AA123+Z124,2),MIN(ROUND(Y$6+IF(Y$5=$C124,$E$5+$E124,0),2),ROUND(AA123+Z124,2))),0)</f>
        <v>0</v>
      </c>
      <c r="Z124" s="24">
        <f>IF(AA123&gt;0,ROUND(ROUND(AA123*100,0)*ROUND(Y$7*10000,0)/12000000,0)/100,0)</f>
        <v>0</v>
      </c>
      <c r="AA124" s="24">
        <f>IF(AA123&gt;0,ROUND(AA123+Z124-Y124,2),0)</f>
        <v>0</v>
      </c>
      <c r="AB124" s="24">
        <f>IF(AA123&gt;0,ROUND(AB123+ROUND(ROUND(AB123*100,0)*ROUND(Y$7*10000,0)/12000000,0)/100+0.02,2),0)</f>
        <v>0</v>
      </c>
      <c r="AC124" s="24">
        <f>IF(AE123&gt;0,IF(AND(ROUND(AE123+AD124-ROUND(AC$6+IF(AC$5=$C124,$E$5+$E124,0),2),2)&gt;0,ROUND(AE123+AD124-ROUND(AC$6+IF(AC$5=$C124,$E$5+$E124,0),2),2)&lt;=AF124,ROUND(AE123+AD124-ROUND(AC$6+IF(AC$5=$C124,$E$5+$E124,0),2),2)*10&lt;=ROUND(AC$6+IF(AC$5=$C124,$E$5+$E124,0),2)),ROUND(AE123+AD124,2),MIN(ROUND(AC$6+IF(AC$5=$C124,$E$5+$E124,0),2),ROUND(AE123+AD124,2))),0)</f>
        <v>0</v>
      </c>
      <c r="AD124" s="24">
        <f>IF(AE123&gt;0,ROUND(ROUND(AE123*100,0)*ROUND(AC$7*10000,0)/12000000,0)/100,0)</f>
        <v>0</v>
      </c>
      <c r="AE124" s="24">
        <f>IF(AE123&gt;0,ROUND(AE123+AD124-AC124,2),0)</f>
        <v>0</v>
      </c>
      <c r="AF124" s="24">
        <f>IF(AE123&gt;0,ROUND(AF123+ROUND(ROUND(AF123*100,0)*ROUND(AC$7*10000,0)/12000000,0)/100+0.02,2),0)</f>
        <v>0</v>
      </c>
      <c r="AG124" s="24">
        <f>IF(AI123&gt;0,IF(AND(ROUND(AI123+AH124-ROUND(AG$6+IF(AG$5=$C124,$E$5+$E124,0),2),2)&gt;0,ROUND(AI123+AH124-ROUND(AG$6+IF(AG$5=$C124,$E$5+$E124,0),2),2)&lt;=AJ124,ROUND(AI123+AH124-ROUND(AG$6+IF(AG$5=$C124,$E$5+$E124,0),2),2)*10&lt;=ROUND(AG$6+IF(AG$5=$C124,$E$5+$E124,0),2)),ROUND(AI123+AH124,2),MIN(ROUND(AG$6+IF(AG$5=$C124,$E$5+$E124,0),2),ROUND(AI123+AH124,2))),0)</f>
        <v>0</v>
      </c>
      <c r="AH124" s="24">
        <f>IF(AI123&gt;0,ROUND(ROUND(AI123*100,0)*ROUND(AG$7*10000,0)/12000000,0)/100,0)</f>
        <v>0</v>
      </c>
      <c r="AI124" s="24">
        <f>IF(AI123&gt;0,ROUND(AI123+AH124-AG124,2),0)</f>
        <v>0</v>
      </c>
      <c r="AJ124" s="24">
        <f>IF(AI123&gt;0,ROUND(AJ123+ROUND(ROUND(AJ123*100,0)*ROUND(AG$7*10000,0)/12000000,0)/100+0.02,2),0)</f>
        <v>0</v>
      </c>
      <c r="AK124" s="24">
        <f>IF(AM123&gt;0,IF(AND(ROUND(AM123+AL124-ROUND(AK$6+IF(AK$5=$C124,$E$5+$E124,0),2),2)&gt;0,ROUND(AM123+AL124-ROUND(AK$6+IF(AK$5=$C124,$E$5+$E124,0),2),2)&lt;=AN124,ROUND(AM123+AL124-ROUND(AK$6+IF(AK$5=$C124,$E$5+$E124,0),2),2)*10&lt;=ROUND(AK$6+IF(AK$5=$C124,$E$5+$E124,0),2)),ROUND(AM123+AL124,2),MIN(ROUND(AK$6+IF(AK$5=$C124,$E$5+$E124,0),2),ROUND(AM123+AL124,2))),0)</f>
        <v>0</v>
      </c>
      <c r="AL124" s="24">
        <f>IF(AM123&gt;0,ROUND(ROUND(AM123*100,0)*ROUND(AK$7*10000,0)/12000000,0)/100,0)</f>
        <v>0</v>
      </c>
      <c r="AM124" s="24">
        <f>IF(AM123&gt;0,ROUND(AM123+AL124-AK124,2),0)</f>
        <v>0</v>
      </c>
      <c r="AN124" s="24">
        <f>IF(AM123&gt;0,ROUND(AN123+ROUND(ROUND(AN123*100,0)*ROUND(AK$7*10000,0)/12000000,0)/100+0.02,2),0)</f>
        <v>0</v>
      </c>
      <c r="AO124" s="24">
        <f>IF(AQ123&gt;0,IF(AND(ROUND(AQ123+AP124-ROUND(AO$6+IF(AO$5=$C124,$E$5+$E124,0),2),2)&gt;0,ROUND(AQ123+AP124-ROUND(AO$6+IF(AO$5=$C124,$E$5+$E124,0),2),2)&lt;=AR124,ROUND(AQ123+AP124-ROUND(AO$6+IF(AO$5=$C124,$E$5+$E124,0),2),2)*10&lt;=ROUND(AO$6+IF(AO$5=$C124,$E$5+$E124,0),2)),ROUND(AQ123+AP124,2),MIN(ROUND(AO$6+IF(AO$5=$C124,$E$5+$E124,0),2),ROUND(AQ123+AP124,2))),0)</f>
        <v>0</v>
      </c>
      <c r="AP124" s="24">
        <f>IF(AQ123&gt;0,ROUND(ROUND(AQ123*100,0)*ROUND(AO$7*10000,0)/12000000,0)/100,0)</f>
        <v>0</v>
      </c>
      <c r="AQ124" s="24">
        <f>IF(AQ123&gt;0,ROUND(AQ123+AP124-AO124,2),0)</f>
        <v>0</v>
      </c>
      <c r="AR124" s="24">
        <f>IF(AQ123&gt;0,ROUND(AR123+ROUND(ROUND(AR123*100,0)*ROUND(AO$7*10000,0)/12000000,0)/100+0.02,2),0)</f>
        <v>0</v>
      </c>
      <c r="AS124" s="24">
        <f>IF(AU123&gt;0,IF(AND(ROUND(AU123+AT124-ROUND(AS$6+IF(AS$5=$C124,$E$5+$E124,0),2),2)&gt;0,ROUND(AU123+AT124-ROUND(AS$6+IF(AS$5=$C124,$E$5+$E124,0),2),2)&lt;=AV124,ROUND(AU123+AT124-ROUND(AS$6+IF(AS$5=$C124,$E$5+$E124,0),2),2)*10&lt;=ROUND(AS$6+IF(AS$5=$C124,$E$5+$E124,0),2)),ROUND(AU123+AT124,2),MIN(ROUND(AS$6+IF(AS$5=$C124,$E$5+$E124,0),2),ROUND(AU123+AT124,2))),0)</f>
        <v>0</v>
      </c>
      <c r="AT124" s="24">
        <f>IF(AU123&gt;0,ROUND(ROUND(AU123*100,0)*ROUND(AS$7*10000,0)/12000000,0)/100,0)</f>
        <v>0</v>
      </c>
      <c r="AU124" s="24">
        <f>IF(AU123&gt;0,ROUND(AU123+AT124-AS124,2),0)</f>
        <v>0</v>
      </c>
      <c r="AV124" s="24">
        <f>IF(AU123&gt;0,ROUND(AV123+ROUND(ROUND(AV123*100,0)*ROUND(AS$7*10000,0)/12000000,0)/100+0.02,2),0)</f>
        <v>0</v>
      </c>
    </row>
    <row r="125" spans="1:48" x14ac:dyDescent="0.25">
      <c r="A125" s="17" t="str">
        <f>IF(F125&gt;0,115,"")</f>
        <v/>
      </c>
      <c r="B125" s="18" t="str">
        <f>IF(F125&gt;0,EDATE($E$6,115),"")</f>
        <v/>
      </c>
      <c r="C125" s="21">
        <f>IF(H124&gt;0,MIN(IF(K124&gt;0,I$5,99),IF(O124&gt;0,M$5,99),IF(S124&gt;0,Q$5,99),IF(W124&gt;0,U$5,99),IF(AA124&gt;0,Y$5,99),IF(AE124&gt;0,AC$5,99),IF(AI124&gt;0,AG$5,99),IF(AM124&gt;0,AK$5,99),IF(AQ124&gt;0,AO$5,99),IF(AU124&gt;0,AS$5,99)),0)</f>
        <v>0</v>
      </c>
      <c r="D125" t="str">
        <f>IF(C125&gt;0,INDEX($I$4:$AV$4,1,MATCH(C125,$I$5:$AV$5,0)),"")</f>
        <v/>
      </c>
      <c r="E125" s="24">
        <f>ROUND(IF(AND(I$8&gt;0,K124=0),I$6,0)+IF(AND(M$8&gt;0,O124=0),M$6,0)+IF(AND(Q$8&gt;0,S124=0),Q$6,0)+IF(AND(U$8&gt;0,W124=0),U$6,0)+IF(AND(Y$8&gt;0,AA124=0),Y$6,0)+IF(AND(AC$8&gt;0,AE124=0),AC$6,0)+IF(AND(AG$8&gt;0,AI124=0),AG$6,0)+IF(AND(AK$8&gt;0,AM124=0),AK$6,0)+IF(AND(AO$8&gt;0,AQ124=0),AO$6,0)+IF(AND(AS$8&gt;0,AU124=0),AS$6,0),2)</f>
        <v>325</v>
      </c>
      <c r="F125" s="24">
        <f>ROUND(I125+M125+Q125+U125+Y125+AC125+AG125+AK125+AO125+AS125,2)</f>
        <v>0</v>
      </c>
      <c r="G125" s="24">
        <f>ROUND(J125+N125+R125+V125+Z125+AD125+AH125+AL125+AP125+AT125,2)</f>
        <v>0</v>
      </c>
      <c r="H125" s="24">
        <f>ROUND(K125+O125+S125+W125+AA125+AE125+AI125+AM125+AQ125+AU125,2)</f>
        <v>0</v>
      </c>
      <c r="I125" s="24">
        <f>IF(K124&gt;0,IF(AND(ROUND(K124+J125-ROUND(I$6+IF(I$5=$C125,$E$5+$E125,0),2),2)&gt;0,ROUND(K124+J125-ROUND(I$6+IF(I$5=$C125,$E$5+$E125,0),2),2)&lt;=L125,ROUND(K124+J125-ROUND(I$6+IF(I$5=$C125,$E$5+$E125,0),2),2)*10&lt;=ROUND(I$6+IF(I$5=$C125,$E$5+$E125,0),2)),ROUND(K124+J125,2),MIN(ROUND(I$6+IF(I$5=$C125,$E$5+$E125,0),2),ROUND(K124+J125,2))),0)</f>
        <v>0</v>
      </c>
      <c r="J125" s="24">
        <f>IF(K124&gt;0,ROUND(ROUND(K124*100,0)*ROUND(I$7*10000,0)/12000000,0)/100,0)</f>
        <v>0</v>
      </c>
      <c r="K125" s="24">
        <f>IF(K124&gt;0,ROUND(K124+J125-I125,2),0)</f>
        <v>0</v>
      </c>
      <c r="L125" s="24">
        <f>IF(K124&gt;0,ROUND(L124+ROUND(ROUND(L124*100,0)*ROUND(I$7*10000,0)/12000000,0)/100+0.02,2),0)</f>
        <v>0</v>
      </c>
      <c r="M125" s="24">
        <f>IF(O124&gt;0,IF(AND(ROUND(O124+N125-ROUND(M$6+IF(M$5=$C125,$E$5+$E125,0),2),2)&gt;0,ROUND(O124+N125-ROUND(M$6+IF(M$5=$C125,$E$5+$E125,0),2),2)&lt;=P125,ROUND(O124+N125-ROUND(M$6+IF(M$5=$C125,$E$5+$E125,0),2),2)*10&lt;=ROUND(M$6+IF(M$5=$C125,$E$5+$E125,0),2)),ROUND(O124+N125,2),MIN(ROUND(M$6+IF(M$5=$C125,$E$5+$E125,0),2),ROUND(O124+N125,2))),0)</f>
        <v>0</v>
      </c>
      <c r="N125" s="24">
        <f>IF(O124&gt;0,ROUND(ROUND(O124*100,0)*ROUND(M$7*10000,0)/12000000,0)/100,0)</f>
        <v>0</v>
      </c>
      <c r="O125" s="24">
        <f>IF(O124&gt;0,ROUND(O124+N125-M125,2),0)</f>
        <v>0</v>
      </c>
      <c r="P125" s="24">
        <f>IF(O124&gt;0,ROUND(P124+ROUND(ROUND(P124*100,0)*ROUND(M$7*10000,0)/12000000,0)/100+0.02,2),0)</f>
        <v>0</v>
      </c>
      <c r="Q125" s="24">
        <f>IF(S124&gt;0,IF(AND(ROUND(S124+R125-ROUND(Q$6+IF(Q$5=$C125,$E$5+$E125,0),2),2)&gt;0,ROUND(S124+R125-ROUND(Q$6+IF(Q$5=$C125,$E$5+$E125,0),2),2)&lt;=T125,ROUND(S124+R125-ROUND(Q$6+IF(Q$5=$C125,$E$5+$E125,0),2),2)*10&lt;=ROUND(Q$6+IF(Q$5=$C125,$E$5+$E125,0),2)),ROUND(S124+R125,2),MIN(ROUND(Q$6+IF(Q$5=$C125,$E$5+$E125,0),2),ROUND(S124+R125,2))),0)</f>
        <v>0</v>
      </c>
      <c r="R125" s="24">
        <f>IF(S124&gt;0,ROUND(ROUND(S124*100,0)*ROUND(Q$7*10000,0)/12000000,0)/100,0)</f>
        <v>0</v>
      </c>
      <c r="S125" s="24">
        <f>IF(S124&gt;0,ROUND(S124+R125-Q125,2),0)</f>
        <v>0</v>
      </c>
      <c r="T125" s="24">
        <f>IF(S124&gt;0,ROUND(T124+ROUND(ROUND(T124*100,0)*ROUND(Q$7*10000,0)/12000000,0)/100+0.02,2),0)</f>
        <v>0</v>
      </c>
      <c r="U125" s="24">
        <f>IF(W124&gt;0,IF(AND(ROUND(W124+V125-ROUND(U$6+IF(U$5=$C125,$E$5+$E125,0),2),2)&gt;0,ROUND(W124+V125-ROUND(U$6+IF(U$5=$C125,$E$5+$E125,0),2),2)&lt;=X125,ROUND(W124+V125-ROUND(U$6+IF(U$5=$C125,$E$5+$E125,0),2),2)*10&lt;=ROUND(U$6+IF(U$5=$C125,$E$5+$E125,0),2)),ROUND(W124+V125,2),MIN(ROUND(U$6+IF(U$5=$C125,$E$5+$E125,0),2),ROUND(W124+V125,2))),0)</f>
        <v>0</v>
      </c>
      <c r="V125" s="24">
        <f>IF(W124&gt;0,ROUND(ROUND(W124*100,0)*ROUND(U$7*10000,0)/12000000,0)/100,0)</f>
        <v>0</v>
      </c>
      <c r="W125" s="24">
        <f>IF(W124&gt;0,ROUND(W124+V125-U125,2),0)</f>
        <v>0</v>
      </c>
      <c r="X125" s="24">
        <f>IF(W124&gt;0,ROUND(X124+ROUND(ROUND(X124*100,0)*ROUND(U$7*10000,0)/12000000,0)/100+0.02,2),0)</f>
        <v>0</v>
      </c>
      <c r="Y125" s="24">
        <f>IF(AA124&gt;0,IF(AND(ROUND(AA124+Z125-ROUND(Y$6+IF(Y$5=$C125,$E$5+$E125,0),2),2)&gt;0,ROUND(AA124+Z125-ROUND(Y$6+IF(Y$5=$C125,$E$5+$E125,0),2),2)&lt;=AB125,ROUND(AA124+Z125-ROUND(Y$6+IF(Y$5=$C125,$E$5+$E125,0),2),2)*10&lt;=ROUND(Y$6+IF(Y$5=$C125,$E$5+$E125,0),2)),ROUND(AA124+Z125,2),MIN(ROUND(Y$6+IF(Y$5=$C125,$E$5+$E125,0),2),ROUND(AA124+Z125,2))),0)</f>
        <v>0</v>
      </c>
      <c r="Z125" s="24">
        <f>IF(AA124&gt;0,ROUND(ROUND(AA124*100,0)*ROUND(Y$7*10000,0)/12000000,0)/100,0)</f>
        <v>0</v>
      </c>
      <c r="AA125" s="24">
        <f>IF(AA124&gt;0,ROUND(AA124+Z125-Y125,2),0)</f>
        <v>0</v>
      </c>
      <c r="AB125" s="24">
        <f>IF(AA124&gt;0,ROUND(AB124+ROUND(ROUND(AB124*100,0)*ROUND(Y$7*10000,0)/12000000,0)/100+0.02,2),0)</f>
        <v>0</v>
      </c>
      <c r="AC125" s="24">
        <f>IF(AE124&gt;0,IF(AND(ROUND(AE124+AD125-ROUND(AC$6+IF(AC$5=$C125,$E$5+$E125,0),2),2)&gt;0,ROUND(AE124+AD125-ROUND(AC$6+IF(AC$5=$C125,$E$5+$E125,0),2),2)&lt;=AF125,ROUND(AE124+AD125-ROUND(AC$6+IF(AC$5=$C125,$E$5+$E125,0),2),2)*10&lt;=ROUND(AC$6+IF(AC$5=$C125,$E$5+$E125,0),2)),ROUND(AE124+AD125,2),MIN(ROUND(AC$6+IF(AC$5=$C125,$E$5+$E125,0),2),ROUND(AE124+AD125,2))),0)</f>
        <v>0</v>
      </c>
      <c r="AD125" s="24">
        <f>IF(AE124&gt;0,ROUND(ROUND(AE124*100,0)*ROUND(AC$7*10000,0)/12000000,0)/100,0)</f>
        <v>0</v>
      </c>
      <c r="AE125" s="24">
        <f>IF(AE124&gt;0,ROUND(AE124+AD125-AC125,2),0)</f>
        <v>0</v>
      </c>
      <c r="AF125" s="24">
        <f>IF(AE124&gt;0,ROUND(AF124+ROUND(ROUND(AF124*100,0)*ROUND(AC$7*10000,0)/12000000,0)/100+0.02,2),0)</f>
        <v>0</v>
      </c>
      <c r="AG125" s="24">
        <f>IF(AI124&gt;0,IF(AND(ROUND(AI124+AH125-ROUND(AG$6+IF(AG$5=$C125,$E$5+$E125,0),2),2)&gt;0,ROUND(AI124+AH125-ROUND(AG$6+IF(AG$5=$C125,$E$5+$E125,0),2),2)&lt;=AJ125,ROUND(AI124+AH125-ROUND(AG$6+IF(AG$5=$C125,$E$5+$E125,0),2),2)*10&lt;=ROUND(AG$6+IF(AG$5=$C125,$E$5+$E125,0),2)),ROUND(AI124+AH125,2),MIN(ROUND(AG$6+IF(AG$5=$C125,$E$5+$E125,0),2),ROUND(AI124+AH125,2))),0)</f>
        <v>0</v>
      </c>
      <c r="AH125" s="24">
        <f>IF(AI124&gt;0,ROUND(ROUND(AI124*100,0)*ROUND(AG$7*10000,0)/12000000,0)/100,0)</f>
        <v>0</v>
      </c>
      <c r="AI125" s="24">
        <f>IF(AI124&gt;0,ROUND(AI124+AH125-AG125,2),0)</f>
        <v>0</v>
      </c>
      <c r="AJ125" s="24">
        <f>IF(AI124&gt;0,ROUND(AJ124+ROUND(ROUND(AJ124*100,0)*ROUND(AG$7*10000,0)/12000000,0)/100+0.02,2),0)</f>
        <v>0</v>
      </c>
      <c r="AK125" s="24">
        <f>IF(AM124&gt;0,IF(AND(ROUND(AM124+AL125-ROUND(AK$6+IF(AK$5=$C125,$E$5+$E125,0),2),2)&gt;0,ROUND(AM124+AL125-ROUND(AK$6+IF(AK$5=$C125,$E$5+$E125,0),2),2)&lt;=AN125,ROUND(AM124+AL125-ROUND(AK$6+IF(AK$5=$C125,$E$5+$E125,0),2),2)*10&lt;=ROUND(AK$6+IF(AK$5=$C125,$E$5+$E125,0),2)),ROUND(AM124+AL125,2),MIN(ROUND(AK$6+IF(AK$5=$C125,$E$5+$E125,0),2),ROUND(AM124+AL125,2))),0)</f>
        <v>0</v>
      </c>
      <c r="AL125" s="24">
        <f>IF(AM124&gt;0,ROUND(ROUND(AM124*100,0)*ROUND(AK$7*10000,0)/12000000,0)/100,0)</f>
        <v>0</v>
      </c>
      <c r="AM125" s="24">
        <f>IF(AM124&gt;0,ROUND(AM124+AL125-AK125,2),0)</f>
        <v>0</v>
      </c>
      <c r="AN125" s="24">
        <f>IF(AM124&gt;0,ROUND(AN124+ROUND(ROUND(AN124*100,0)*ROUND(AK$7*10000,0)/12000000,0)/100+0.02,2),0)</f>
        <v>0</v>
      </c>
      <c r="AO125" s="24">
        <f>IF(AQ124&gt;0,IF(AND(ROUND(AQ124+AP125-ROUND(AO$6+IF(AO$5=$C125,$E$5+$E125,0),2),2)&gt;0,ROUND(AQ124+AP125-ROUND(AO$6+IF(AO$5=$C125,$E$5+$E125,0),2),2)&lt;=AR125,ROUND(AQ124+AP125-ROUND(AO$6+IF(AO$5=$C125,$E$5+$E125,0),2),2)*10&lt;=ROUND(AO$6+IF(AO$5=$C125,$E$5+$E125,0),2)),ROUND(AQ124+AP125,2),MIN(ROUND(AO$6+IF(AO$5=$C125,$E$5+$E125,0),2),ROUND(AQ124+AP125,2))),0)</f>
        <v>0</v>
      </c>
      <c r="AP125" s="24">
        <f>IF(AQ124&gt;0,ROUND(ROUND(AQ124*100,0)*ROUND(AO$7*10000,0)/12000000,0)/100,0)</f>
        <v>0</v>
      </c>
      <c r="AQ125" s="24">
        <f>IF(AQ124&gt;0,ROUND(AQ124+AP125-AO125,2),0)</f>
        <v>0</v>
      </c>
      <c r="AR125" s="24">
        <f>IF(AQ124&gt;0,ROUND(AR124+ROUND(ROUND(AR124*100,0)*ROUND(AO$7*10000,0)/12000000,0)/100+0.02,2),0)</f>
        <v>0</v>
      </c>
      <c r="AS125" s="24">
        <f>IF(AU124&gt;0,IF(AND(ROUND(AU124+AT125-ROUND(AS$6+IF(AS$5=$C125,$E$5+$E125,0),2),2)&gt;0,ROUND(AU124+AT125-ROUND(AS$6+IF(AS$5=$C125,$E$5+$E125,0),2),2)&lt;=AV125,ROUND(AU124+AT125-ROUND(AS$6+IF(AS$5=$C125,$E$5+$E125,0),2),2)*10&lt;=ROUND(AS$6+IF(AS$5=$C125,$E$5+$E125,0),2)),ROUND(AU124+AT125,2),MIN(ROUND(AS$6+IF(AS$5=$C125,$E$5+$E125,0),2),ROUND(AU124+AT125,2))),0)</f>
        <v>0</v>
      </c>
      <c r="AT125" s="24">
        <f>IF(AU124&gt;0,ROUND(ROUND(AU124*100,0)*ROUND(AS$7*10000,0)/12000000,0)/100,0)</f>
        <v>0</v>
      </c>
      <c r="AU125" s="24">
        <f>IF(AU124&gt;0,ROUND(AU124+AT125-AS125,2),0)</f>
        <v>0</v>
      </c>
      <c r="AV125" s="24">
        <f>IF(AU124&gt;0,ROUND(AV124+ROUND(ROUND(AV124*100,0)*ROUND(AS$7*10000,0)/12000000,0)/100+0.02,2),0)</f>
        <v>0</v>
      </c>
    </row>
    <row r="126" spans="1:48" x14ac:dyDescent="0.25">
      <c r="A126" s="17" t="str">
        <f>IF(F126&gt;0,116,"")</f>
        <v/>
      </c>
      <c r="B126" s="18" t="str">
        <f>IF(F126&gt;0,EDATE($E$6,116),"")</f>
        <v/>
      </c>
      <c r="C126" s="21">
        <f>IF(H125&gt;0,MIN(IF(K125&gt;0,I$5,99),IF(O125&gt;0,M$5,99),IF(S125&gt;0,Q$5,99),IF(W125&gt;0,U$5,99),IF(AA125&gt;0,Y$5,99),IF(AE125&gt;0,AC$5,99),IF(AI125&gt;0,AG$5,99),IF(AM125&gt;0,AK$5,99),IF(AQ125&gt;0,AO$5,99),IF(AU125&gt;0,AS$5,99)),0)</f>
        <v>0</v>
      </c>
      <c r="D126" t="str">
        <f>IF(C126&gt;0,INDEX($I$4:$AV$4,1,MATCH(C126,$I$5:$AV$5,0)),"")</f>
        <v/>
      </c>
      <c r="E126" s="24">
        <f>ROUND(IF(AND(I$8&gt;0,K125=0),I$6,0)+IF(AND(M$8&gt;0,O125=0),M$6,0)+IF(AND(Q$8&gt;0,S125=0),Q$6,0)+IF(AND(U$8&gt;0,W125=0),U$6,0)+IF(AND(Y$8&gt;0,AA125=0),Y$6,0)+IF(AND(AC$8&gt;0,AE125=0),AC$6,0)+IF(AND(AG$8&gt;0,AI125=0),AG$6,0)+IF(AND(AK$8&gt;0,AM125=0),AK$6,0)+IF(AND(AO$8&gt;0,AQ125=0),AO$6,0)+IF(AND(AS$8&gt;0,AU125=0),AS$6,0),2)</f>
        <v>325</v>
      </c>
      <c r="F126" s="24">
        <f>ROUND(I126+M126+Q126+U126+Y126+AC126+AG126+AK126+AO126+AS126,2)</f>
        <v>0</v>
      </c>
      <c r="G126" s="24">
        <f>ROUND(J126+N126+R126+V126+Z126+AD126+AH126+AL126+AP126+AT126,2)</f>
        <v>0</v>
      </c>
      <c r="H126" s="24">
        <f>ROUND(K126+O126+S126+W126+AA126+AE126+AI126+AM126+AQ126+AU126,2)</f>
        <v>0</v>
      </c>
      <c r="I126" s="24">
        <f>IF(K125&gt;0,IF(AND(ROUND(K125+J126-ROUND(I$6+IF(I$5=$C126,$E$5+$E126,0),2),2)&gt;0,ROUND(K125+J126-ROUND(I$6+IF(I$5=$C126,$E$5+$E126,0),2),2)&lt;=L126,ROUND(K125+J126-ROUND(I$6+IF(I$5=$C126,$E$5+$E126,0),2),2)*10&lt;=ROUND(I$6+IF(I$5=$C126,$E$5+$E126,0),2)),ROUND(K125+J126,2),MIN(ROUND(I$6+IF(I$5=$C126,$E$5+$E126,0),2),ROUND(K125+J126,2))),0)</f>
        <v>0</v>
      </c>
      <c r="J126" s="24">
        <f>IF(K125&gt;0,ROUND(ROUND(K125*100,0)*ROUND(I$7*10000,0)/12000000,0)/100,0)</f>
        <v>0</v>
      </c>
      <c r="K126" s="24">
        <f>IF(K125&gt;0,ROUND(K125+J126-I126,2),0)</f>
        <v>0</v>
      </c>
      <c r="L126" s="24">
        <f>IF(K125&gt;0,ROUND(L125+ROUND(ROUND(L125*100,0)*ROUND(I$7*10000,0)/12000000,0)/100+0.02,2),0)</f>
        <v>0</v>
      </c>
      <c r="M126" s="24">
        <f>IF(O125&gt;0,IF(AND(ROUND(O125+N126-ROUND(M$6+IF(M$5=$C126,$E$5+$E126,0),2),2)&gt;0,ROUND(O125+N126-ROUND(M$6+IF(M$5=$C126,$E$5+$E126,0),2),2)&lt;=P126,ROUND(O125+N126-ROUND(M$6+IF(M$5=$C126,$E$5+$E126,0),2),2)*10&lt;=ROUND(M$6+IF(M$5=$C126,$E$5+$E126,0),2)),ROUND(O125+N126,2),MIN(ROUND(M$6+IF(M$5=$C126,$E$5+$E126,0),2),ROUND(O125+N126,2))),0)</f>
        <v>0</v>
      </c>
      <c r="N126" s="24">
        <f>IF(O125&gt;0,ROUND(ROUND(O125*100,0)*ROUND(M$7*10000,0)/12000000,0)/100,0)</f>
        <v>0</v>
      </c>
      <c r="O126" s="24">
        <f>IF(O125&gt;0,ROUND(O125+N126-M126,2),0)</f>
        <v>0</v>
      </c>
      <c r="P126" s="24">
        <f>IF(O125&gt;0,ROUND(P125+ROUND(ROUND(P125*100,0)*ROUND(M$7*10000,0)/12000000,0)/100+0.02,2),0)</f>
        <v>0</v>
      </c>
      <c r="Q126" s="24">
        <f>IF(S125&gt;0,IF(AND(ROUND(S125+R126-ROUND(Q$6+IF(Q$5=$C126,$E$5+$E126,0),2),2)&gt;0,ROUND(S125+R126-ROUND(Q$6+IF(Q$5=$C126,$E$5+$E126,0),2),2)&lt;=T126,ROUND(S125+R126-ROUND(Q$6+IF(Q$5=$C126,$E$5+$E126,0),2),2)*10&lt;=ROUND(Q$6+IF(Q$5=$C126,$E$5+$E126,0),2)),ROUND(S125+R126,2),MIN(ROUND(Q$6+IF(Q$5=$C126,$E$5+$E126,0),2),ROUND(S125+R126,2))),0)</f>
        <v>0</v>
      </c>
      <c r="R126" s="24">
        <f>IF(S125&gt;0,ROUND(ROUND(S125*100,0)*ROUND(Q$7*10000,0)/12000000,0)/100,0)</f>
        <v>0</v>
      </c>
      <c r="S126" s="24">
        <f>IF(S125&gt;0,ROUND(S125+R126-Q126,2),0)</f>
        <v>0</v>
      </c>
      <c r="T126" s="24">
        <f>IF(S125&gt;0,ROUND(T125+ROUND(ROUND(T125*100,0)*ROUND(Q$7*10000,0)/12000000,0)/100+0.02,2),0)</f>
        <v>0</v>
      </c>
      <c r="U126" s="24">
        <f>IF(W125&gt;0,IF(AND(ROUND(W125+V126-ROUND(U$6+IF(U$5=$C126,$E$5+$E126,0),2),2)&gt;0,ROUND(W125+V126-ROUND(U$6+IF(U$5=$C126,$E$5+$E126,0),2),2)&lt;=X126,ROUND(W125+V126-ROUND(U$6+IF(U$5=$C126,$E$5+$E126,0),2),2)*10&lt;=ROUND(U$6+IF(U$5=$C126,$E$5+$E126,0),2)),ROUND(W125+V126,2),MIN(ROUND(U$6+IF(U$5=$C126,$E$5+$E126,0),2),ROUND(W125+V126,2))),0)</f>
        <v>0</v>
      </c>
      <c r="V126" s="24">
        <f>IF(W125&gt;0,ROUND(ROUND(W125*100,0)*ROUND(U$7*10000,0)/12000000,0)/100,0)</f>
        <v>0</v>
      </c>
      <c r="W126" s="24">
        <f>IF(W125&gt;0,ROUND(W125+V126-U126,2),0)</f>
        <v>0</v>
      </c>
      <c r="X126" s="24">
        <f>IF(W125&gt;0,ROUND(X125+ROUND(ROUND(X125*100,0)*ROUND(U$7*10000,0)/12000000,0)/100+0.02,2),0)</f>
        <v>0</v>
      </c>
      <c r="Y126" s="24">
        <f>IF(AA125&gt;0,IF(AND(ROUND(AA125+Z126-ROUND(Y$6+IF(Y$5=$C126,$E$5+$E126,0),2),2)&gt;0,ROUND(AA125+Z126-ROUND(Y$6+IF(Y$5=$C126,$E$5+$E126,0),2),2)&lt;=AB126,ROUND(AA125+Z126-ROUND(Y$6+IF(Y$5=$C126,$E$5+$E126,0),2),2)*10&lt;=ROUND(Y$6+IF(Y$5=$C126,$E$5+$E126,0),2)),ROUND(AA125+Z126,2),MIN(ROUND(Y$6+IF(Y$5=$C126,$E$5+$E126,0),2),ROUND(AA125+Z126,2))),0)</f>
        <v>0</v>
      </c>
      <c r="Z126" s="24">
        <f>IF(AA125&gt;0,ROUND(ROUND(AA125*100,0)*ROUND(Y$7*10000,0)/12000000,0)/100,0)</f>
        <v>0</v>
      </c>
      <c r="AA126" s="24">
        <f>IF(AA125&gt;0,ROUND(AA125+Z126-Y126,2),0)</f>
        <v>0</v>
      </c>
      <c r="AB126" s="24">
        <f>IF(AA125&gt;0,ROUND(AB125+ROUND(ROUND(AB125*100,0)*ROUND(Y$7*10000,0)/12000000,0)/100+0.02,2),0)</f>
        <v>0</v>
      </c>
      <c r="AC126" s="24">
        <f>IF(AE125&gt;0,IF(AND(ROUND(AE125+AD126-ROUND(AC$6+IF(AC$5=$C126,$E$5+$E126,0),2),2)&gt;0,ROUND(AE125+AD126-ROUND(AC$6+IF(AC$5=$C126,$E$5+$E126,0),2),2)&lt;=AF126,ROUND(AE125+AD126-ROUND(AC$6+IF(AC$5=$C126,$E$5+$E126,0),2),2)*10&lt;=ROUND(AC$6+IF(AC$5=$C126,$E$5+$E126,0),2)),ROUND(AE125+AD126,2),MIN(ROUND(AC$6+IF(AC$5=$C126,$E$5+$E126,0),2),ROUND(AE125+AD126,2))),0)</f>
        <v>0</v>
      </c>
      <c r="AD126" s="24">
        <f>IF(AE125&gt;0,ROUND(ROUND(AE125*100,0)*ROUND(AC$7*10000,0)/12000000,0)/100,0)</f>
        <v>0</v>
      </c>
      <c r="AE126" s="24">
        <f>IF(AE125&gt;0,ROUND(AE125+AD126-AC126,2),0)</f>
        <v>0</v>
      </c>
      <c r="AF126" s="24">
        <f>IF(AE125&gt;0,ROUND(AF125+ROUND(ROUND(AF125*100,0)*ROUND(AC$7*10000,0)/12000000,0)/100+0.02,2),0)</f>
        <v>0</v>
      </c>
      <c r="AG126" s="24">
        <f>IF(AI125&gt;0,IF(AND(ROUND(AI125+AH126-ROUND(AG$6+IF(AG$5=$C126,$E$5+$E126,0),2),2)&gt;0,ROUND(AI125+AH126-ROUND(AG$6+IF(AG$5=$C126,$E$5+$E126,0),2),2)&lt;=AJ126,ROUND(AI125+AH126-ROUND(AG$6+IF(AG$5=$C126,$E$5+$E126,0),2),2)*10&lt;=ROUND(AG$6+IF(AG$5=$C126,$E$5+$E126,0),2)),ROUND(AI125+AH126,2),MIN(ROUND(AG$6+IF(AG$5=$C126,$E$5+$E126,0),2),ROUND(AI125+AH126,2))),0)</f>
        <v>0</v>
      </c>
      <c r="AH126" s="24">
        <f>IF(AI125&gt;0,ROUND(ROUND(AI125*100,0)*ROUND(AG$7*10000,0)/12000000,0)/100,0)</f>
        <v>0</v>
      </c>
      <c r="AI126" s="24">
        <f>IF(AI125&gt;0,ROUND(AI125+AH126-AG126,2),0)</f>
        <v>0</v>
      </c>
      <c r="AJ126" s="24">
        <f>IF(AI125&gt;0,ROUND(AJ125+ROUND(ROUND(AJ125*100,0)*ROUND(AG$7*10000,0)/12000000,0)/100+0.02,2),0)</f>
        <v>0</v>
      </c>
      <c r="AK126" s="24">
        <f>IF(AM125&gt;0,IF(AND(ROUND(AM125+AL126-ROUND(AK$6+IF(AK$5=$C126,$E$5+$E126,0),2),2)&gt;0,ROUND(AM125+AL126-ROUND(AK$6+IF(AK$5=$C126,$E$5+$E126,0),2),2)&lt;=AN126,ROUND(AM125+AL126-ROUND(AK$6+IF(AK$5=$C126,$E$5+$E126,0),2),2)*10&lt;=ROUND(AK$6+IF(AK$5=$C126,$E$5+$E126,0),2)),ROUND(AM125+AL126,2),MIN(ROUND(AK$6+IF(AK$5=$C126,$E$5+$E126,0),2),ROUND(AM125+AL126,2))),0)</f>
        <v>0</v>
      </c>
      <c r="AL126" s="24">
        <f>IF(AM125&gt;0,ROUND(ROUND(AM125*100,0)*ROUND(AK$7*10000,0)/12000000,0)/100,0)</f>
        <v>0</v>
      </c>
      <c r="AM126" s="24">
        <f>IF(AM125&gt;0,ROUND(AM125+AL126-AK126,2),0)</f>
        <v>0</v>
      </c>
      <c r="AN126" s="24">
        <f>IF(AM125&gt;0,ROUND(AN125+ROUND(ROUND(AN125*100,0)*ROUND(AK$7*10000,0)/12000000,0)/100+0.02,2),0)</f>
        <v>0</v>
      </c>
      <c r="AO126" s="24">
        <f>IF(AQ125&gt;0,IF(AND(ROUND(AQ125+AP126-ROUND(AO$6+IF(AO$5=$C126,$E$5+$E126,0),2),2)&gt;0,ROUND(AQ125+AP126-ROUND(AO$6+IF(AO$5=$C126,$E$5+$E126,0),2),2)&lt;=AR126,ROUND(AQ125+AP126-ROUND(AO$6+IF(AO$5=$C126,$E$5+$E126,0),2),2)*10&lt;=ROUND(AO$6+IF(AO$5=$C126,$E$5+$E126,0),2)),ROUND(AQ125+AP126,2),MIN(ROUND(AO$6+IF(AO$5=$C126,$E$5+$E126,0),2),ROUND(AQ125+AP126,2))),0)</f>
        <v>0</v>
      </c>
      <c r="AP126" s="24">
        <f>IF(AQ125&gt;0,ROUND(ROUND(AQ125*100,0)*ROUND(AO$7*10000,0)/12000000,0)/100,0)</f>
        <v>0</v>
      </c>
      <c r="AQ126" s="24">
        <f>IF(AQ125&gt;0,ROUND(AQ125+AP126-AO126,2),0)</f>
        <v>0</v>
      </c>
      <c r="AR126" s="24">
        <f>IF(AQ125&gt;0,ROUND(AR125+ROUND(ROUND(AR125*100,0)*ROUND(AO$7*10000,0)/12000000,0)/100+0.02,2),0)</f>
        <v>0</v>
      </c>
      <c r="AS126" s="24">
        <f>IF(AU125&gt;0,IF(AND(ROUND(AU125+AT126-ROUND(AS$6+IF(AS$5=$C126,$E$5+$E126,0),2),2)&gt;0,ROUND(AU125+AT126-ROUND(AS$6+IF(AS$5=$C126,$E$5+$E126,0),2),2)&lt;=AV126,ROUND(AU125+AT126-ROUND(AS$6+IF(AS$5=$C126,$E$5+$E126,0),2),2)*10&lt;=ROUND(AS$6+IF(AS$5=$C126,$E$5+$E126,0),2)),ROUND(AU125+AT126,2),MIN(ROUND(AS$6+IF(AS$5=$C126,$E$5+$E126,0),2),ROUND(AU125+AT126,2))),0)</f>
        <v>0</v>
      </c>
      <c r="AT126" s="24">
        <f>IF(AU125&gt;0,ROUND(ROUND(AU125*100,0)*ROUND(AS$7*10000,0)/12000000,0)/100,0)</f>
        <v>0</v>
      </c>
      <c r="AU126" s="24">
        <f>IF(AU125&gt;0,ROUND(AU125+AT126-AS126,2),0)</f>
        <v>0</v>
      </c>
      <c r="AV126" s="24">
        <f>IF(AU125&gt;0,ROUND(AV125+ROUND(ROUND(AV125*100,0)*ROUND(AS$7*10000,0)/12000000,0)/100+0.02,2),0)</f>
        <v>0</v>
      </c>
    </row>
    <row r="127" spans="1:48" x14ac:dyDescent="0.25">
      <c r="A127" s="17" t="str">
        <f>IF(F127&gt;0,117,"")</f>
        <v/>
      </c>
      <c r="B127" s="18" t="str">
        <f>IF(F127&gt;0,EDATE($E$6,117),"")</f>
        <v/>
      </c>
      <c r="C127" s="21">
        <f>IF(H126&gt;0,MIN(IF(K126&gt;0,I$5,99),IF(O126&gt;0,M$5,99),IF(S126&gt;0,Q$5,99),IF(W126&gt;0,U$5,99),IF(AA126&gt;0,Y$5,99),IF(AE126&gt;0,AC$5,99),IF(AI126&gt;0,AG$5,99),IF(AM126&gt;0,AK$5,99),IF(AQ126&gt;0,AO$5,99),IF(AU126&gt;0,AS$5,99)),0)</f>
        <v>0</v>
      </c>
      <c r="D127" t="str">
        <f>IF(C127&gt;0,INDEX($I$4:$AV$4,1,MATCH(C127,$I$5:$AV$5,0)),"")</f>
        <v/>
      </c>
      <c r="E127" s="24">
        <f>ROUND(IF(AND(I$8&gt;0,K126=0),I$6,0)+IF(AND(M$8&gt;0,O126=0),M$6,0)+IF(AND(Q$8&gt;0,S126=0),Q$6,0)+IF(AND(U$8&gt;0,W126=0),U$6,0)+IF(AND(Y$8&gt;0,AA126=0),Y$6,0)+IF(AND(AC$8&gt;0,AE126=0),AC$6,0)+IF(AND(AG$8&gt;0,AI126=0),AG$6,0)+IF(AND(AK$8&gt;0,AM126=0),AK$6,0)+IF(AND(AO$8&gt;0,AQ126=0),AO$6,0)+IF(AND(AS$8&gt;0,AU126=0),AS$6,0),2)</f>
        <v>325</v>
      </c>
      <c r="F127" s="24">
        <f>ROUND(I127+M127+Q127+U127+Y127+AC127+AG127+AK127+AO127+AS127,2)</f>
        <v>0</v>
      </c>
      <c r="G127" s="24">
        <f>ROUND(J127+N127+R127+V127+Z127+AD127+AH127+AL127+AP127+AT127,2)</f>
        <v>0</v>
      </c>
      <c r="H127" s="24">
        <f>ROUND(K127+O127+S127+W127+AA127+AE127+AI127+AM127+AQ127+AU127,2)</f>
        <v>0</v>
      </c>
      <c r="I127" s="24">
        <f>IF(K126&gt;0,IF(AND(ROUND(K126+J127-ROUND(I$6+IF(I$5=$C127,$E$5+$E127,0),2),2)&gt;0,ROUND(K126+J127-ROUND(I$6+IF(I$5=$C127,$E$5+$E127,0),2),2)&lt;=L127,ROUND(K126+J127-ROUND(I$6+IF(I$5=$C127,$E$5+$E127,0),2),2)*10&lt;=ROUND(I$6+IF(I$5=$C127,$E$5+$E127,0),2)),ROUND(K126+J127,2),MIN(ROUND(I$6+IF(I$5=$C127,$E$5+$E127,0),2),ROUND(K126+J127,2))),0)</f>
        <v>0</v>
      </c>
      <c r="J127" s="24">
        <f>IF(K126&gt;0,ROUND(ROUND(K126*100,0)*ROUND(I$7*10000,0)/12000000,0)/100,0)</f>
        <v>0</v>
      </c>
      <c r="K127" s="24">
        <f>IF(K126&gt;0,ROUND(K126+J127-I127,2),0)</f>
        <v>0</v>
      </c>
      <c r="L127" s="24">
        <f>IF(K126&gt;0,ROUND(L126+ROUND(ROUND(L126*100,0)*ROUND(I$7*10000,0)/12000000,0)/100+0.02,2),0)</f>
        <v>0</v>
      </c>
      <c r="M127" s="24">
        <f>IF(O126&gt;0,IF(AND(ROUND(O126+N127-ROUND(M$6+IF(M$5=$C127,$E$5+$E127,0),2),2)&gt;0,ROUND(O126+N127-ROUND(M$6+IF(M$5=$C127,$E$5+$E127,0),2),2)&lt;=P127,ROUND(O126+N127-ROUND(M$6+IF(M$5=$C127,$E$5+$E127,0),2),2)*10&lt;=ROUND(M$6+IF(M$5=$C127,$E$5+$E127,0),2)),ROUND(O126+N127,2),MIN(ROUND(M$6+IF(M$5=$C127,$E$5+$E127,0),2),ROUND(O126+N127,2))),0)</f>
        <v>0</v>
      </c>
      <c r="N127" s="24">
        <f>IF(O126&gt;0,ROUND(ROUND(O126*100,0)*ROUND(M$7*10000,0)/12000000,0)/100,0)</f>
        <v>0</v>
      </c>
      <c r="O127" s="24">
        <f>IF(O126&gt;0,ROUND(O126+N127-M127,2),0)</f>
        <v>0</v>
      </c>
      <c r="P127" s="24">
        <f>IF(O126&gt;0,ROUND(P126+ROUND(ROUND(P126*100,0)*ROUND(M$7*10000,0)/12000000,0)/100+0.02,2),0)</f>
        <v>0</v>
      </c>
      <c r="Q127" s="24">
        <f>IF(S126&gt;0,IF(AND(ROUND(S126+R127-ROUND(Q$6+IF(Q$5=$C127,$E$5+$E127,0),2),2)&gt;0,ROUND(S126+R127-ROUND(Q$6+IF(Q$5=$C127,$E$5+$E127,0),2),2)&lt;=T127,ROUND(S126+R127-ROUND(Q$6+IF(Q$5=$C127,$E$5+$E127,0),2),2)*10&lt;=ROUND(Q$6+IF(Q$5=$C127,$E$5+$E127,0),2)),ROUND(S126+R127,2),MIN(ROUND(Q$6+IF(Q$5=$C127,$E$5+$E127,0),2),ROUND(S126+R127,2))),0)</f>
        <v>0</v>
      </c>
      <c r="R127" s="24">
        <f>IF(S126&gt;0,ROUND(ROUND(S126*100,0)*ROUND(Q$7*10000,0)/12000000,0)/100,0)</f>
        <v>0</v>
      </c>
      <c r="S127" s="24">
        <f>IF(S126&gt;0,ROUND(S126+R127-Q127,2),0)</f>
        <v>0</v>
      </c>
      <c r="T127" s="24">
        <f>IF(S126&gt;0,ROUND(T126+ROUND(ROUND(T126*100,0)*ROUND(Q$7*10000,0)/12000000,0)/100+0.02,2),0)</f>
        <v>0</v>
      </c>
      <c r="U127" s="24">
        <f>IF(W126&gt;0,IF(AND(ROUND(W126+V127-ROUND(U$6+IF(U$5=$C127,$E$5+$E127,0),2),2)&gt;0,ROUND(W126+V127-ROUND(U$6+IF(U$5=$C127,$E$5+$E127,0),2),2)&lt;=X127,ROUND(W126+V127-ROUND(U$6+IF(U$5=$C127,$E$5+$E127,0),2),2)*10&lt;=ROUND(U$6+IF(U$5=$C127,$E$5+$E127,0),2)),ROUND(W126+V127,2),MIN(ROUND(U$6+IF(U$5=$C127,$E$5+$E127,0),2),ROUND(W126+V127,2))),0)</f>
        <v>0</v>
      </c>
      <c r="V127" s="24">
        <f>IF(W126&gt;0,ROUND(ROUND(W126*100,0)*ROUND(U$7*10000,0)/12000000,0)/100,0)</f>
        <v>0</v>
      </c>
      <c r="W127" s="24">
        <f>IF(W126&gt;0,ROUND(W126+V127-U127,2),0)</f>
        <v>0</v>
      </c>
      <c r="X127" s="24">
        <f>IF(W126&gt;0,ROUND(X126+ROUND(ROUND(X126*100,0)*ROUND(U$7*10000,0)/12000000,0)/100+0.02,2),0)</f>
        <v>0</v>
      </c>
      <c r="Y127" s="24">
        <f>IF(AA126&gt;0,IF(AND(ROUND(AA126+Z127-ROUND(Y$6+IF(Y$5=$C127,$E$5+$E127,0),2),2)&gt;0,ROUND(AA126+Z127-ROUND(Y$6+IF(Y$5=$C127,$E$5+$E127,0),2),2)&lt;=AB127,ROUND(AA126+Z127-ROUND(Y$6+IF(Y$5=$C127,$E$5+$E127,0),2),2)*10&lt;=ROUND(Y$6+IF(Y$5=$C127,$E$5+$E127,0),2)),ROUND(AA126+Z127,2),MIN(ROUND(Y$6+IF(Y$5=$C127,$E$5+$E127,0),2),ROUND(AA126+Z127,2))),0)</f>
        <v>0</v>
      </c>
      <c r="Z127" s="24">
        <f>IF(AA126&gt;0,ROUND(ROUND(AA126*100,0)*ROUND(Y$7*10000,0)/12000000,0)/100,0)</f>
        <v>0</v>
      </c>
      <c r="AA127" s="24">
        <f>IF(AA126&gt;0,ROUND(AA126+Z127-Y127,2),0)</f>
        <v>0</v>
      </c>
      <c r="AB127" s="24">
        <f>IF(AA126&gt;0,ROUND(AB126+ROUND(ROUND(AB126*100,0)*ROUND(Y$7*10000,0)/12000000,0)/100+0.02,2),0)</f>
        <v>0</v>
      </c>
      <c r="AC127" s="24">
        <f>IF(AE126&gt;0,IF(AND(ROUND(AE126+AD127-ROUND(AC$6+IF(AC$5=$C127,$E$5+$E127,0),2),2)&gt;0,ROUND(AE126+AD127-ROUND(AC$6+IF(AC$5=$C127,$E$5+$E127,0),2),2)&lt;=AF127,ROUND(AE126+AD127-ROUND(AC$6+IF(AC$5=$C127,$E$5+$E127,0),2),2)*10&lt;=ROUND(AC$6+IF(AC$5=$C127,$E$5+$E127,0),2)),ROUND(AE126+AD127,2),MIN(ROUND(AC$6+IF(AC$5=$C127,$E$5+$E127,0),2),ROUND(AE126+AD127,2))),0)</f>
        <v>0</v>
      </c>
      <c r="AD127" s="24">
        <f>IF(AE126&gt;0,ROUND(ROUND(AE126*100,0)*ROUND(AC$7*10000,0)/12000000,0)/100,0)</f>
        <v>0</v>
      </c>
      <c r="AE127" s="24">
        <f>IF(AE126&gt;0,ROUND(AE126+AD127-AC127,2),0)</f>
        <v>0</v>
      </c>
      <c r="AF127" s="24">
        <f>IF(AE126&gt;0,ROUND(AF126+ROUND(ROUND(AF126*100,0)*ROUND(AC$7*10000,0)/12000000,0)/100+0.02,2),0)</f>
        <v>0</v>
      </c>
      <c r="AG127" s="24">
        <f>IF(AI126&gt;0,IF(AND(ROUND(AI126+AH127-ROUND(AG$6+IF(AG$5=$C127,$E$5+$E127,0),2),2)&gt;0,ROUND(AI126+AH127-ROUND(AG$6+IF(AG$5=$C127,$E$5+$E127,0),2),2)&lt;=AJ127,ROUND(AI126+AH127-ROUND(AG$6+IF(AG$5=$C127,$E$5+$E127,0),2),2)*10&lt;=ROUND(AG$6+IF(AG$5=$C127,$E$5+$E127,0),2)),ROUND(AI126+AH127,2),MIN(ROUND(AG$6+IF(AG$5=$C127,$E$5+$E127,0),2),ROUND(AI126+AH127,2))),0)</f>
        <v>0</v>
      </c>
      <c r="AH127" s="24">
        <f>IF(AI126&gt;0,ROUND(ROUND(AI126*100,0)*ROUND(AG$7*10000,0)/12000000,0)/100,0)</f>
        <v>0</v>
      </c>
      <c r="AI127" s="24">
        <f>IF(AI126&gt;0,ROUND(AI126+AH127-AG127,2),0)</f>
        <v>0</v>
      </c>
      <c r="AJ127" s="24">
        <f>IF(AI126&gt;0,ROUND(AJ126+ROUND(ROUND(AJ126*100,0)*ROUND(AG$7*10000,0)/12000000,0)/100+0.02,2),0)</f>
        <v>0</v>
      </c>
      <c r="AK127" s="24">
        <f>IF(AM126&gt;0,IF(AND(ROUND(AM126+AL127-ROUND(AK$6+IF(AK$5=$C127,$E$5+$E127,0),2),2)&gt;0,ROUND(AM126+AL127-ROUND(AK$6+IF(AK$5=$C127,$E$5+$E127,0),2),2)&lt;=AN127,ROUND(AM126+AL127-ROUND(AK$6+IF(AK$5=$C127,$E$5+$E127,0),2),2)*10&lt;=ROUND(AK$6+IF(AK$5=$C127,$E$5+$E127,0),2)),ROUND(AM126+AL127,2),MIN(ROUND(AK$6+IF(AK$5=$C127,$E$5+$E127,0),2),ROUND(AM126+AL127,2))),0)</f>
        <v>0</v>
      </c>
      <c r="AL127" s="24">
        <f>IF(AM126&gt;0,ROUND(ROUND(AM126*100,0)*ROUND(AK$7*10000,0)/12000000,0)/100,0)</f>
        <v>0</v>
      </c>
      <c r="AM127" s="24">
        <f>IF(AM126&gt;0,ROUND(AM126+AL127-AK127,2),0)</f>
        <v>0</v>
      </c>
      <c r="AN127" s="24">
        <f>IF(AM126&gt;0,ROUND(AN126+ROUND(ROUND(AN126*100,0)*ROUND(AK$7*10000,0)/12000000,0)/100+0.02,2),0)</f>
        <v>0</v>
      </c>
      <c r="AO127" s="24">
        <f>IF(AQ126&gt;0,IF(AND(ROUND(AQ126+AP127-ROUND(AO$6+IF(AO$5=$C127,$E$5+$E127,0),2),2)&gt;0,ROUND(AQ126+AP127-ROUND(AO$6+IF(AO$5=$C127,$E$5+$E127,0),2),2)&lt;=AR127,ROUND(AQ126+AP127-ROUND(AO$6+IF(AO$5=$C127,$E$5+$E127,0),2),2)*10&lt;=ROUND(AO$6+IF(AO$5=$C127,$E$5+$E127,0),2)),ROUND(AQ126+AP127,2),MIN(ROUND(AO$6+IF(AO$5=$C127,$E$5+$E127,0),2),ROUND(AQ126+AP127,2))),0)</f>
        <v>0</v>
      </c>
      <c r="AP127" s="24">
        <f>IF(AQ126&gt;0,ROUND(ROUND(AQ126*100,0)*ROUND(AO$7*10000,0)/12000000,0)/100,0)</f>
        <v>0</v>
      </c>
      <c r="AQ127" s="24">
        <f>IF(AQ126&gt;0,ROUND(AQ126+AP127-AO127,2),0)</f>
        <v>0</v>
      </c>
      <c r="AR127" s="24">
        <f>IF(AQ126&gt;0,ROUND(AR126+ROUND(ROUND(AR126*100,0)*ROUND(AO$7*10000,0)/12000000,0)/100+0.02,2),0)</f>
        <v>0</v>
      </c>
      <c r="AS127" s="24">
        <f>IF(AU126&gt;0,IF(AND(ROUND(AU126+AT127-ROUND(AS$6+IF(AS$5=$C127,$E$5+$E127,0),2),2)&gt;0,ROUND(AU126+AT127-ROUND(AS$6+IF(AS$5=$C127,$E$5+$E127,0),2),2)&lt;=AV127,ROUND(AU126+AT127-ROUND(AS$6+IF(AS$5=$C127,$E$5+$E127,0),2),2)*10&lt;=ROUND(AS$6+IF(AS$5=$C127,$E$5+$E127,0),2)),ROUND(AU126+AT127,2),MIN(ROUND(AS$6+IF(AS$5=$C127,$E$5+$E127,0),2),ROUND(AU126+AT127,2))),0)</f>
        <v>0</v>
      </c>
      <c r="AT127" s="24">
        <f>IF(AU126&gt;0,ROUND(ROUND(AU126*100,0)*ROUND(AS$7*10000,0)/12000000,0)/100,0)</f>
        <v>0</v>
      </c>
      <c r="AU127" s="24">
        <f>IF(AU126&gt;0,ROUND(AU126+AT127-AS127,2),0)</f>
        <v>0</v>
      </c>
      <c r="AV127" s="24">
        <f>IF(AU126&gt;0,ROUND(AV126+ROUND(ROUND(AV126*100,0)*ROUND(AS$7*10000,0)/12000000,0)/100+0.02,2),0)</f>
        <v>0</v>
      </c>
    </row>
    <row r="128" spans="1:48" x14ac:dyDescent="0.25">
      <c r="A128" s="17" t="str">
        <f>IF(F128&gt;0,118,"")</f>
        <v/>
      </c>
      <c r="B128" s="18" t="str">
        <f>IF(F128&gt;0,EDATE($E$6,118),"")</f>
        <v/>
      </c>
      <c r="C128" s="21">
        <f>IF(H127&gt;0,MIN(IF(K127&gt;0,I$5,99),IF(O127&gt;0,M$5,99),IF(S127&gt;0,Q$5,99),IF(W127&gt;0,U$5,99),IF(AA127&gt;0,Y$5,99),IF(AE127&gt;0,AC$5,99),IF(AI127&gt;0,AG$5,99),IF(AM127&gt;0,AK$5,99),IF(AQ127&gt;0,AO$5,99),IF(AU127&gt;0,AS$5,99)),0)</f>
        <v>0</v>
      </c>
      <c r="D128" t="str">
        <f>IF(C128&gt;0,INDEX($I$4:$AV$4,1,MATCH(C128,$I$5:$AV$5,0)),"")</f>
        <v/>
      </c>
      <c r="E128" s="24">
        <f>ROUND(IF(AND(I$8&gt;0,K127=0),I$6,0)+IF(AND(M$8&gt;0,O127=0),M$6,0)+IF(AND(Q$8&gt;0,S127=0),Q$6,0)+IF(AND(U$8&gt;0,W127=0),U$6,0)+IF(AND(Y$8&gt;0,AA127=0),Y$6,0)+IF(AND(AC$8&gt;0,AE127=0),AC$6,0)+IF(AND(AG$8&gt;0,AI127=0),AG$6,0)+IF(AND(AK$8&gt;0,AM127=0),AK$6,0)+IF(AND(AO$8&gt;0,AQ127=0),AO$6,0)+IF(AND(AS$8&gt;0,AU127=0),AS$6,0),2)</f>
        <v>325</v>
      </c>
      <c r="F128" s="24">
        <f>ROUND(I128+M128+Q128+U128+Y128+AC128+AG128+AK128+AO128+AS128,2)</f>
        <v>0</v>
      </c>
      <c r="G128" s="24">
        <f>ROUND(J128+N128+R128+V128+Z128+AD128+AH128+AL128+AP128+AT128,2)</f>
        <v>0</v>
      </c>
      <c r="H128" s="24">
        <f>ROUND(K128+O128+S128+W128+AA128+AE128+AI128+AM128+AQ128+AU128,2)</f>
        <v>0</v>
      </c>
      <c r="I128" s="24">
        <f>IF(K127&gt;0,IF(AND(ROUND(K127+J128-ROUND(I$6+IF(I$5=$C128,$E$5+$E128,0),2),2)&gt;0,ROUND(K127+J128-ROUND(I$6+IF(I$5=$C128,$E$5+$E128,0),2),2)&lt;=L128,ROUND(K127+J128-ROUND(I$6+IF(I$5=$C128,$E$5+$E128,0),2),2)*10&lt;=ROUND(I$6+IF(I$5=$C128,$E$5+$E128,0),2)),ROUND(K127+J128,2),MIN(ROUND(I$6+IF(I$5=$C128,$E$5+$E128,0),2),ROUND(K127+J128,2))),0)</f>
        <v>0</v>
      </c>
      <c r="J128" s="24">
        <f>IF(K127&gt;0,ROUND(ROUND(K127*100,0)*ROUND(I$7*10000,0)/12000000,0)/100,0)</f>
        <v>0</v>
      </c>
      <c r="K128" s="24">
        <f>IF(K127&gt;0,ROUND(K127+J128-I128,2),0)</f>
        <v>0</v>
      </c>
      <c r="L128" s="24">
        <f>IF(K127&gt;0,ROUND(L127+ROUND(ROUND(L127*100,0)*ROUND(I$7*10000,0)/12000000,0)/100+0.02,2),0)</f>
        <v>0</v>
      </c>
      <c r="M128" s="24">
        <f>IF(O127&gt;0,IF(AND(ROUND(O127+N128-ROUND(M$6+IF(M$5=$C128,$E$5+$E128,0),2),2)&gt;0,ROUND(O127+N128-ROUND(M$6+IF(M$5=$C128,$E$5+$E128,0),2),2)&lt;=P128,ROUND(O127+N128-ROUND(M$6+IF(M$5=$C128,$E$5+$E128,0),2),2)*10&lt;=ROUND(M$6+IF(M$5=$C128,$E$5+$E128,0),2)),ROUND(O127+N128,2),MIN(ROUND(M$6+IF(M$5=$C128,$E$5+$E128,0),2),ROUND(O127+N128,2))),0)</f>
        <v>0</v>
      </c>
      <c r="N128" s="24">
        <f>IF(O127&gt;0,ROUND(ROUND(O127*100,0)*ROUND(M$7*10000,0)/12000000,0)/100,0)</f>
        <v>0</v>
      </c>
      <c r="O128" s="24">
        <f>IF(O127&gt;0,ROUND(O127+N128-M128,2),0)</f>
        <v>0</v>
      </c>
      <c r="P128" s="24">
        <f>IF(O127&gt;0,ROUND(P127+ROUND(ROUND(P127*100,0)*ROUND(M$7*10000,0)/12000000,0)/100+0.02,2),0)</f>
        <v>0</v>
      </c>
      <c r="Q128" s="24">
        <f>IF(S127&gt;0,IF(AND(ROUND(S127+R128-ROUND(Q$6+IF(Q$5=$C128,$E$5+$E128,0),2),2)&gt;0,ROUND(S127+R128-ROUND(Q$6+IF(Q$5=$C128,$E$5+$E128,0),2),2)&lt;=T128,ROUND(S127+R128-ROUND(Q$6+IF(Q$5=$C128,$E$5+$E128,0),2),2)*10&lt;=ROUND(Q$6+IF(Q$5=$C128,$E$5+$E128,0),2)),ROUND(S127+R128,2),MIN(ROUND(Q$6+IF(Q$5=$C128,$E$5+$E128,0),2),ROUND(S127+R128,2))),0)</f>
        <v>0</v>
      </c>
      <c r="R128" s="24">
        <f>IF(S127&gt;0,ROUND(ROUND(S127*100,0)*ROUND(Q$7*10000,0)/12000000,0)/100,0)</f>
        <v>0</v>
      </c>
      <c r="S128" s="24">
        <f>IF(S127&gt;0,ROUND(S127+R128-Q128,2),0)</f>
        <v>0</v>
      </c>
      <c r="T128" s="24">
        <f>IF(S127&gt;0,ROUND(T127+ROUND(ROUND(T127*100,0)*ROUND(Q$7*10000,0)/12000000,0)/100+0.02,2),0)</f>
        <v>0</v>
      </c>
      <c r="U128" s="24">
        <f>IF(W127&gt;0,IF(AND(ROUND(W127+V128-ROUND(U$6+IF(U$5=$C128,$E$5+$E128,0),2),2)&gt;0,ROUND(W127+V128-ROUND(U$6+IF(U$5=$C128,$E$5+$E128,0),2),2)&lt;=X128,ROUND(W127+V128-ROUND(U$6+IF(U$5=$C128,$E$5+$E128,0),2),2)*10&lt;=ROUND(U$6+IF(U$5=$C128,$E$5+$E128,0),2)),ROUND(W127+V128,2),MIN(ROUND(U$6+IF(U$5=$C128,$E$5+$E128,0),2),ROUND(W127+V128,2))),0)</f>
        <v>0</v>
      </c>
      <c r="V128" s="24">
        <f>IF(W127&gt;0,ROUND(ROUND(W127*100,0)*ROUND(U$7*10000,0)/12000000,0)/100,0)</f>
        <v>0</v>
      </c>
      <c r="W128" s="24">
        <f>IF(W127&gt;0,ROUND(W127+V128-U128,2),0)</f>
        <v>0</v>
      </c>
      <c r="X128" s="24">
        <f>IF(W127&gt;0,ROUND(X127+ROUND(ROUND(X127*100,0)*ROUND(U$7*10000,0)/12000000,0)/100+0.02,2),0)</f>
        <v>0</v>
      </c>
      <c r="Y128" s="24">
        <f>IF(AA127&gt;0,IF(AND(ROUND(AA127+Z128-ROUND(Y$6+IF(Y$5=$C128,$E$5+$E128,0),2),2)&gt;0,ROUND(AA127+Z128-ROUND(Y$6+IF(Y$5=$C128,$E$5+$E128,0),2),2)&lt;=AB128,ROUND(AA127+Z128-ROUND(Y$6+IF(Y$5=$C128,$E$5+$E128,0),2),2)*10&lt;=ROUND(Y$6+IF(Y$5=$C128,$E$5+$E128,0),2)),ROUND(AA127+Z128,2),MIN(ROUND(Y$6+IF(Y$5=$C128,$E$5+$E128,0),2),ROUND(AA127+Z128,2))),0)</f>
        <v>0</v>
      </c>
      <c r="Z128" s="24">
        <f>IF(AA127&gt;0,ROUND(ROUND(AA127*100,0)*ROUND(Y$7*10000,0)/12000000,0)/100,0)</f>
        <v>0</v>
      </c>
      <c r="AA128" s="24">
        <f>IF(AA127&gt;0,ROUND(AA127+Z128-Y128,2),0)</f>
        <v>0</v>
      </c>
      <c r="AB128" s="24">
        <f>IF(AA127&gt;0,ROUND(AB127+ROUND(ROUND(AB127*100,0)*ROUND(Y$7*10000,0)/12000000,0)/100+0.02,2),0)</f>
        <v>0</v>
      </c>
      <c r="AC128" s="24">
        <f>IF(AE127&gt;0,IF(AND(ROUND(AE127+AD128-ROUND(AC$6+IF(AC$5=$C128,$E$5+$E128,0),2),2)&gt;0,ROUND(AE127+AD128-ROUND(AC$6+IF(AC$5=$C128,$E$5+$E128,0),2),2)&lt;=AF128,ROUND(AE127+AD128-ROUND(AC$6+IF(AC$5=$C128,$E$5+$E128,0),2),2)*10&lt;=ROUND(AC$6+IF(AC$5=$C128,$E$5+$E128,0),2)),ROUND(AE127+AD128,2),MIN(ROUND(AC$6+IF(AC$5=$C128,$E$5+$E128,0),2),ROUND(AE127+AD128,2))),0)</f>
        <v>0</v>
      </c>
      <c r="AD128" s="24">
        <f>IF(AE127&gt;0,ROUND(ROUND(AE127*100,0)*ROUND(AC$7*10000,0)/12000000,0)/100,0)</f>
        <v>0</v>
      </c>
      <c r="AE128" s="24">
        <f>IF(AE127&gt;0,ROUND(AE127+AD128-AC128,2),0)</f>
        <v>0</v>
      </c>
      <c r="AF128" s="24">
        <f>IF(AE127&gt;0,ROUND(AF127+ROUND(ROUND(AF127*100,0)*ROUND(AC$7*10000,0)/12000000,0)/100+0.02,2),0)</f>
        <v>0</v>
      </c>
      <c r="AG128" s="24">
        <f>IF(AI127&gt;0,IF(AND(ROUND(AI127+AH128-ROUND(AG$6+IF(AG$5=$C128,$E$5+$E128,0),2),2)&gt;0,ROUND(AI127+AH128-ROUND(AG$6+IF(AG$5=$C128,$E$5+$E128,0),2),2)&lt;=AJ128,ROUND(AI127+AH128-ROUND(AG$6+IF(AG$5=$C128,$E$5+$E128,0),2),2)*10&lt;=ROUND(AG$6+IF(AG$5=$C128,$E$5+$E128,0),2)),ROUND(AI127+AH128,2),MIN(ROUND(AG$6+IF(AG$5=$C128,$E$5+$E128,0),2),ROUND(AI127+AH128,2))),0)</f>
        <v>0</v>
      </c>
      <c r="AH128" s="24">
        <f>IF(AI127&gt;0,ROUND(ROUND(AI127*100,0)*ROUND(AG$7*10000,0)/12000000,0)/100,0)</f>
        <v>0</v>
      </c>
      <c r="AI128" s="24">
        <f>IF(AI127&gt;0,ROUND(AI127+AH128-AG128,2),0)</f>
        <v>0</v>
      </c>
      <c r="AJ128" s="24">
        <f>IF(AI127&gt;0,ROUND(AJ127+ROUND(ROUND(AJ127*100,0)*ROUND(AG$7*10000,0)/12000000,0)/100+0.02,2),0)</f>
        <v>0</v>
      </c>
      <c r="AK128" s="24">
        <f>IF(AM127&gt;0,IF(AND(ROUND(AM127+AL128-ROUND(AK$6+IF(AK$5=$C128,$E$5+$E128,0),2),2)&gt;0,ROUND(AM127+AL128-ROUND(AK$6+IF(AK$5=$C128,$E$5+$E128,0),2),2)&lt;=AN128,ROUND(AM127+AL128-ROUND(AK$6+IF(AK$5=$C128,$E$5+$E128,0),2),2)*10&lt;=ROUND(AK$6+IF(AK$5=$C128,$E$5+$E128,0),2)),ROUND(AM127+AL128,2),MIN(ROUND(AK$6+IF(AK$5=$C128,$E$5+$E128,0),2),ROUND(AM127+AL128,2))),0)</f>
        <v>0</v>
      </c>
      <c r="AL128" s="24">
        <f>IF(AM127&gt;0,ROUND(ROUND(AM127*100,0)*ROUND(AK$7*10000,0)/12000000,0)/100,0)</f>
        <v>0</v>
      </c>
      <c r="AM128" s="24">
        <f>IF(AM127&gt;0,ROUND(AM127+AL128-AK128,2),0)</f>
        <v>0</v>
      </c>
      <c r="AN128" s="24">
        <f>IF(AM127&gt;0,ROUND(AN127+ROUND(ROUND(AN127*100,0)*ROUND(AK$7*10000,0)/12000000,0)/100+0.02,2),0)</f>
        <v>0</v>
      </c>
      <c r="AO128" s="24">
        <f>IF(AQ127&gt;0,IF(AND(ROUND(AQ127+AP128-ROUND(AO$6+IF(AO$5=$C128,$E$5+$E128,0),2),2)&gt;0,ROUND(AQ127+AP128-ROUND(AO$6+IF(AO$5=$C128,$E$5+$E128,0),2),2)&lt;=AR128,ROUND(AQ127+AP128-ROUND(AO$6+IF(AO$5=$C128,$E$5+$E128,0),2),2)*10&lt;=ROUND(AO$6+IF(AO$5=$C128,$E$5+$E128,0),2)),ROUND(AQ127+AP128,2),MIN(ROUND(AO$6+IF(AO$5=$C128,$E$5+$E128,0),2),ROUND(AQ127+AP128,2))),0)</f>
        <v>0</v>
      </c>
      <c r="AP128" s="24">
        <f>IF(AQ127&gt;0,ROUND(ROUND(AQ127*100,0)*ROUND(AO$7*10000,0)/12000000,0)/100,0)</f>
        <v>0</v>
      </c>
      <c r="AQ128" s="24">
        <f>IF(AQ127&gt;0,ROUND(AQ127+AP128-AO128,2),0)</f>
        <v>0</v>
      </c>
      <c r="AR128" s="24">
        <f>IF(AQ127&gt;0,ROUND(AR127+ROUND(ROUND(AR127*100,0)*ROUND(AO$7*10000,0)/12000000,0)/100+0.02,2),0)</f>
        <v>0</v>
      </c>
      <c r="AS128" s="24">
        <f>IF(AU127&gt;0,IF(AND(ROUND(AU127+AT128-ROUND(AS$6+IF(AS$5=$C128,$E$5+$E128,0),2),2)&gt;0,ROUND(AU127+AT128-ROUND(AS$6+IF(AS$5=$C128,$E$5+$E128,0),2),2)&lt;=AV128,ROUND(AU127+AT128-ROUND(AS$6+IF(AS$5=$C128,$E$5+$E128,0),2),2)*10&lt;=ROUND(AS$6+IF(AS$5=$C128,$E$5+$E128,0),2)),ROUND(AU127+AT128,2),MIN(ROUND(AS$6+IF(AS$5=$C128,$E$5+$E128,0),2),ROUND(AU127+AT128,2))),0)</f>
        <v>0</v>
      </c>
      <c r="AT128" s="24">
        <f>IF(AU127&gt;0,ROUND(ROUND(AU127*100,0)*ROUND(AS$7*10000,0)/12000000,0)/100,0)</f>
        <v>0</v>
      </c>
      <c r="AU128" s="24">
        <f>IF(AU127&gt;0,ROUND(AU127+AT128-AS128,2),0)</f>
        <v>0</v>
      </c>
      <c r="AV128" s="24">
        <f>IF(AU127&gt;0,ROUND(AV127+ROUND(ROUND(AV127*100,0)*ROUND(AS$7*10000,0)/12000000,0)/100+0.02,2),0)</f>
        <v>0</v>
      </c>
    </row>
    <row r="129" spans="1:48" x14ac:dyDescent="0.25">
      <c r="A129" s="17" t="str">
        <f>IF(F129&gt;0,119,"")</f>
        <v/>
      </c>
      <c r="B129" s="18" t="str">
        <f>IF(F129&gt;0,EDATE($E$6,119),"")</f>
        <v/>
      </c>
      <c r="C129" s="21">
        <f>IF(H128&gt;0,MIN(IF(K128&gt;0,I$5,99),IF(O128&gt;0,M$5,99),IF(S128&gt;0,Q$5,99),IF(W128&gt;0,U$5,99),IF(AA128&gt;0,Y$5,99),IF(AE128&gt;0,AC$5,99),IF(AI128&gt;0,AG$5,99),IF(AM128&gt;0,AK$5,99),IF(AQ128&gt;0,AO$5,99),IF(AU128&gt;0,AS$5,99)),0)</f>
        <v>0</v>
      </c>
      <c r="D129" t="str">
        <f>IF(C129&gt;0,INDEX($I$4:$AV$4,1,MATCH(C129,$I$5:$AV$5,0)),"")</f>
        <v/>
      </c>
      <c r="E129" s="24">
        <f>ROUND(IF(AND(I$8&gt;0,K128=0),I$6,0)+IF(AND(M$8&gt;0,O128=0),M$6,0)+IF(AND(Q$8&gt;0,S128=0),Q$6,0)+IF(AND(U$8&gt;0,W128=0),U$6,0)+IF(AND(Y$8&gt;0,AA128=0),Y$6,0)+IF(AND(AC$8&gt;0,AE128=0),AC$6,0)+IF(AND(AG$8&gt;0,AI128=0),AG$6,0)+IF(AND(AK$8&gt;0,AM128=0),AK$6,0)+IF(AND(AO$8&gt;0,AQ128=0),AO$6,0)+IF(AND(AS$8&gt;0,AU128=0),AS$6,0),2)</f>
        <v>325</v>
      </c>
      <c r="F129" s="24">
        <f>ROUND(I129+M129+Q129+U129+Y129+AC129+AG129+AK129+AO129+AS129,2)</f>
        <v>0</v>
      </c>
      <c r="G129" s="24">
        <f>ROUND(J129+N129+R129+V129+Z129+AD129+AH129+AL129+AP129+AT129,2)</f>
        <v>0</v>
      </c>
      <c r="H129" s="24">
        <f>ROUND(K129+O129+S129+W129+AA129+AE129+AI129+AM129+AQ129+AU129,2)</f>
        <v>0</v>
      </c>
      <c r="I129" s="24">
        <f>IF(K128&gt;0,IF(AND(ROUND(K128+J129-ROUND(I$6+IF(I$5=$C129,$E$5+$E129,0),2),2)&gt;0,ROUND(K128+J129-ROUND(I$6+IF(I$5=$C129,$E$5+$E129,0),2),2)&lt;=L129,ROUND(K128+J129-ROUND(I$6+IF(I$5=$C129,$E$5+$E129,0),2),2)*10&lt;=ROUND(I$6+IF(I$5=$C129,$E$5+$E129,0),2)),ROUND(K128+J129,2),MIN(ROUND(I$6+IF(I$5=$C129,$E$5+$E129,0),2),ROUND(K128+J129,2))),0)</f>
        <v>0</v>
      </c>
      <c r="J129" s="24">
        <f>IF(K128&gt;0,ROUND(ROUND(K128*100,0)*ROUND(I$7*10000,0)/12000000,0)/100,0)</f>
        <v>0</v>
      </c>
      <c r="K129" s="24">
        <f>IF(K128&gt;0,ROUND(K128+J129-I129,2),0)</f>
        <v>0</v>
      </c>
      <c r="L129" s="24">
        <f>IF(K128&gt;0,ROUND(L128+ROUND(ROUND(L128*100,0)*ROUND(I$7*10000,0)/12000000,0)/100+0.02,2),0)</f>
        <v>0</v>
      </c>
      <c r="M129" s="24">
        <f>IF(O128&gt;0,IF(AND(ROUND(O128+N129-ROUND(M$6+IF(M$5=$C129,$E$5+$E129,0),2),2)&gt;0,ROUND(O128+N129-ROUND(M$6+IF(M$5=$C129,$E$5+$E129,0),2),2)&lt;=P129,ROUND(O128+N129-ROUND(M$6+IF(M$5=$C129,$E$5+$E129,0),2),2)*10&lt;=ROUND(M$6+IF(M$5=$C129,$E$5+$E129,0),2)),ROUND(O128+N129,2),MIN(ROUND(M$6+IF(M$5=$C129,$E$5+$E129,0),2),ROUND(O128+N129,2))),0)</f>
        <v>0</v>
      </c>
      <c r="N129" s="24">
        <f>IF(O128&gt;0,ROUND(ROUND(O128*100,0)*ROUND(M$7*10000,0)/12000000,0)/100,0)</f>
        <v>0</v>
      </c>
      <c r="O129" s="24">
        <f>IF(O128&gt;0,ROUND(O128+N129-M129,2),0)</f>
        <v>0</v>
      </c>
      <c r="P129" s="24">
        <f>IF(O128&gt;0,ROUND(P128+ROUND(ROUND(P128*100,0)*ROUND(M$7*10000,0)/12000000,0)/100+0.02,2),0)</f>
        <v>0</v>
      </c>
      <c r="Q129" s="24">
        <f>IF(S128&gt;0,IF(AND(ROUND(S128+R129-ROUND(Q$6+IF(Q$5=$C129,$E$5+$E129,0),2),2)&gt;0,ROUND(S128+R129-ROUND(Q$6+IF(Q$5=$C129,$E$5+$E129,0),2),2)&lt;=T129,ROUND(S128+R129-ROUND(Q$6+IF(Q$5=$C129,$E$5+$E129,0),2),2)*10&lt;=ROUND(Q$6+IF(Q$5=$C129,$E$5+$E129,0),2)),ROUND(S128+R129,2),MIN(ROUND(Q$6+IF(Q$5=$C129,$E$5+$E129,0),2),ROUND(S128+R129,2))),0)</f>
        <v>0</v>
      </c>
      <c r="R129" s="24">
        <f>IF(S128&gt;0,ROUND(ROUND(S128*100,0)*ROUND(Q$7*10000,0)/12000000,0)/100,0)</f>
        <v>0</v>
      </c>
      <c r="S129" s="24">
        <f>IF(S128&gt;0,ROUND(S128+R129-Q129,2),0)</f>
        <v>0</v>
      </c>
      <c r="T129" s="24">
        <f>IF(S128&gt;0,ROUND(T128+ROUND(ROUND(T128*100,0)*ROUND(Q$7*10000,0)/12000000,0)/100+0.02,2),0)</f>
        <v>0</v>
      </c>
      <c r="U129" s="24">
        <f>IF(W128&gt;0,IF(AND(ROUND(W128+V129-ROUND(U$6+IF(U$5=$C129,$E$5+$E129,0),2),2)&gt;0,ROUND(W128+V129-ROUND(U$6+IF(U$5=$C129,$E$5+$E129,0),2),2)&lt;=X129,ROUND(W128+V129-ROUND(U$6+IF(U$5=$C129,$E$5+$E129,0),2),2)*10&lt;=ROUND(U$6+IF(U$5=$C129,$E$5+$E129,0),2)),ROUND(W128+V129,2),MIN(ROUND(U$6+IF(U$5=$C129,$E$5+$E129,0),2),ROUND(W128+V129,2))),0)</f>
        <v>0</v>
      </c>
      <c r="V129" s="24">
        <f>IF(W128&gt;0,ROUND(ROUND(W128*100,0)*ROUND(U$7*10000,0)/12000000,0)/100,0)</f>
        <v>0</v>
      </c>
      <c r="W129" s="24">
        <f>IF(W128&gt;0,ROUND(W128+V129-U129,2),0)</f>
        <v>0</v>
      </c>
      <c r="X129" s="24">
        <f>IF(W128&gt;0,ROUND(X128+ROUND(ROUND(X128*100,0)*ROUND(U$7*10000,0)/12000000,0)/100+0.02,2),0)</f>
        <v>0</v>
      </c>
      <c r="Y129" s="24">
        <f>IF(AA128&gt;0,IF(AND(ROUND(AA128+Z129-ROUND(Y$6+IF(Y$5=$C129,$E$5+$E129,0),2),2)&gt;0,ROUND(AA128+Z129-ROUND(Y$6+IF(Y$5=$C129,$E$5+$E129,0),2),2)&lt;=AB129,ROUND(AA128+Z129-ROUND(Y$6+IF(Y$5=$C129,$E$5+$E129,0),2),2)*10&lt;=ROUND(Y$6+IF(Y$5=$C129,$E$5+$E129,0),2)),ROUND(AA128+Z129,2),MIN(ROUND(Y$6+IF(Y$5=$C129,$E$5+$E129,0),2),ROUND(AA128+Z129,2))),0)</f>
        <v>0</v>
      </c>
      <c r="Z129" s="24">
        <f>IF(AA128&gt;0,ROUND(ROUND(AA128*100,0)*ROUND(Y$7*10000,0)/12000000,0)/100,0)</f>
        <v>0</v>
      </c>
      <c r="AA129" s="24">
        <f>IF(AA128&gt;0,ROUND(AA128+Z129-Y129,2),0)</f>
        <v>0</v>
      </c>
      <c r="AB129" s="24">
        <f>IF(AA128&gt;0,ROUND(AB128+ROUND(ROUND(AB128*100,0)*ROUND(Y$7*10000,0)/12000000,0)/100+0.02,2),0)</f>
        <v>0</v>
      </c>
      <c r="AC129" s="24">
        <f>IF(AE128&gt;0,IF(AND(ROUND(AE128+AD129-ROUND(AC$6+IF(AC$5=$C129,$E$5+$E129,0),2),2)&gt;0,ROUND(AE128+AD129-ROUND(AC$6+IF(AC$5=$C129,$E$5+$E129,0),2),2)&lt;=AF129,ROUND(AE128+AD129-ROUND(AC$6+IF(AC$5=$C129,$E$5+$E129,0),2),2)*10&lt;=ROUND(AC$6+IF(AC$5=$C129,$E$5+$E129,0),2)),ROUND(AE128+AD129,2),MIN(ROUND(AC$6+IF(AC$5=$C129,$E$5+$E129,0),2),ROUND(AE128+AD129,2))),0)</f>
        <v>0</v>
      </c>
      <c r="AD129" s="24">
        <f>IF(AE128&gt;0,ROUND(ROUND(AE128*100,0)*ROUND(AC$7*10000,0)/12000000,0)/100,0)</f>
        <v>0</v>
      </c>
      <c r="AE129" s="24">
        <f>IF(AE128&gt;0,ROUND(AE128+AD129-AC129,2),0)</f>
        <v>0</v>
      </c>
      <c r="AF129" s="24">
        <f>IF(AE128&gt;0,ROUND(AF128+ROUND(ROUND(AF128*100,0)*ROUND(AC$7*10000,0)/12000000,0)/100+0.02,2),0)</f>
        <v>0</v>
      </c>
      <c r="AG129" s="24">
        <f>IF(AI128&gt;0,IF(AND(ROUND(AI128+AH129-ROUND(AG$6+IF(AG$5=$C129,$E$5+$E129,0),2),2)&gt;0,ROUND(AI128+AH129-ROUND(AG$6+IF(AG$5=$C129,$E$5+$E129,0),2),2)&lt;=AJ129,ROUND(AI128+AH129-ROUND(AG$6+IF(AG$5=$C129,$E$5+$E129,0),2),2)*10&lt;=ROUND(AG$6+IF(AG$5=$C129,$E$5+$E129,0),2)),ROUND(AI128+AH129,2),MIN(ROUND(AG$6+IF(AG$5=$C129,$E$5+$E129,0),2),ROUND(AI128+AH129,2))),0)</f>
        <v>0</v>
      </c>
      <c r="AH129" s="24">
        <f>IF(AI128&gt;0,ROUND(ROUND(AI128*100,0)*ROUND(AG$7*10000,0)/12000000,0)/100,0)</f>
        <v>0</v>
      </c>
      <c r="AI129" s="24">
        <f>IF(AI128&gt;0,ROUND(AI128+AH129-AG129,2),0)</f>
        <v>0</v>
      </c>
      <c r="AJ129" s="24">
        <f>IF(AI128&gt;0,ROUND(AJ128+ROUND(ROUND(AJ128*100,0)*ROUND(AG$7*10000,0)/12000000,0)/100+0.02,2),0)</f>
        <v>0</v>
      </c>
      <c r="AK129" s="24">
        <f>IF(AM128&gt;0,IF(AND(ROUND(AM128+AL129-ROUND(AK$6+IF(AK$5=$C129,$E$5+$E129,0),2),2)&gt;0,ROUND(AM128+AL129-ROUND(AK$6+IF(AK$5=$C129,$E$5+$E129,0),2),2)&lt;=AN129,ROUND(AM128+AL129-ROUND(AK$6+IF(AK$5=$C129,$E$5+$E129,0),2),2)*10&lt;=ROUND(AK$6+IF(AK$5=$C129,$E$5+$E129,0),2)),ROUND(AM128+AL129,2),MIN(ROUND(AK$6+IF(AK$5=$C129,$E$5+$E129,0),2),ROUND(AM128+AL129,2))),0)</f>
        <v>0</v>
      </c>
      <c r="AL129" s="24">
        <f>IF(AM128&gt;0,ROUND(ROUND(AM128*100,0)*ROUND(AK$7*10000,0)/12000000,0)/100,0)</f>
        <v>0</v>
      </c>
      <c r="AM129" s="24">
        <f>IF(AM128&gt;0,ROUND(AM128+AL129-AK129,2),0)</f>
        <v>0</v>
      </c>
      <c r="AN129" s="24">
        <f>IF(AM128&gt;0,ROUND(AN128+ROUND(ROUND(AN128*100,0)*ROUND(AK$7*10000,0)/12000000,0)/100+0.02,2),0)</f>
        <v>0</v>
      </c>
      <c r="AO129" s="24">
        <f>IF(AQ128&gt;0,IF(AND(ROUND(AQ128+AP129-ROUND(AO$6+IF(AO$5=$C129,$E$5+$E129,0),2),2)&gt;0,ROUND(AQ128+AP129-ROUND(AO$6+IF(AO$5=$C129,$E$5+$E129,0),2),2)&lt;=AR129,ROUND(AQ128+AP129-ROUND(AO$6+IF(AO$5=$C129,$E$5+$E129,0),2),2)*10&lt;=ROUND(AO$6+IF(AO$5=$C129,$E$5+$E129,0),2)),ROUND(AQ128+AP129,2),MIN(ROUND(AO$6+IF(AO$5=$C129,$E$5+$E129,0),2),ROUND(AQ128+AP129,2))),0)</f>
        <v>0</v>
      </c>
      <c r="AP129" s="24">
        <f>IF(AQ128&gt;0,ROUND(ROUND(AQ128*100,0)*ROUND(AO$7*10000,0)/12000000,0)/100,0)</f>
        <v>0</v>
      </c>
      <c r="AQ129" s="24">
        <f>IF(AQ128&gt;0,ROUND(AQ128+AP129-AO129,2),0)</f>
        <v>0</v>
      </c>
      <c r="AR129" s="24">
        <f>IF(AQ128&gt;0,ROUND(AR128+ROUND(ROUND(AR128*100,0)*ROUND(AO$7*10000,0)/12000000,0)/100+0.02,2),0)</f>
        <v>0</v>
      </c>
      <c r="AS129" s="24">
        <f>IF(AU128&gt;0,IF(AND(ROUND(AU128+AT129-ROUND(AS$6+IF(AS$5=$C129,$E$5+$E129,0),2),2)&gt;0,ROUND(AU128+AT129-ROUND(AS$6+IF(AS$5=$C129,$E$5+$E129,0),2),2)&lt;=AV129,ROUND(AU128+AT129-ROUND(AS$6+IF(AS$5=$C129,$E$5+$E129,0),2),2)*10&lt;=ROUND(AS$6+IF(AS$5=$C129,$E$5+$E129,0),2)),ROUND(AU128+AT129,2),MIN(ROUND(AS$6+IF(AS$5=$C129,$E$5+$E129,0),2),ROUND(AU128+AT129,2))),0)</f>
        <v>0</v>
      </c>
      <c r="AT129" s="24">
        <f>IF(AU128&gt;0,ROUND(ROUND(AU128*100,0)*ROUND(AS$7*10000,0)/12000000,0)/100,0)</f>
        <v>0</v>
      </c>
      <c r="AU129" s="24">
        <f>IF(AU128&gt;0,ROUND(AU128+AT129-AS129,2),0)</f>
        <v>0</v>
      </c>
      <c r="AV129" s="24">
        <f>IF(AU128&gt;0,ROUND(AV128+ROUND(ROUND(AV128*100,0)*ROUND(AS$7*10000,0)/12000000,0)/100+0.02,2),0)</f>
        <v>0</v>
      </c>
    </row>
    <row r="130" spans="1:48" x14ac:dyDescent="0.25">
      <c r="A130" s="17" t="str">
        <f>IF(F130&gt;0,120,"")</f>
        <v/>
      </c>
      <c r="B130" s="18" t="str">
        <f>IF(F130&gt;0,EDATE($E$6,120),"")</f>
        <v/>
      </c>
      <c r="C130" s="21">
        <f>IF(H129&gt;0,MIN(IF(K129&gt;0,I$5,99),IF(O129&gt;0,M$5,99),IF(S129&gt;0,Q$5,99),IF(W129&gt;0,U$5,99),IF(AA129&gt;0,Y$5,99),IF(AE129&gt;0,AC$5,99),IF(AI129&gt;0,AG$5,99),IF(AM129&gt;0,AK$5,99),IF(AQ129&gt;0,AO$5,99),IF(AU129&gt;0,AS$5,99)),0)</f>
        <v>0</v>
      </c>
      <c r="D130" t="str">
        <f>IF(C130&gt;0,INDEX($I$4:$AV$4,1,MATCH(C130,$I$5:$AV$5,0)),"")</f>
        <v/>
      </c>
      <c r="E130" s="24">
        <f>ROUND(IF(AND(I$8&gt;0,K129=0),I$6,0)+IF(AND(M$8&gt;0,O129=0),M$6,0)+IF(AND(Q$8&gt;0,S129=0),Q$6,0)+IF(AND(U$8&gt;0,W129=0),U$6,0)+IF(AND(Y$8&gt;0,AA129=0),Y$6,0)+IF(AND(AC$8&gt;0,AE129=0),AC$6,0)+IF(AND(AG$8&gt;0,AI129=0),AG$6,0)+IF(AND(AK$8&gt;0,AM129=0),AK$6,0)+IF(AND(AO$8&gt;0,AQ129=0),AO$6,0)+IF(AND(AS$8&gt;0,AU129=0),AS$6,0),2)</f>
        <v>325</v>
      </c>
      <c r="F130" s="24">
        <f>ROUND(I130+M130+Q130+U130+Y130+AC130+AG130+AK130+AO130+AS130,2)</f>
        <v>0</v>
      </c>
      <c r="G130" s="24">
        <f>ROUND(J130+N130+R130+V130+Z130+AD130+AH130+AL130+AP130+AT130,2)</f>
        <v>0</v>
      </c>
      <c r="H130" s="24">
        <f>ROUND(K130+O130+S130+W130+AA130+AE130+AI130+AM130+AQ130+AU130,2)</f>
        <v>0</v>
      </c>
      <c r="I130" s="24">
        <f>IF(K129&gt;0,IF(AND(ROUND(K129+J130-ROUND(I$6+IF(I$5=$C130,$E$5+$E130,0),2),2)&gt;0,ROUND(K129+J130-ROUND(I$6+IF(I$5=$C130,$E$5+$E130,0),2),2)&lt;=L130,ROUND(K129+J130-ROUND(I$6+IF(I$5=$C130,$E$5+$E130,0),2),2)*10&lt;=ROUND(I$6+IF(I$5=$C130,$E$5+$E130,0),2)),ROUND(K129+J130,2),MIN(ROUND(I$6+IF(I$5=$C130,$E$5+$E130,0),2),ROUND(K129+J130,2))),0)</f>
        <v>0</v>
      </c>
      <c r="J130" s="24">
        <f>IF(K129&gt;0,ROUND(ROUND(K129*100,0)*ROUND(I$7*10000,0)/12000000,0)/100,0)</f>
        <v>0</v>
      </c>
      <c r="K130" s="24">
        <f>IF(K129&gt;0,ROUND(K129+J130-I130,2),0)</f>
        <v>0</v>
      </c>
      <c r="L130" s="24">
        <f>IF(K129&gt;0,ROUND(L129+ROUND(ROUND(L129*100,0)*ROUND(I$7*10000,0)/12000000,0)/100+0.02,2),0)</f>
        <v>0</v>
      </c>
      <c r="M130" s="24">
        <f>IF(O129&gt;0,IF(AND(ROUND(O129+N130-ROUND(M$6+IF(M$5=$C130,$E$5+$E130,0),2),2)&gt;0,ROUND(O129+N130-ROUND(M$6+IF(M$5=$C130,$E$5+$E130,0),2),2)&lt;=P130,ROUND(O129+N130-ROUND(M$6+IF(M$5=$C130,$E$5+$E130,0),2),2)*10&lt;=ROUND(M$6+IF(M$5=$C130,$E$5+$E130,0),2)),ROUND(O129+N130,2),MIN(ROUND(M$6+IF(M$5=$C130,$E$5+$E130,0),2),ROUND(O129+N130,2))),0)</f>
        <v>0</v>
      </c>
      <c r="N130" s="24">
        <f>IF(O129&gt;0,ROUND(ROUND(O129*100,0)*ROUND(M$7*10000,0)/12000000,0)/100,0)</f>
        <v>0</v>
      </c>
      <c r="O130" s="24">
        <f>IF(O129&gt;0,ROUND(O129+N130-M130,2),0)</f>
        <v>0</v>
      </c>
      <c r="P130" s="24">
        <f>IF(O129&gt;0,ROUND(P129+ROUND(ROUND(P129*100,0)*ROUND(M$7*10000,0)/12000000,0)/100+0.02,2),0)</f>
        <v>0</v>
      </c>
      <c r="Q130" s="24">
        <f>IF(S129&gt;0,IF(AND(ROUND(S129+R130-ROUND(Q$6+IF(Q$5=$C130,$E$5+$E130,0),2),2)&gt;0,ROUND(S129+R130-ROUND(Q$6+IF(Q$5=$C130,$E$5+$E130,0),2),2)&lt;=T130,ROUND(S129+R130-ROUND(Q$6+IF(Q$5=$C130,$E$5+$E130,0),2),2)*10&lt;=ROUND(Q$6+IF(Q$5=$C130,$E$5+$E130,0),2)),ROUND(S129+R130,2),MIN(ROUND(Q$6+IF(Q$5=$C130,$E$5+$E130,0),2),ROUND(S129+R130,2))),0)</f>
        <v>0</v>
      </c>
      <c r="R130" s="24">
        <f>IF(S129&gt;0,ROUND(ROUND(S129*100,0)*ROUND(Q$7*10000,0)/12000000,0)/100,0)</f>
        <v>0</v>
      </c>
      <c r="S130" s="24">
        <f>IF(S129&gt;0,ROUND(S129+R130-Q130,2),0)</f>
        <v>0</v>
      </c>
      <c r="T130" s="24">
        <f>IF(S129&gt;0,ROUND(T129+ROUND(ROUND(T129*100,0)*ROUND(Q$7*10000,0)/12000000,0)/100+0.02,2),0)</f>
        <v>0</v>
      </c>
      <c r="U130" s="24">
        <f>IF(W129&gt;0,IF(AND(ROUND(W129+V130-ROUND(U$6+IF(U$5=$C130,$E$5+$E130,0),2),2)&gt;0,ROUND(W129+V130-ROUND(U$6+IF(U$5=$C130,$E$5+$E130,0),2),2)&lt;=X130,ROUND(W129+V130-ROUND(U$6+IF(U$5=$C130,$E$5+$E130,0),2),2)*10&lt;=ROUND(U$6+IF(U$5=$C130,$E$5+$E130,0),2)),ROUND(W129+V130,2),MIN(ROUND(U$6+IF(U$5=$C130,$E$5+$E130,0),2),ROUND(W129+V130,2))),0)</f>
        <v>0</v>
      </c>
      <c r="V130" s="24">
        <f>IF(W129&gt;0,ROUND(ROUND(W129*100,0)*ROUND(U$7*10000,0)/12000000,0)/100,0)</f>
        <v>0</v>
      </c>
      <c r="W130" s="24">
        <f>IF(W129&gt;0,ROUND(W129+V130-U130,2),0)</f>
        <v>0</v>
      </c>
      <c r="X130" s="24">
        <f>IF(W129&gt;0,ROUND(X129+ROUND(ROUND(X129*100,0)*ROUND(U$7*10000,0)/12000000,0)/100+0.02,2),0)</f>
        <v>0</v>
      </c>
      <c r="Y130" s="24">
        <f>IF(AA129&gt;0,IF(AND(ROUND(AA129+Z130-ROUND(Y$6+IF(Y$5=$C130,$E$5+$E130,0),2),2)&gt;0,ROUND(AA129+Z130-ROUND(Y$6+IF(Y$5=$C130,$E$5+$E130,0),2),2)&lt;=AB130,ROUND(AA129+Z130-ROUND(Y$6+IF(Y$5=$C130,$E$5+$E130,0),2),2)*10&lt;=ROUND(Y$6+IF(Y$5=$C130,$E$5+$E130,0),2)),ROUND(AA129+Z130,2),MIN(ROUND(Y$6+IF(Y$5=$C130,$E$5+$E130,0),2),ROUND(AA129+Z130,2))),0)</f>
        <v>0</v>
      </c>
      <c r="Z130" s="24">
        <f>IF(AA129&gt;0,ROUND(ROUND(AA129*100,0)*ROUND(Y$7*10000,0)/12000000,0)/100,0)</f>
        <v>0</v>
      </c>
      <c r="AA130" s="24">
        <f>IF(AA129&gt;0,ROUND(AA129+Z130-Y130,2),0)</f>
        <v>0</v>
      </c>
      <c r="AB130" s="24">
        <f>IF(AA129&gt;0,ROUND(AB129+ROUND(ROUND(AB129*100,0)*ROUND(Y$7*10000,0)/12000000,0)/100+0.02,2),0)</f>
        <v>0</v>
      </c>
      <c r="AC130" s="24">
        <f>IF(AE129&gt;0,IF(AND(ROUND(AE129+AD130-ROUND(AC$6+IF(AC$5=$C130,$E$5+$E130,0),2),2)&gt;0,ROUND(AE129+AD130-ROUND(AC$6+IF(AC$5=$C130,$E$5+$E130,0),2),2)&lt;=AF130,ROUND(AE129+AD130-ROUND(AC$6+IF(AC$5=$C130,$E$5+$E130,0),2),2)*10&lt;=ROUND(AC$6+IF(AC$5=$C130,$E$5+$E130,0),2)),ROUND(AE129+AD130,2),MIN(ROUND(AC$6+IF(AC$5=$C130,$E$5+$E130,0),2),ROUND(AE129+AD130,2))),0)</f>
        <v>0</v>
      </c>
      <c r="AD130" s="24">
        <f>IF(AE129&gt;0,ROUND(ROUND(AE129*100,0)*ROUND(AC$7*10000,0)/12000000,0)/100,0)</f>
        <v>0</v>
      </c>
      <c r="AE130" s="24">
        <f>IF(AE129&gt;0,ROUND(AE129+AD130-AC130,2),0)</f>
        <v>0</v>
      </c>
      <c r="AF130" s="24">
        <f>IF(AE129&gt;0,ROUND(AF129+ROUND(ROUND(AF129*100,0)*ROUND(AC$7*10000,0)/12000000,0)/100+0.02,2),0)</f>
        <v>0</v>
      </c>
      <c r="AG130" s="24">
        <f>IF(AI129&gt;0,IF(AND(ROUND(AI129+AH130-ROUND(AG$6+IF(AG$5=$C130,$E$5+$E130,0),2),2)&gt;0,ROUND(AI129+AH130-ROUND(AG$6+IF(AG$5=$C130,$E$5+$E130,0),2),2)&lt;=AJ130,ROUND(AI129+AH130-ROUND(AG$6+IF(AG$5=$C130,$E$5+$E130,0),2),2)*10&lt;=ROUND(AG$6+IF(AG$5=$C130,$E$5+$E130,0),2)),ROUND(AI129+AH130,2),MIN(ROUND(AG$6+IF(AG$5=$C130,$E$5+$E130,0),2),ROUND(AI129+AH130,2))),0)</f>
        <v>0</v>
      </c>
      <c r="AH130" s="24">
        <f>IF(AI129&gt;0,ROUND(ROUND(AI129*100,0)*ROUND(AG$7*10000,0)/12000000,0)/100,0)</f>
        <v>0</v>
      </c>
      <c r="AI130" s="24">
        <f>IF(AI129&gt;0,ROUND(AI129+AH130-AG130,2),0)</f>
        <v>0</v>
      </c>
      <c r="AJ130" s="24">
        <f>IF(AI129&gt;0,ROUND(AJ129+ROUND(ROUND(AJ129*100,0)*ROUND(AG$7*10000,0)/12000000,0)/100+0.02,2),0)</f>
        <v>0</v>
      </c>
      <c r="AK130" s="24">
        <f>IF(AM129&gt;0,IF(AND(ROUND(AM129+AL130-ROUND(AK$6+IF(AK$5=$C130,$E$5+$E130,0),2),2)&gt;0,ROUND(AM129+AL130-ROUND(AK$6+IF(AK$5=$C130,$E$5+$E130,0),2),2)&lt;=AN130,ROUND(AM129+AL130-ROUND(AK$6+IF(AK$5=$C130,$E$5+$E130,0),2),2)*10&lt;=ROUND(AK$6+IF(AK$5=$C130,$E$5+$E130,0),2)),ROUND(AM129+AL130,2),MIN(ROUND(AK$6+IF(AK$5=$C130,$E$5+$E130,0),2),ROUND(AM129+AL130,2))),0)</f>
        <v>0</v>
      </c>
      <c r="AL130" s="24">
        <f>IF(AM129&gt;0,ROUND(ROUND(AM129*100,0)*ROUND(AK$7*10000,0)/12000000,0)/100,0)</f>
        <v>0</v>
      </c>
      <c r="AM130" s="24">
        <f>IF(AM129&gt;0,ROUND(AM129+AL130-AK130,2),0)</f>
        <v>0</v>
      </c>
      <c r="AN130" s="24">
        <f>IF(AM129&gt;0,ROUND(AN129+ROUND(ROUND(AN129*100,0)*ROUND(AK$7*10000,0)/12000000,0)/100+0.02,2),0)</f>
        <v>0</v>
      </c>
      <c r="AO130" s="24">
        <f>IF(AQ129&gt;0,IF(AND(ROUND(AQ129+AP130-ROUND(AO$6+IF(AO$5=$C130,$E$5+$E130,0),2),2)&gt;0,ROUND(AQ129+AP130-ROUND(AO$6+IF(AO$5=$C130,$E$5+$E130,0),2),2)&lt;=AR130,ROUND(AQ129+AP130-ROUND(AO$6+IF(AO$5=$C130,$E$5+$E130,0),2),2)*10&lt;=ROUND(AO$6+IF(AO$5=$C130,$E$5+$E130,0),2)),ROUND(AQ129+AP130,2),MIN(ROUND(AO$6+IF(AO$5=$C130,$E$5+$E130,0),2),ROUND(AQ129+AP130,2))),0)</f>
        <v>0</v>
      </c>
      <c r="AP130" s="24">
        <f>IF(AQ129&gt;0,ROUND(ROUND(AQ129*100,0)*ROUND(AO$7*10000,0)/12000000,0)/100,0)</f>
        <v>0</v>
      </c>
      <c r="AQ130" s="24">
        <f>IF(AQ129&gt;0,ROUND(AQ129+AP130-AO130,2),0)</f>
        <v>0</v>
      </c>
      <c r="AR130" s="24">
        <f>IF(AQ129&gt;0,ROUND(AR129+ROUND(ROUND(AR129*100,0)*ROUND(AO$7*10000,0)/12000000,0)/100+0.02,2),0)</f>
        <v>0</v>
      </c>
      <c r="AS130" s="24">
        <f>IF(AU129&gt;0,IF(AND(ROUND(AU129+AT130-ROUND(AS$6+IF(AS$5=$C130,$E$5+$E130,0),2),2)&gt;0,ROUND(AU129+AT130-ROUND(AS$6+IF(AS$5=$C130,$E$5+$E130,0),2),2)&lt;=AV130,ROUND(AU129+AT130-ROUND(AS$6+IF(AS$5=$C130,$E$5+$E130,0),2),2)*10&lt;=ROUND(AS$6+IF(AS$5=$C130,$E$5+$E130,0),2)),ROUND(AU129+AT130,2),MIN(ROUND(AS$6+IF(AS$5=$C130,$E$5+$E130,0),2),ROUND(AU129+AT130,2))),0)</f>
        <v>0</v>
      </c>
      <c r="AT130" s="24">
        <f>IF(AU129&gt;0,ROUND(ROUND(AU129*100,0)*ROUND(AS$7*10000,0)/12000000,0)/100,0)</f>
        <v>0</v>
      </c>
      <c r="AU130" s="24">
        <f>IF(AU129&gt;0,ROUND(AU129+AT130-AS130,2),0)</f>
        <v>0</v>
      </c>
      <c r="AV130" s="24">
        <f>IF(AU129&gt;0,ROUND(AV129+ROUND(ROUND(AV129*100,0)*ROUND(AS$7*10000,0)/12000000,0)/100+0.02,2),0)</f>
        <v>0</v>
      </c>
    </row>
    <row r="131" spans="1:48" x14ac:dyDescent="0.25">
      <c r="A131" s="17" t="str">
        <f>IF(F131&gt;0,121,"")</f>
        <v/>
      </c>
      <c r="B131" s="18" t="str">
        <f>IF(F131&gt;0,EDATE($E$6,121),"")</f>
        <v/>
      </c>
      <c r="C131" s="21">
        <f>IF(H130&gt;0,MIN(IF(K130&gt;0,I$5,99),IF(O130&gt;0,M$5,99),IF(S130&gt;0,Q$5,99),IF(W130&gt;0,U$5,99),IF(AA130&gt;0,Y$5,99),IF(AE130&gt;0,AC$5,99),IF(AI130&gt;0,AG$5,99),IF(AM130&gt;0,AK$5,99),IF(AQ130&gt;0,AO$5,99),IF(AU130&gt;0,AS$5,99)),0)</f>
        <v>0</v>
      </c>
      <c r="D131" t="str">
        <f>IF(C131&gt;0,INDEX($I$4:$AV$4,1,MATCH(C131,$I$5:$AV$5,0)),"")</f>
        <v/>
      </c>
      <c r="E131" s="24">
        <f>ROUND(IF(AND(I$8&gt;0,K130=0),I$6,0)+IF(AND(M$8&gt;0,O130=0),M$6,0)+IF(AND(Q$8&gt;0,S130=0),Q$6,0)+IF(AND(U$8&gt;0,W130=0),U$6,0)+IF(AND(Y$8&gt;0,AA130=0),Y$6,0)+IF(AND(AC$8&gt;0,AE130=0),AC$6,0)+IF(AND(AG$8&gt;0,AI130=0),AG$6,0)+IF(AND(AK$8&gt;0,AM130=0),AK$6,0)+IF(AND(AO$8&gt;0,AQ130=0),AO$6,0)+IF(AND(AS$8&gt;0,AU130=0),AS$6,0),2)</f>
        <v>325</v>
      </c>
      <c r="F131" s="24">
        <f>ROUND(I131+M131+Q131+U131+Y131+AC131+AG131+AK131+AO131+AS131,2)</f>
        <v>0</v>
      </c>
      <c r="G131" s="24">
        <f>ROUND(J131+N131+R131+V131+Z131+AD131+AH131+AL131+AP131+AT131,2)</f>
        <v>0</v>
      </c>
      <c r="H131" s="24">
        <f>ROUND(K131+O131+S131+W131+AA131+AE131+AI131+AM131+AQ131+AU131,2)</f>
        <v>0</v>
      </c>
      <c r="I131" s="24">
        <f>IF(K130&gt;0,IF(AND(ROUND(K130+J131-ROUND(I$6+IF(I$5=$C131,$E$5+$E131,0),2),2)&gt;0,ROUND(K130+J131-ROUND(I$6+IF(I$5=$C131,$E$5+$E131,0),2),2)&lt;=L131,ROUND(K130+J131-ROUND(I$6+IF(I$5=$C131,$E$5+$E131,0),2),2)*10&lt;=ROUND(I$6+IF(I$5=$C131,$E$5+$E131,0),2)),ROUND(K130+J131,2),MIN(ROUND(I$6+IF(I$5=$C131,$E$5+$E131,0),2),ROUND(K130+J131,2))),0)</f>
        <v>0</v>
      </c>
      <c r="J131" s="24">
        <f>IF(K130&gt;0,ROUND(ROUND(K130*100,0)*ROUND(I$7*10000,0)/12000000,0)/100,0)</f>
        <v>0</v>
      </c>
      <c r="K131" s="24">
        <f>IF(K130&gt;0,ROUND(K130+J131-I131,2),0)</f>
        <v>0</v>
      </c>
      <c r="L131" s="24">
        <f>IF(K130&gt;0,ROUND(L130+ROUND(ROUND(L130*100,0)*ROUND(I$7*10000,0)/12000000,0)/100+0.02,2),0)</f>
        <v>0</v>
      </c>
      <c r="M131" s="24">
        <f>IF(O130&gt;0,IF(AND(ROUND(O130+N131-ROUND(M$6+IF(M$5=$C131,$E$5+$E131,0),2),2)&gt;0,ROUND(O130+N131-ROUND(M$6+IF(M$5=$C131,$E$5+$E131,0),2),2)&lt;=P131,ROUND(O130+N131-ROUND(M$6+IF(M$5=$C131,$E$5+$E131,0),2),2)*10&lt;=ROUND(M$6+IF(M$5=$C131,$E$5+$E131,0),2)),ROUND(O130+N131,2),MIN(ROUND(M$6+IF(M$5=$C131,$E$5+$E131,0),2),ROUND(O130+N131,2))),0)</f>
        <v>0</v>
      </c>
      <c r="N131" s="24">
        <f>IF(O130&gt;0,ROUND(ROUND(O130*100,0)*ROUND(M$7*10000,0)/12000000,0)/100,0)</f>
        <v>0</v>
      </c>
      <c r="O131" s="24">
        <f>IF(O130&gt;0,ROUND(O130+N131-M131,2),0)</f>
        <v>0</v>
      </c>
      <c r="P131" s="24">
        <f>IF(O130&gt;0,ROUND(P130+ROUND(ROUND(P130*100,0)*ROUND(M$7*10000,0)/12000000,0)/100+0.02,2),0)</f>
        <v>0</v>
      </c>
      <c r="Q131" s="24">
        <f>IF(S130&gt;0,IF(AND(ROUND(S130+R131-ROUND(Q$6+IF(Q$5=$C131,$E$5+$E131,0),2),2)&gt;0,ROUND(S130+R131-ROUND(Q$6+IF(Q$5=$C131,$E$5+$E131,0),2),2)&lt;=T131,ROUND(S130+R131-ROUND(Q$6+IF(Q$5=$C131,$E$5+$E131,0),2),2)*10&lt;=ROUND(Q$6+IF(Q$5=$C131,$E$5+$E131,0),2)),ROUND(S130+R131,2),MIN(ROUND(Q$6+IF(Q$5=$C131,$E$5+$E131,0),2),ROUND(S130+R131,2))),0)</f>
        <v>0</v>
      </c>
      <c r="R131" s="24">
        <f>IF(S130&gt;0,ROUND(ROUND(S130*100,0)*ROUND(Q$7*10000,0)/12000000,0)/100,0)</f>
        <v>0</v>
      </c>
      <c r="S131" s="24">
        <f>IF(S130&gt;0,ROUND(S130+R131-Q131,2),0)</f>
        <v>0</v>
      </c>
      <c r="T131" s="24">
        <f>IF(S130&gt;0,ROUND(T130+ROUND(ROUND(T130*100,0)*ROUND(Q$7*10000,0)/12000000,0)/100+0.02,2),0)</f>
        <v>0</v>
      </c>
      <c r="U131" s="24">
        <f>IF(W130&gt;0,IF(AND(ROUND(W130+V131-ROUND(U$6+IF(U$5=$C131,$E$5+$E131,0),2),2)&gt;0,ROUND(W130+V131-ROUND(U$6+IF(U$5=$C131,$E$5+$E131,0),2),2)&lt;=X131,ROUND(W130+V131-ROUND(U$6+IF(U$5=$C131,$E$5+$E131,0),2),2)*10&lt;=ROUND(U$6+IF(U$5=$C131,$E$5+$E131,0),2)),ROUND(W130+V131,2),MIN(ROUND(U$6+IF(U$5=$C131,$E$5+$E131,0),2),ROUND(W130+V131,2))),0)</f>
        <v>0</v>
      </c>
      <c r="V131" s="24">
        <f>IF(W130&gt;0,ROUND(ROUND(W130*100,0)*ROUND(U$7*10000,0)/12000000,0)/100,0)</f>
        <v>0</v>
      </c>
      <c r="W131" s="24">
        <f>IF(W130&gt;0,ROUND(W130+V131-U131,2),0)</f>
        <v>0</v>
      </c>
      <c r="X131" s="24">
        <f>IF(W130&gt;0,ROUND(X130+ROUND(ROUND(X130*100,0)*ROUND(U$7*10000,0)/12000000,0)/100+0.02,2),0)</f>
        <v>0</v>
      </c>
      <c r="Y131" s="24">
        <f>IF(AA130&gt;0,IF(AND(ROUND(AA130+Z131-ROUND(Y$6+IF(Y$5=$C131,$E$5+$E131,0),2),2)&gt;0,ROUND(AA130+Z131-ROUND(Y$6+IF(Y$5=$C131,$E$5+$E131,0),2),2)&lt;=AB131,ROUND(AA130+Z131-ROUND(Y$6+IF(Y$5=$C131,$E$5+$E131,0),2),2)*10&lt;=ROUND(Y$6+IF(Y$5=$C131,$E$5+$E131,0),2)),ROUND(AA130+Z131,2),MIN(ROUND(Y$6+IF(Y$5=$C131,$E$5+$E131,0),2),ROUND(AA130+Z131,2))),0)</f>
        <v>0</v>
      </c>
      <c r="Z131" s="24">
        <f>IF(AA130&gt;0,ROUND(ROUND(AA130*100,0)*ROUND(Y$7*10000,0)/12000000,0)/100,0)</f>
        <v>0</v>
      </c>
      <c r="AA131" s="24">
        <f>IF(AA130&gt;0,ROUND(AA130+Z131-Y131,2),0)</f>
        <v>0</v>
      </c>
      <c r="AB131" s="24">
        <f>IF(AA130&gt;0,ROUND(AB130+ROUND(ROUND(AB130*100,0)*ROUND(Y$7*10000,0)/12000000,0)/100+0.02,2),0)</f>
        <v>0</v>
      </c>
      <c r="AC131" s="24">
        <f>IF(AE130&gt;0,IF(AND(ROUND(AE130+AD131-ROUND(AC$6+IF(AC$5=$C131,$E$5+$E131,0),2),2)&gt;0,ROUND(AE130+AD131-ROUND(AC$6+IF(AC$5=$C131,$E$5+$E131,0),2),2)&lt;=AF131,ROUND(AE130+AD131-ROUND(AC$6+IF(AC$5=$C131,$E$5+$E131,0),2),2)*10&lt;=ROUND(AC$6+IF(AC$5=$C131,$E$5+$E131,0),2)),ROUND(AE130+AD131,2),MIN(ROUND(AC$6+IF(AC$5=$C131,$E$5+$E131,0),2),ROUND(AE130+AD131,2))),0)</f>
        <v>0</v>
      </c>
      <c r="AD131" s="24">
        <f>IF(AE130&gt;0,ROUND(ROUND(AE130*100,0)*ROUND(AC$7*10000,0)/12000000,0)/100,0)</f>
        <v>0</v>
      </c>
      <c r="AE131" s="24">
        <f>IF(AE130&gt;0,ROUND(AE130+AD131-AC131,2),0)</f>
        <v>0</v>
      </c>
      <c r="AF131" s="24">
        <f>IF(AE130&gt;0,ROUND(AF130+ROUND(ROUND(AF130*100,0)*ROUND(AC$7*10000,0)/12000000,0)/100+0.02,2),0)</f>
        <v>0</v>
      </c>
      <c r="AG131" s="24">
        <f>IF(AI130&gt;0,IF(AND(ROUND(AI130+AH131-ROUND(AG$6+IF(AG$5=$C131,$E$5+$E131,0),2),2)&gt;0,ROUND(AI130+AH131-ROUND(AG$6+IF(AG$5=$C131,$E$5+$E131,0),2),2)&lt;=AJ131,ROUND(AI130+AH131-ROUND(AG$6+IF(AG$5=$C131,$E$5+$E131,0),2),2)*10&lt;=ROUND(AG$6+IF(AG$5=$C131,$E$5+$E131,0),2)),ROUND(AI130+AH131,2),MIN(ROUND(AG$6+IF(AG$5=$C131,$E$5+$E131,0),2),ROUND(AI130+AH131,2))),0)</f>
        <v>0</v>
      </c>
      <c r="AH131" s="24">
        <f>IF(AI130&gt;0,ROUND(ROUND(AI130*100,0)*ROUND(AG$7*10000,0)/12000000,0)/100,0)</f>
        <v>0</v>
      </c>
      <c r="AI131" s="24">
        <f>IF(AI130&gt;0,ROUND(AI130+AH131-AG131,2),0)</f>
        <v>0</v>
      </c>
      <c r="AJ131" s="24">
        <f>IF(AI130&gt;0,ROUND(AJ130+ROUND(ROUND(AJ130*100,0)*ROUND(AG$7*10000,0)/12000000,0)/100+0.02,2),0)</f>
        <v>0</v>
      </c>
      <c r="AK131" s="24">
        <f>IF(AM130&gt;0,IF(AND(ROUND(AM130+AL131-ROUND(AK$6+IF(AK$5=$C131,$E$5+$E131,0),2),2)&gt;0,ROUND(AM130+AL131-ROUND(AK$6+IF(AK$5=$C131,$E$5+$E131,0),2),2)&lt;=AN131,ROUND(AM130+AL131-ROUND(AK$6+IF(AK$5=$C131,$E$5+$E131,0),2),2)*10&lt;=ROUND(AK$6+IF(AK$5=$C131,$E$5+$E131,0),2)),ROUND(AM130+AL131,2),MIN(ROUND(AK$6+IF(AK$5=$C131,$E$5+$E131,0),2),ROUND(AM130+AL131,2))),0)</f>
        <v>0</v>
      </c>
      <c r="AL131" s="24">
        <f>IF(AM130&gt;0,ROUND(ROUND(AM130*100,0)*ROUND(AK$7*10000,0)/12000000,0)/100,0)</f>
        <v>0</v>
      </c>
      <c r="AM131" s="24">
        <f>IF(AM130&gt;0,ROUND(AM130+AL131-AK131,2),0)</f>
        <v>0</v>
      </c>
      <c r="AN131" s="24">
        <f>IF(AM130&gt;0,ROUND(AN130+ROUND(ROUND(AN130*100,0)*ROUND(AK$7*10000,0)/12000000,0)/100+0.02,2),0)</f>
        <v>0</v>
      </c>
      <c r="AO131" s="24">
        <f>IF(AQ130&gt;0,IF(AND(ROUND(AQ130+AP131-ROUND(AO$6+IF(AO$5=$C131,$E$5+$E131,0),2),2)&gt;0,ROUND(AQ130+AP131-ROUND(AO$6+IF(AO$5=$C131,$E$5+$E131,0),2),2)&lt;=AR131,ROUND(AQ130+AP131-ROUND(AO$6+IF(AO$5=$C131,$E$5+$E131,0),2),2)*10&lt;=ROUND(AO$6+IF(AO$5=$C131,$E$5+$E131,0),2)),ROUND(AQ130+AP131,2),MIN(ROUND(AO$6+IF(AO$5=$C131,$E$5+$E131,0),2),ROUND(AQ130+AP131,2))),0)</f>
        <v>0</v>
      </c>
      <c r="AP131" s="24">
        <f>IF(AQ130&gt;0,ROUND(ROUND(AQ130*100,0)*ROUND(AO$7*10000,0)/12000000,0)/100,0)</f>
        <v>0</v>
      </c>
      <c r="AQ131" s="24">
        <f>IF(AQ130&gt;0,ROUND(AQ130+AP131-AO131,2),0)</f>
        <v>0</v>
      </c>
      <c r="AR131" s="24">
        <f>IF(AQ130&gt;0,ROUND(AR130+ROUND(ROUND(AR130*100,0)*ROUND(AO$7*10000,0)/12000000,0)/100+0.02,2),0)</f>
        <v>0</v>
      </c>
      <c r="AS131" s="24">
        <f>IF(AU130&gt;0,IF(AND(ROUND(AU130+AT131-ROUND(AS$6+IF(AS$5=$C131,$E$5+$E131,0),2),2)&gt;0,ROUND(AU130+AT131-ROUND(AS$6+IF(AS$5=$C131,$E$5+$E131,0),2),2)&lt;=AV131,ROUND(AU130+AT131-ROUND(AS$6+IF(AS$5=$C131,$E$5+$E131,0),2),2)*10&lt;=ROUND(AS$6+IF(AS$5=$C131,$E$5+$E131,0),2)),ROUND(AU130+AT131,2),MIN(ROUND(AS$6+IF(AS$5=$C131,$E$5+$E131,0),2),ROUND(AU130+AT131,2))),0)</f>
        <v>0</v>
      </c>
      <c r="AT131" s="24">
        <f>IF(AU130&gt;0,ROUND(ROUND(AU130*100,0)*ROUND(AS$7*10000,0)/12000000,0)/100,0)</f>
        <v>0</v>
      </c>
      <c r="AU131" s="24">
        <f>IF(AU130&gt;0,ROUND(AU130+AT131-AS131,2),0)</f>
        <v>0</v>
      </c>
      <c r="AV131" s="24">
        <f>IF(AU130&gt;0,ROUND(AV130+ROUND(ROUND(AV130*100,0)*ROUND(AS$7*10000,0)/12000000,0)/100+0.02,2),0)</f>
        <v>0</v>
      </c>
    </row>
    <row r="132" spans="1:48" x14ac:dyDescent="0.25">
      <c r="A132" s="17" t="str">
        <f>IF(F132&gt;0,122,"")</f>
        <v/>
      </c>
      <c r="B132" s="18" t="str">
        <f>IF(F132&gt;0,EDATE($E$6,122),"")</f>
        <v/>
      </c>
      <c r="C132" s="21">
        <f>IF(H131&gt;0,MIN(IF(K131&gt;0,I$5,99),IF(O131&gt;0,M$5,99),IF(S131&gt;0,Q$5,99),IF(W131&gt;0,U$5,99),IF(AA131&gt;0,Y$5,99),IF(AE131&gt;0,AC$5,99),IF(AI131&gt;0,AG$5,99),IF(AM131&gt;0,AK$5,99),IF(AQ131&gt;0,AO$5,99),IF(AU131&gt;0,AS$5,99)),0)</f>
        <v>0</v>
      </c>
      <c r="D132" t="str">
        <f>IF(C132&gt;0,INDEX($I$4:$AV$4,1,MATCH(C132,$I$5:$AV$5,0)),"")</f>
        <v/>
      </c>
      <c r="E132" s="24">
        <f>ROUND(IF(AND(I$8&gt;0,K131=0),I$6,0)+IF(AND(M$8&gt;0,O131=0),M$6,0)+IF(AND(Q$8&gt;0,S131=0),Q$6,0)+IF(AND(U$8&gt;0,W131=0),U$6,0)+IF(AND(Y$8&gt;0,AA131=0),Y$6,0)+IF(AND(AC$8&gt;0,AE131=0),AC$6,0)+IF(AND(AG$8&gt;0,AI131=0),AG$6,0)+IF(AND(AK$8&gt;0,AM131=0),AK$6,0)+IF(AND(AO$8&gt;0,AQ131=0),AO$6,0)+IF(AND(AS$8&gt;0,AU131=0),AS$6,0),2)</f>
        <v>325</v>
      </c>
      <c r="F132" s="24">
        <f>ROUND(I132+M132+Q132+U132+Y132+AC132+AG132+AK132+AO132+AS132,2)</f>
        <v>0</v>
      </c>
      <c r="G132" s="24">
        <f>ROUND(J132+N132+R132+V132+Z132+AD132+AH132+AL132+AP132+AT132,2)</f>
        <v>0</v>
      </c>
      <c r="H132" s="24">
        <f>ROUND(K132+O132+S132+W132+AA132+AE132+AI132+AM132+AQ132+AU132,2)</f>
        <v>0</v>
      </c>
      <c r="I132" s="24">
        <f>IF(K131&gt;0,IF(AND(ROUND(K131+J132-ROUND(I$6+IF(I$5=$C132,$E$5+$E132,0),2),2)&gt;0,ROUND(K131+J132-ROUND(I$6+IF(I$5=$C132,$E$5+$E132,0),2),2)&lt;=L132,ROUND(K131+J132-ROUND(I$6+IF(I$5=$C132,$E$5+$E132,0),2),2)*10&lt;=ROUND(I$6+IF(I$5=$C132,$E$5+$E132,0),2)),ROUND(K131+J132,2),MIN(ROUND(I$6+IF(I$5=$C132,$E$5+$E132,0),2),ROUND(K131+J132,2))),0)</f>
        <v>0</v>
      </c>
      <c r="J132" s="24">
        <f>IF(K131&gt;0,ROUND(ROUND(K131*100,0)*ROUND(I$7*10000,0)/12000000,0)/100,0)</f>
        <v>0</v>
      </c>
      <c r="K132" s="24">
        <f>IF(K131&gt;0,ROUND(K131+J132-I132,2),0)</f>
        <v>0</v>
      </c>
      <c r="L132" s="24">
        <f>IF(K131&gt;0,ROUND(L131+ROUND(ROUND(L131*100,0)*ROUND(I$7*10000,0)/12000000,0)/100+0.02,2),0)</f>
        <v>0</v>
      </c>
      <c r="M132" s="24">
        <f>IF(O131&gt;0,IF(AND(ROUND(O131+N132-ROUND(M$6+IF(M$5=$C132,$E$5+$E132,0),2),2)&gt;0,ROUND(O131+N132-ROUND(M$6+IF(M$5=$C132,$E$5+$E132,0),2),2)&lt;=P132,ROUND(O131+N132-ROUND(M$6+IF(M$5=$C132,$E$5+$E132,0),2),2)*10&lt;=ROUND(M$6+IF(M$5=$C132,$E$5+$E132,0),2)),ROUND(O131+N132,2),MIN(ROUND(M$6+IF(M$5=$C132,$E$5+$E132,0),2),ROUND(O131+N132,2))),0)</f>
        <v>0</v>
      </c>
      <c r="N132" s="24">
        <f>IF(O131&gt;0,ROUND(ROUND(O131*100,0)*ROUND(M$7*10000,0)/12000000,0)/100,0)</f>
        <v>0</v>
      </c>
      <c r="O132" s="24">
        <f>IF(O131&gt;0,ROUND(O131+N132-M132,2),0)</f>
        <v>0</v>
      </c>
      <c r="P132" s="24">
        <f>IF(O131&gt;0,ROUND(P131+ROUND(ROUND(P131*100,0)*ROUND(M$7*10000,0)/12000000,0)/100+0.02,2),0)</f>
        <v>0</v>
      </c>
      <c r="Q132" s="24">
        <f>IF(S131&gt;0,IF(AND(ROUND(S131+R132-ROUND(Q$6+IF(Q$5=$C132,$E$5+$E132,0),2),2)&gt;0,ROUND(S131+R132-ROUND(Q$6+IF(Q$5=$C132,$E$5+$E132,0),2),2)&lt;=T132,ROUND(S131+R132-ROUND(Q$6+IF(Q$5=$C132,$E$5+$E132,0),2),2)*10&lt;=ROUND(Q$6+IF(Q$5=$C132,$E$5+$E132,0),2)),ROUND(S131+R132,2),MIN(ROUND(Q$6+IF(Q$5=$C132,$E$5+$E132,0),2),ROUND(S131+R132,2))),0)</f>
        <v>0</v>
      </c>
      <c r="R132" s="24">
        <f>IF(S131&gt;0,ROUND(ROUND(S131*100,0)*ROUND(Q$7*10000,0)/12000000,0)/100,0)</f>
        <v>0</v>
      </c>
      <c r="S132" s="24">
        <f>IF(S131&gt;0,ROUND(S131+R132-Q132,2),0)</f>
        <v>0</v>
      </c>
      <c r="T132" s="24">
        <f>IF(S131&gt;0,ROUND(T131+ROUND(ROUND(T131*100,0)*ROUND(Q$7*10000,0)/12000000,0)/100+0.02,2),0)</f>
        <v>0</v>
      </c>
      <c r="U132" s="24">
        <f>IF(W131&gt;0,IF(AND(ROUND(W131+V132-ROUND(U$6+IF(U$5=$C132,$E$5+$E132,0),2),2)&gt;0,ROUND(W131+V132-ROUND(U$6+IF(U$5=$C132,$E$5+$E132,0),2),2)&lt;=X132,ROUND(W131+V132-ROUND(U$6+IF(U$5=$C132,$E$5+$E132,0),2),2)*10&lt;=ROUND(U$6+IF(U$5=$C132,$E$5+$E132,0),2)),ROUND(W131+V132,2),MIN(ROUND(U$6+IF(U$5=$C132,$E$5+$E132,0),2),ROUND(W131+V132,2))),0)</f>
        <v>0</v>
      </c>
      <c r="V132" s="24">
        <f>IF(W131&gt;0,ROUND(ROUND(W131*100,0)*ROUND(U$7*10000,0)/12000000,0)/100,0)</f>
        <v>0</v>
      </c>
      <c r="W132" s="24">
        <f>IF(W131&gt;0,ROUND(W131+V132-U132,2),0)</f>
        <v>0</v>
      </c>
      <c r="X132" s="24">
        <f>IF(W131&gt;0,ROUND(X131+ROUND(ROUND(X131*100,0)*ROUND(U$7*10000,0)/12000000,0)/100+0.02,2),0)</f>
        <v>0</v>
      </c>
      <c r="Y132" s="24">
        <f>IF(AA131&gt;0,IF(AND(ROUND(AA131+Z132-ROUND(Y$6+IF(Y$5=$C132,$E$5+$E132,0),2),2)&gt;0,ROUND(AA131+Z132-ROUND(Y$6+IF(Y$5=$C132,$E$5+$E132,0),2),2)&lt;=AB132,ROUND(AA131+Z132-ROUND(Y$6+IF(Y$5=$C132,$E$5+$E132,0),2),2)*10&lt;=ROUND(Y$6+IF(Y$5=$C132,$E$5+$E132,0),2)),ROUND(AA131+Z132,2),MIN(ROUND(Y$6+IF(Y$5=$C132,$E$5+$E132,0),2),ROUND(AA131+Z132,2))),0)</f>
        <v>0</v>
      </c>
      <c r="Z132" s="24">
        <f>IF(AA131&gt;0,ROUND(ROUND(AA131*100,0)*ROUND(Y$7*10000,0)/12000000,0)/100,0)</f>
        <v>0</v>
      </c>
      <c r="AA132" s="24">
        <f>IF(AA131&gt;0,ROUND(AA131+Z132-Y132,2),0)</f>
        <v>0</v>
      </c>
      <c r="AB132" s="24">
        <f>IF(AA131&gt;0,ROUND(AB131+ROUND(ROUND(AB131*100,0)*ROUND(Y$7*10000,0)/12000000,0)/100+0.02,2),0)</f>
        <v>0</v>
      </c>
      <c r="AC132" s="24">
        <f>IF(AE131&gt;0,IF(AND(ROUND(AE131+AD132-ROUND(AC$6+IF(AC$5=$C132,$E$5+$E132,0),2),2)&gt;0,ROUND(AE131+AD132-ROUND(AC$6+IF(AC$5=$C132,$E$5+$E132,0),2),2)&lt;=AF132,ROUND(AE131+AD132-ROUND(AC$6+IF(AC$5=$C132,$E$5+$E132,0),2),2)*10&lt;=ROUND(AC$6+IF(AC$5=$C132,$E$5+$E132,0),2)),ROUND(AE131+AD132,2),MIN(ROUND(AC$6+IF(AC$5=$C132,$E$5+$E132,0),2),ROUND(AE131+AD132,2))),0)</f>
        <v>0</v>
      </c>
      <c r="AD132" s="24">
        <f>IF(AE131&gt;0,ROUND(ROUND(AE131*100,0)*ROUND(AC$7*10000,0)/12000000,0)/100,0)</f>
        <v>0</v>
      </c>
      <c r="AE132" s="24">
        <f>IF(AE131&gt;0,ROUND(AE131+AD132-AC132,2),0)</f>
        <v>0</v>
      </c>
      <c r="AF132" s="24">
        <f>IF(AE131&gt;0,ROUND(AF131+ROUND(ROUND(AF131*100,0)*ROUND(AC$7*10000,0)/12000000,0)/100+0.02,2),0)</f>
        <v>0</v>
      </c>
      <c r="AG132" s="24">
        <f>IF(AI131&gt;0,IF(AND(ROUND(AI131+AH132-ROUND(AG$6+IF(AG$5=$C132,$E$5+$E132,0),2),2)&gt;0,ROUND(AI131+AH132-ROUND(AG$6+IF(AG$5=$C132,$E$5+$E132,0),2),2)&lt;=AJ132,ROUND(AI131+AH132-ROUND(AG$6+IF(AG$5=$C132,$E$5+$E132,0),2),2)*10&lt;=ROUND(AG$6+IF(AG$5=$C132,$E$5+$E132,0),2)),ROUND(AI131+AH132,2),MIN(ROUND(AG$6+IF(AG$5=$C132,$E$5+$E132,0),2),ROUND(AI131+AH132,2))),0)</f>
        <v>0</v>
      </c>
      <c r="AH132" s="24">
        <f>IF(AI131&gt;0,ROUND(ROUND(AI131*100,0)*ROUND(AG$7*10000,0)/12000000,0)/100,0)</f>
        <v>0</v>
      </c>
      <c r="AI132" s="24">
        <f>IF(AI131&gt;0,ROUND(AI131+AH132-AG132,2),0)</f>
        <v>0</v>
      </c>
      <c r="AJ132" s="24">
        <f>IF(AI131&gt;0,ROUND(AJ131+ROUND(ROUND(AJ131*100,0)*ROUND(AG$7*10000,0)/12000000,0)/100+0.02,2),0)</f>
        <v>0</v>
      </c>
      <c r="AK132" s="24">
        <f>IF(AM131&gt;0,IF(AND(ROUND(AM131+AL132-ROUND(AK$6+IF(AK$5=$C132,$E$5+$E132,0),2),2)&gt;0,ROUND(AM131+AL132-ROUND(AK$6+IF(AK$5=$C132,$E$5+$E132,0),2),2)&lt;=AN132,ROUND(AM131+AL132-ROUND(AK$6+IF(AK$5=$C132,$E$5+$E132,0),2),2)*10&lt;=ROUND(AK$6+IF(AK$5=$C132,$E$5+$E132,0),2)),ROUND(AM131+AL132,2),MIN(ROUND(AK$6+IF(AK$5=$C132,$E$5+$E132,0),2),ROUND(AM131+AL132,2))),0)</f>
        <v>0</v>
      </c>
      <c r="AL132" s="24">
        <f>IF(AM131&gt;0,ROUND(ROUND(AM131*100,0)*ROUND(AK$7*10000,0)/12000000,0)/100,0)</f>
        <v>0</v>
      </c>
      <c r="AM132" s="24">
        <f>IF(AM131&gt;0,ROUND(AM131+AL132-AK132,2),0)</f>
        <v>0</v>
      </c>
      <c r="AN132" s="24">
        <f>IF(AM131&gt;0,ROUND(AN131+ROUND(ROUND(AN131*100,0)*ROUND(AK$7*10000,0)/12000000,0)/100+0.02,2),0)</f>
        <v>0</v>
      </c>
      <c r="AO132" s="24">
        <f>IF(AQ131&gt;0,IF(AND(ROUND(AQ131+AP132-ROUND(AO$6+IF(AO$5=$C132,$E$5+$E132,0),2),2)&gt;0,ROUND(AQ131+AP132-ROUND(AO$6+IF(AO$5=$C132,$E$5+$E132,0),2),2)&lt;=AR132,ROUND(AQ131+AP132-ROUND(AO$6+IF(AO$5=$C132,$E$5+$E132,0),2),2)*10&lt;=ROUND(AO$6+IF(AO$5=$C132,$E$5+$E132,0),2)),ROUND(AQ131+AP132,2),MIN(ROUND(AO$6+IF(AO$5=$C132,$E$5+$E132,0),2),ROUND(AQ131+AP132,2))),0)</f>
        <v>0</v>
      </c>
      <c r="AP132" s="24">
        <f>IF(AQ131&gt;0,ROUND(ROUND(AQ131*100,0)*ROUND(AO$7*10000,0)/12000000,0)/100,0)</f>
        <v>0</v>
      </c>
      <c r="AQ132" s="24">
        <f>IF(AQ131&gt;0,ROUND(AQ131+AP132-AO132,2),0)</f>
        <v>0</v>
      </c>
      <c r="AR132" s="24">
        <f>IF(AQ131&gt;0,ROUND(AR131+ROUND(ROUND(AR131*100,0)*ROUND(AO$7*10000,0)/12000000,0)/100+0.02,2),0)</f>
        <v>0</v>
      </c>
      <c r="AS132" s="24">
        <f>IF(AU131&gt;0,IF(AND(ROUND(AU131+AT132-ROUND(AS$6+IF(AS$5=$C132,$E$5+$E132,0),2),2)&gt;0,ROUND(AU131+AT132-ROUND(AS$6+IF(AS$5=$C132,$E$5+$E132,0),2),2)&lt;=AV132,ROUND(AU131+AT132-ROUND(AS$6+IF(AS$5=$C132,$E$5+$E132,0),2),2)*10&lt;=ROUND(AS$6+IF(AS$5=$C132,$E$5+$E132,0),2)),ROUND(AU131+AT132,2),MIN(ROUND(AS$6+IF(AS$5=$C132,$E$5+$E132,0),2),ROUND(AU131+AT132,2))),0)</f>
        <v>0</v>
      </c>
      <c r="AT132" s="24">
        <f>IF(AU131&gt;0,ROUND(ROUND(AU131*100,0)*ROUND(AS$7*10000,0)/12000000,0)/100,0)</f>
        <v>0</v>
      </c>
      <c r="AU132" s="24">
        <f>IF(AU131&gt;0,ROUND(AU131+AT132-AS132,2),0)</f>
        <v>0</v>
      </c>
      <c r="AV132" s="24">
        <f>IF(AU131&gt;0,ROUND(AV131+ROUND(ROUND(AV131*100,0)*ROUND(AS$7*10000,0)/12000000,0)/100+0.02,2),0)</f>
        <v>0</v>
      </c>
    </row>
    <row r="133" spans="1:48" x14ac:dyDescent="0.25">
      <c r="A133" s="17" t="str">
        <f>IF(F133&gt;0,123,"")</f>
        <v/>
      </c>
      <c r="B133" s="18" t="str">
        <f>IF(F133&gt;0,EDATE($E$6,123),"")</f>
        <v/>
      </c>
      <c r="C133" s="21">
        <f>IF(H132&gt;0,MIN(IF(K132&gt;0,I$5,99),IF(O132&gt;0,M$5,99),IF(S132&gt;0,Q$5,99),IF(W132&gt;0,U$5,99),IF(AA132&gt;0,Y$5,99),IF(AE132&gt;0,AC$5,99),IF(AI132&gt;0,AG$5,99),IF(AM132&gt;0,AK$5,99),IF(AQ132&gt;0,AO$5,99),IF(AU132&gt;0,AS$5,99)),0)</f>
        <v>0</v>
      </c>
      <c r="D133" t="str">
        <f>IF(C133&gt;0,INDEX($I$4:$AV$4,1,MATCH(C133,$I$5:$AV$5,0)),"")</f>
        <v/>
      </c>
      <c r="E133" s="24">
        <f>ROUND(IF(AND(I$8&gt;0,K132=0),I$6,0)+IF(AND(M$8&gt;0,O132=0),M$6,0)+IF(AND(Q$8&gt;0,S132=0),Q$6,0)+IF(AND(U$8&gt;0,W132=0),U$6,0)+IF(AND(Y$8&gt;0,AA132=0),Y$6,0)+IF(AND(AC$8&gt;0,AE132=0),AC$6,0)+IF(AND(AG$8&gt;0,AI132=0),AG$6,0)+IF(AND(AK$8&gt;0,AM132=0),AK$6,0)+IF(AND(AO$8&gt;0,AQ132=0),AO$6,0)+IF(AND(AS$8&gt;0,AU132=0),AS$6,0),2)</f>
        <v>325</v>
      </c>
      <c r="F133" s="24">
        <f>ROUND(I133+M133+Q133+U133+Y133+AC133+AG133+AK133+AO133+AS133,2)</f>
        <v>0</v>
      </c>
      <c r="G133" s="24">
        <f>ROUND(J133+N133+R133+V133+Z133+AD133+AH133+AL133+AP133+AT133,2)</f>
        <v>0</v>
      </c>
      <c r="H133" s="24">
        <f>ROUND(K133+O133+S133+W133+AA133+AE133+AI133+AM133+AQ133+AU133,2)</f>
        <v>0</v>
      </c>
      <c r="I133" s="24">
        <f>IF(K132&gt;0,IF(AND(ROUND(K132+J133-ROUND(I$6+IF(I$5=$C133,$E$5+$E133,0),2),2)&gt;0,ROUND(K132+J133-ROUND(I$6+IF(I$5=$C133,$E$5+$E133,0),2),2)&lt;=L133,ROUND(K132+J133-ROUND(I$6+IF(I$5=$C133,$E$5+$E133,0),2),2)*10&lt;=ROUND(I$6+IF(I$5=$C133,$E$5+$E133,0),2)),ROUND(K132+J133,2),MIN(ROUND(I$6+IF(I$5=$C133,$E$5+$E133,0),2),ROUND(K132+J133,2))),0)</f>
        <v>0</v>
      </c>
      <c r="J133" s="24">
        <f>IF(K132&gt;0,ROUND(ROUND(K132*100,0)*ROUND(I$7*10000,0)/12000000,0)/100,0)</f>
        <v>0</v>
      </c>
      <c r="K133" s="24">
        <f>IF(K132&gt;0,ROUND(K132+J133-I133,2),0)</f>
        <v>0</v>
      </c>
      <c r="L133" s="24">
        <f>IF(K132&gt;0,ROUND(L132+ROUND(ROUND(L132*100,0)*ROUND(I$7*10000,0)/12000000,0)/100+0.02,2),0)</f>
        <v>0</v>
      </c>
      <c r="M133" s="24">
        <f>IF(O132&gt;0,IF(AND(ROUND(O132+N133-ROUND(M$6+IF(M$5=$C133,$E$5+$E133,0),2),2)&gt;0,ROUND(O132+N133-ROUND(M$6+IF(M$5=$C133,$E$5+$E133,0),2),2)&lt;=P133,ROUND(O132+N133-ROUND(M$6+IF(M$5=$C133,$E$5+$E133,0),2),2)*10&lt;=ROUND(M$6+IF(M$5=$C133,$E$5+$E133,0),2)),ROUND(O132+N133,2),MIN(ROUND(M$6+IF(M$5=$C133,$E$5+$E133,0),2),ROUND(O132+N133,2))),0)</f>
        <v>0</v>
      </c>
      <c r="N133" s="24">
        <f>IF(O132&gt;0,ROUND(ROUND(O132*100,0)*ROUND(M$7*10000,0)/12000000,0)/100,0)</f>
        <v>0</v>
      </c>
      <c r="O133" s="24">
        <f>IF(O132&gt;0,ROUND(O132+N133-M133,2),0)</f>
        <v>0</v>
      </c>
      <c r="P133" s="24">
        <f>IF(O132&gt;0,ROUND(P132+ROUND(ROUND(P132*100,0)*ROUND(M$7*10000,0)/12000000,0)/100+0.02,2),0)</f>
        <v>0</v>
      </c>
      <c r="Q133" s="24">
        <f>IF(S132&gt;0,IF(AND(ROUND(S132+R133-ROUND(Q$6+IF(Q$5=$C133,$E$5+$E133,0),2),2)&gt;0,ROUND(S132+R133-ROUND(Q$6+IF(Q$5=$C133,$E$5+$E133,0),2),2)&lt;=T133,ROUND(S132+R133-ROUND(Q$6+IF(Q$5=$C133,$E$5+$E133,0),2),2)*10&lt;=ROUND(Q$6+IF(Q$5=$C133,$E$5+$E133,0),2)),ROUND(S132+R133,2),MIN(ROUND(Q$6+IF(Q$5=$C133,$E$5+$E133,0),2),ROUND(S132+R133,2))),0)</f>
        <v>0</v>
      </c>
      <c r="R133" s="24">
        <f>IF(S132&gt;0,ROUND(ROUND(S132*100,0)*ROUND(Q$7*10000,0)/12000000,0)/100,0)</f>
        <v>0</v>
      </c>
      <c r="S133" s="24">
        <f>IF(S132&gt;0,ROUND(S132+R133-Q133,2),0)</f>
        <v>0</v>
      </c>
      <c r="T133" s="24">
        <f>IF(S132&gt;0,ROUND(T132+ROUND(ROUND(T132*100,0)*ROUND(Q$7*10000,0)/12000000,0)/100+0.02,2),0)</f>
        <v>0</v>
      </c>
      <c r="U133" s="24">
        <f>IF(W132&gt;0,IF(AND(ROUND(W132+V133-ROUND(U$6+IF(U$5=$C133,$E$5+$E133,0),2),2)&gt;0,ROUND(W132+V133-ROUND(U$6+IF(U$5=$C133,$E$5+$E133,0),2),2)&lt;=X133,ROUND(W132+V133-ROUND(U$6+IF(U$5=$C133,$E$5+$E133,0),2),2)*10&lt;=ROUND(U$6+IF(U$5=$C133,$E$5+$E133,0),2)),ROUND(W132+V133,2),MIN(ROUND(U$6+IF(U$5=$C133,$E$5+$E133,0),2),ROUND(W132+V133,2))),0)</f>
        <v>0</v>
      </c>
      <c r="V133" s="24">
        <f>IF(W132&gt;0,ROUND(ROUND(W132*100,0)*ROUND(U$7*10000,0)/12000000,0)/100,0)</f>
        <v>0</v>
      </c>
      <c r="W133" s="24">
        <f>IF(W132&gt;0,ROUND(W132+V133-U133,2),0)</f>
        <v>0</v>
      </c>
      <c r="X133" s="24">
        <f>IF(W132&gt;0,ROUND(X132+ROUND(ROUND(X132*100,0)*ROUND(U$7*10000,0)/12000000,0)/100+0.02,2),0)</f>
        <v>0</v>
      </c>
      <c r="Y133" s="24">
        <f>IF(AA132&gt;0,IF(AND(ROUND(AA132+Z133-ROUND(Y$6+IF(Y$5=$C133,$E$5+$E133,0),2),2)&gt;0,ROUND(AA132+Z133-ROUND(Y$6+IF(Y$5=$C133,$E$5+$E133,0),2),2)&lt;=AB133,ROUND(AA132+Z133-ROUND(Y$6+IF(Y$5=$C133,$E$5+$E133,0),2),2)*10&lt;=ROUND(Y$6+IF(Y$5=$C133,$E$5+$E133,0),2)),ROUND(AA132+Z133,2),MIN(ROUND(Y$6+IF(Y$5=$C133,$E$5+$E133,0),2),ROUND(AA132+Z133,2))),0)</f>
        <v>0</v>
      </c>
      <c r="Z133" s="24">
        <f>IF(AA132&gt;0,ROUND(ROUND(AA132*100,0)*ROUND(Y$7*10000,0)/12000000,0)/100,0)</f>
        <v>0</v>
      </c>
      <c r="AA133" s="24">
        <f>IF(AA132&gt;0,ROUND(AA132+Z133-Y133,2),0)</f>
        <v>0</v>
      </c>
      <c r="AB133" s="24">
        <f>IF(AA132&gt;0,ROUND(AB132+ROUND(ROUND(AB132*100,0)*ROUND(Y$7*10000,0)/12000000,0)/100+0.02,2),0)</f>
        <v>0</v>
      </c>
      <c r="AC133" s="24">
        <f>IF(AE132&gt;0,IF(AND(ROUND(AE132+AD133-ROUND(AC$6+IF(AC$5=$C133,$E$5+$E133,0),2),2)&gt;0,ROUND(AE132+AD133-ROUND(AC$6+IF(AC$5=$C133,$E$5+$E133,0),2),2)&lt;=AF133,ROUND(AE132+AD133-ROUND(AC$6+IF(AC$5=$C133,$E$5+$E133,0),2),2)*10&lt;=ROUND(AC$6+IF(AC$5=$C133,$E$5+$E133,0),2)),ROUND(AE132+AD133,2),MIN(ROUND(AC$6+IF(AC$5=$C133,$E$5+$E133,0),2),ROUND(AE132+AD133,2))),0)</f>
        <v>0</v>
      </c>
      <c r="AD133" s="24">
        <f>IF(AE132&gt;0,ROUND(ROUND(AE132*100,0)*ROUND(AC$7*10000,0)/12000000,0)/100,0)</f>
        <v>0</v>
      </c>
      <c r="AE133" s="24">
        <f>IF(AE132&gt;0,ROUND(AE132+AD133-AC133,2),0)</f>
        <v>0</v>
      </c>
      <c r="AF133" s="24">
        <f>IF(AE132&gt;0,ROUND(AF132+ROUND(ROUND(AF132*100,0)*ROUND(AC$7*10000,0)/12000000,0)/100+0.02,2),0)</f>
        <v>0</v>
      </c>
      <c r="AG133" s="24">
        <f>IF(AI132&gt;0,IF(AND(ROUND(AI132+AH133-ROUND(AG$6+IF(AG$5=$C133,$E$5+$E133,0),2),2)&gt;0,ROUND(AI132+AH133-ROUND(AG$6+IF(AG$5=$C133,$E$5+$E133,0),2),2)&lt;=AJ133,ROUND(AI132+AH133-ROUND(AG$6+IF(AG$5=$C133,$E$5+$E133,0),2),2)*10&lt;=ROUND(AG$6+IF(AG$5=$C133,$E$5+$E133,0),2)),ROUND(AI132+AH133,2),MIN(ROUND(AG$6+IF(AG$5=$C133,$E$5+$E133,0),2),ROUND(AI132+AH133,2))),0)</f>
        <v>0</v>
      </c>
      <c r="AH133" s="24">
        <f>IF(AI132&gt;0,ROUND(ROUND(AI132*100,0)*ROUND(AG$7*10000,0)/12000000,0)/100,0)</f>
        <v>0</v>
      </c>
      <c r="AI133" s="24">
        <f>IF(AI132&gt;0,ROUND(AI132+AH133-AG133,2),0)</f>
        <v>0</v>
      </c>
      <c r="AJ133" s="24">
        <f>IF(AI132&gt;0,ROUND(AJ132+ROUND(ROUND(AJ132*100,0)*ROUND(AG$7*10000,0)/12000000,0)/100+0.02,2),0)</f>
        <v>0</v>
      </c>
      <c r="AK133" s="24">
        <f>IF(AM132&gt;0,IF(AND(ROUND(AM132+AL133-ROUND(AK$6+IF(AK$5=$C133,$E$5+$E133,0),2),2)&gt;0,ROUND(AM132+AL133-ROUND(AK$6+IF(AK$5=$C133,$E$5+$E133,0),2),2)&lt;=AN133,ROUND(AM132+AL133-ROUND(AK$6+IF(AK$5=$C133,$E$5+$E133,0),2),2)*10&lt;=ROUND(AK$6+IF(AK$5=$C133,$E$5+$E133,0),2)),ROUND(AM132+AL133,2),MIN(ROUND(AK$6+IF(AK$5=$C133,$E$5+$E133,0),2),ROUND(AM132+AL133,2))),0)</f>
        <v>0</v>
      </c>
      <c r="AL133" s="24">
        <f>IF(AM132&gt;0,ROUND(ROUND(AM132*100,0)*ROUND(AK$7*10000,0)/12000000,0)/100,0)</f>
        <v>0</v>
      </c>
      <c r="AM133" s="24">
        <f>IF(AM132&gt;0,ROUND(AM132+AL133-AK133,2),0)</f>
        <v>0</v>
      </c>
      <c r="AN133" s="24">
        <f>IF(AM132&gt;0,ROUND(AN132+ROUND(ROUND(AN132*100,0)*ROUND(AK$7*10000,0)/12000000,0)/100+0.02,2),0)</f>
        <v>0</v>
      </c>
      <c r="AO133" s="24">
        <f>IF(AQ132&gt;0,IF(AND(ROUND(AQ132+AP133-ROUND(AO$6+IF(AO$5=$C133,$E$5+$E133,0),2),2)&gt;0,ROUND(AQ132+AP133-ROUND(AO$6+IF(AO$5=$C133,$E$5+$E133,0),2),2)&lt;=AR133,ROUND(AQ132+AP133-ROUND(AO$6+IF(AO$5=$C133,$E$5+$E133,0),2),2)*10&lt;=ROUND(AO$6+IF(AO$5=$C133,$E$5+$E133,0),2)),ROUND(AQ132+AP133,2),MIN(ROUND(AO$6+IF(AO$5=$C133,$E$5+$E133,0),2),ROUND(AQ132+AP133,2))),0)</f>
        <v>0</v>
      </c>
      <c r="AP133" s="24">
        <f>IF(AQ132&gt;0,ROUND(ROUND(AQ132*100,0)*ROUND(AO$7*10000,0)/12000000,0)/100,0)</f>
        <v>0</v>
      </c>
      <c r="AQ133" s="24">
        <f>IF(AQ132&gt;0,ROUND(AQ132+AP133-AO133,2),0)</f>
        <v>0</v>
      </c>
      <c r="AR133" s="24">
        <f>IF(AQ132&gt;0,ROUND(AR132+ROUND(ROUND(AR132*100,0)*ROUND(AO$7*10000,0)/12000000,0)/100+0.02,2),0)</f>
        <v>0</v>
      </c>
      <c r="AS133" s="24">
        <f>IF(AU132&gt;0,IF(AND(ROUND(AU132+AT133-ROUND(AS$6+IF(AS$5=$C133,$E$5+$E133,0),2),2)&gt;0,ROUND(AU132+AT133-ROUND(AS$6+IF(AS$5=$C133,$E$5+$E133,0),2),2)&lt;=AV133,ROUND(AU132+AT133-ROUND(AS$6+IF(AS$5=$C133,$E$5+$E133,0),2),2)*10&lt;=ROUND(AS$6+IF(AS$5=$C133,$E$5+$E133,0),2)),ROUND(AU132+AT133,2),MIN(ROUND(AS$6+IF(AS$5=$C133,$E$5+$E133,0),2),ROUND(AU132+AT133,2))),0)</f>
        <v>0</v>
      </c>
      <c r="AT133" s="24">
        <f>IF(AU132&gt;0,ROUND(ROUND(AU132*100,0)*ROUND(AS$7*10000,0)/12000000,0)/100,0)</f>
        <v>0</v>
      </c>
      <c r="AU133" s="24">
        <f>IF(AU132&gt;0,ROUND(AU132+AT133-AS133,2),0)</f>
        <v>0</v>
      </c>
      <c r="AV133" s="24">
        <f>IF(AU132&gt;0,ROUND(AV132+ROUND(ROUND(AV132*100,0)*ROUND(AS$7*10000,0)/12000000,0)/100+0.02,2),0)</f>
        <v>0</v>
      </c>
    </row>
    <row r="134" spans="1:48" x14ac:dyDescent="0.25">
      <c r="A134" s="17" t="str">
        <f>IF(F134&gt;0,124,"")</f>
        <v/>
      </c>
      <c r="B134" s="18" t="str">
        <f>IF(F134&gt;0,EDATE($E$6,124),"")</f>
        <v/>
      </c>
      <c r="C134" s="21">
        <f>IF(H133&gt;0,MIN(IF(K133&gt;0,I$5,99),IF(O133&gt;0,M$5,99),IF(S133&gt;0,Q$5,99),IF(W133&gt;0,U$5,99),IF(AA133&gt;0,Y$5,99),IF(AE133&gt;0,AC$5,99),IF(AI133&gt;0,AG$5,99),IF(AM133&gt;0,AK$5,99),IF(AQ133&gt;0,AO$5,99),IF(AU133&gt;0,AS$5,99)),0)</f>
        <v>0</v>
      </c>
      <c r="D134" t="str">
        <f>IF(C134&gt;0,INDEX($I$4:$AV$4,1,MATCH(C134,$I$5:$AV$5,0)),"")</f>
        <v/>
      </c>
      <c r="E134" s="24">
        <f>ROUND(IF(AND(I$8&gt;0,K133=0),I$6,0)+IF(AND(M$8&gt;0,O133=0),M$6,0)+IF(AND(Q$8&gt;0,S133=0),Q$6,0)+IF(AND(U$8&gt;0,W133=0),U$6,0)+IF(AND(Y$8&gt;0,AA133=0),Y$6,0)+IF(AND(AC$8&gt;0,AE133=0),AC$6,0)+IF(AND(AG$8&gt;0,AI133=0),AG$6,0)+IF(AND(AK$8&gt;0,AM133=0),AK$6,0)+IF(AND(AO$8&gt;0,AQ133=0),AO$6,0)+IF(AND(AS$8&gt;0,AU133=0),AS$6,0),2)</f>
        <v>325</v>
      </c>
      <c r="F134" s="24">
        <f>ROUND(I134+M134+Q134+U134+Y134+AC134+AG134+AK134+AO134+AS134,2)</f>
        <v>0</v>
      </c>
      <c r="G134" s="24">
        <f>ROUND(J134+N134+R134+V134+Z134+AD134+AH134+AL134+AP134+AT134,2)</f>
        <v>0</v>
      </c>
      <c r="H134" s="24">
        <f>ROUND(K134+O134+S134+W134+AA134+AE134+AI134+AM134+AQ134+AU134,2)</f>
        <v>0</v>
      </c>
      <c r="I134" s="24">
        <f>IF(K133&gt;0,IF(AND(ROUND(K133+J134-ROUND(I$6+IF(I$5=$C134,$E$5+$E134,0),2),2)&gt;0,ROUND(K133+J134-ROUND(I$6+IF(I$5=$C134,$E$5+$E134,0),2),2)&lt;=L134,ROUND(K133+J134-ROUND(I$6+IF(I$5=$C134,$E$5+$E134,0),2),2)*10&lt;=ROUND(I$6+IF(I$5=$C134,$E$5+$E134,0),2)),ROUND(K133+J134,2),MIN(ROUND(I$6+IF(I$5=$C134,$E$5+$E134,0),2),ROUND(K133+J134,2))),0)</f>
        <v>0</v>
      </c>
      <c r="J134" s="24">
        <f>IF(K133&gt;0,ROUND(ROUND(K133*100,0)*ROUND(I$7*10000,0)/12000000,0)/100,0)</f>
        <v>0</v>
      </c>
      <c r="K134" s="24">
        <f>IF(K133&gt;0,ROUND(K133+J134-I134,2),0)</f>
        <v>0</v>
      </c>
      <c r="L134" s="24">
        <f>IF(K133&gt;0,ROUND(L133+ROUND(ROUND(L133*100,0)*ROUND(I$7*10000,0)/12000000,0)/100+0.02,2),0)</f>
        <v>0</v>
      </c>
      <c r="M134" s="24">
        <f>IF(O133&gt;0,IF(AND(ROUND(O133+N134-ROUND(M$6+IF(M$5=$C134,$E$5+$E134,0),2),2)&gt;0,ROUND(O133+N134-ROUND(M$6+IF(M$5=$C134,$E$5+$E134,0),2),2)&lt;=P134,ROUND(O133+N134-ROUND(M$6+IF(M$5=$C134,$E$5+$E134,0),2),2)*10&lt;=ROUND(M$6+IF(M$5=$C134,$E$5+$E134,0),2)),ROUND(O133+N134,2),MIN(ROUND(M$6+IF(M$5=$C134,$E$5+$E134,0),2),ROUND(O133+N134,2))),0)</f>
        <v>0</v>
      </c>
      <c r="N134" s="24">
        <f>IF(O133&gt;0,ROUND(ROUND(O133*100,0)*ROUND(M$7*10000,0)/12000000,0)/100,0)</f>
        <v>0</v>
      </c>
      <c r="O134" s="24">
        <f>IF(O133&gt;0,ROUND(O133+N134-M134,2),0)</f>
        <v>0</v>
      </c>
      <c r="P134" s="24">
        <f>IF(O133&gt;0,ROUND(P133+ROUND(ROUND(P133*100,0)*ROUND(M$7*10000,0)/12000000,0)/100+0.02,2),0)</f>
        <v>0</v>
      </c>
      <c r="Q134" s="24">
        <f>IF(S133&gt;0,IF(AND(ROUND(S133+R134-ROUND(Q$6+IF(Q$5=$C134,$E$5+$E134,0),2),2)&gt;0,ROUND(S133+R134-ROUND(Q$6+IF(Q$5=$C134,$E$5+$E134,0),2),2)&lt;=T134,ROUND(S133+R134-ROUND(Q$6+IF(Q$5=$C134,$E$5+$E134,0),2),2)*10&lt;=ROUND(Q$6+IF(Q$5=$C134,$E$5+$E134,0),2)),ROUND(S133+R134,2),MIN(ROUND(Q$6+IF(Q$5=$C134,$E$5+$E134,0),2),ROUND(S133+R134,2))),0)</f>
        <v>0</v>
      </c>
      <c r="R134" s="24">
        <f>IF(S133&gt;0,ROUND(ROUND(S133*100,0)*ROUND(Q$7*10000,0)/12000000,0)/100,0)</f>
        <v>0</v>
      </c>
      <c r="S134" s="24">
        <f>IF(S133&gt;0,ROUND(S133+R134-Q134,2),0)</f>
        <v>0</v>
      </c>
      <c r="T134" s="24">
        <f>IF(S133&gt;0,ROUND(T133+ROUND(ROUND(T133*100,0)*ROUND(Q$7*10000,0)/12000000,0)/100+0.02,2),0)</f>
        <v>0</v>
      </c>
      <c r="U134" s="24">
        <f>IF(W133&gt;0,IF(AND(ROUND(W133+V134-ROUND(U$6+IF(U$5=$C134,$E$5+$E134,0),2),2)&gt;0,ROUND(W133+V134-ROUND(U$6+IF(U$5=$C134,$E$5+$E134,0),2),2)&lt;=X134,ROUND(W133+V134-ROUND(U$6+IF(U$5=$C134,$E$5+$E134,0),2),2)*10&lt;=ROUND(U$6+IF(U$5=$C134,$E$5+$E134,0),2)),ROUND(W133+V134,2),MIN(ROUND(U$6+IF(U$5=$C134,$E$5+$E134,0),2),ROUND(W133+V134,2))),0)</f>
        <v>0</v>
      </c>
      <c r="V134" s="24">
        <f>IF(W133&gt;0,ROUND(ROUND(W133*100,0)*ROUND(U$7*10000,0)/12000000,0)/100,0)</f>
        <v>0</v>
      </c>
      <c r="W134" s="24">
        <f>IF(W133&gt;0,ROUND(W133+V134-U134,2),0)</f>
        <v>0</v>
      </c>
      <c r="X134" s="24">
        <f>IF(W133&gt;0,ROUND(X133+ROUND(ROUND(X133*100,0)*ROUND(U$7*10000,0)/12000000,0)/100+0.02,2),0)</f>
        <v>0</v>
      </c>
      <c r="Y134" s="24">
        <f>IF(AA133&gt;0,IF(AND(ROUND(AA133+Z134-ROUND(Y$6+IF(Y$5=$C134,$E$5+$E134,0),2),2)&gt;0,ROUND(AA133+Z134-ROUND(Y$6+IF(Y$5=$C134,$E$5+$E134,0),2),2)&lt;=AB134,ROUND(AA133+Z134-ROUND(Y$6+IF(Y$5=$C134,$E$5+$E134,0),2),2)*10&lt;=ROUND(Y$6+IF(Y$5=$C134,$E$5+$E134,0),2)),ROUND(AA133+Z134,2),MIN(ROUND(Y$6+IF(Y$5=$C134,$E$5+$E134,0),2),ROUND(AA133+Z134,2))),0)</f>
        <v>0</v>
      </c>
      <c r="Z134" s="24">
        <f>IF(AA133&gt;0,ROUND(ROUND(AA133*100,0)*ROUND(Y$7*10000,0)/12000000,0)/100,0)</f>
        <v>0</v>
      </c>
      <c r="AA134" s="24">
        <f>IF(AA133&gt;0,ROUND(AA133+Z134-Y134,2),0)</f>
        <v>0</v>
      </c>
      <c r="AB134" s="24">
        <f>IF(AA133&gt;0,ROUND(AB133+ROUND(ROUND(AB133*100,0)*ROUND(Y$7*10000,0)/12000000,0)/100+0.02,2),0)</f>
        <v>0</v>
      </c>
      <c r="AC134" s="24">
        <f>IF(AE133&gt;0,IF(AND(ROUND(AE133+AD134-ROUND(AC$6+IF(AC$5=$C134,$E$5+$E134,0),2),2)&gt;0,ROUND(AE133+AD134-ROUND(AC$6+IF(AC$5=$C134,$E$5+$E134,0),2),2)&lt;=AF134,ROUND(AE133+AD134-ROUND(AC$6+IF(AC$5=$C134,$E$5+$E134,0),2),2)*10&lt;=ROUND(AC$6+IF(AC$5=$C134,$E$5+$E134,0),2)),ROUND(AE133+AD134,2),MIN(ROUND(AC$6+IF(AC$5=$C134,$E$5+$E134,0),2),ROUND(AE133+AD134,2))),0)</f>
        <v>0</v>
      </c>
      <c r="AD134" s="24">
        <f>IF(AE133&gt;0,ROUND(ROUND(AE133*100,0)*ROUND(AC$7*10000,0)/12000000,0)/100,0)</f>
        <v>0</v>
      </c>
      <c r="AE134" s="24">
        <f>IF(AE133&gt;0,ROUND(AE133+AD134-AC134,2),0)</f>
        <v>0</v>
      </c>
      <c r="AF134" s="24">
        <f>IF(AE133&gt;0,ROUND(AF133+ROUND(ROUND(AF133*100,0)*ROUND(AC$7*10000,0)/12000000,0)/100+0.02,2),0)</f>
        <v>0</v>
      </c>
      <c r="AG134" s="24">
        <f>IF(AI133&gt;0,IF(AND(ROUND(AI133+AH134-ROUND(AG$6+IF(AG$5=$C134,$E$5+$E134,0),2),2)&gt;0,ROUND(AI133+AH134-ROUND(AG$6+IF(AG$5=$C134,$E$5+$E134,0),2),2)&lt;=AJ134,ROUND(AI133+AH134-ROUND(AG$6+IF(AG$5=$C134,$E$5+$E134,0),2),2)*10&lt;=ROUND(AG$6+IF(AG$5=$C134,$E$5+$E134,0),2)),ROUND(AI133+AH134,2),MIN(ROUND(AG$6+IF(AG$5=$C134,$E$5+$E134,0),2),ROUND(AI133+AH134,2))),0)</f>
        <v>0</v>
      </c>
      <c r="AH134" s="24">
        <f>IF(AI133&gt;0,ROUND(ROUND(AI133*100,0)*ROUND(AG$7*10000,0)/12000000,0)/100,0)</f>
        <v>0</v>
      </c>
      <c r="AI134" s="24">
        <f>IF(AI133&gt;0,ROUND(AI133+AH134-AG134,2),0)</f>
        <v>0</v>
      </c>
      <c r="AJ134" s="24">
        <f>IF(AI133&gt;0,ROUND(AJ133+ROUND(ROUND(AJ133*100,0)*ROUND(AG$7*10000,0)/12000000,0)/100+0.02,2),0)</f>
        <v>0</v>
      </c>
      <c r="AK134" s="24">
        <f>IF(AM133&gt;0,IF(AND(ROUND(AM133+AL134-ROUND(AK$6+IF(AK$5=$C134,$E$5+$E134,0),2),2)&gt;0,ROUND(AM133+AL134-ROUND(AK$6+IF(AK$5=$C134,$E$5+$E134,0),2),2)&lt;=AN134,ROUND(AM133+AL134-ROUND(AK$6+IF(AK$5=$C134,$E$5+$E134,0),2),2)*10&lt;=ROUND(AK$6+IF(AK$5=$C134,$E$5+$E134,0),2)),ROUND(AM133+AL134,2),MIN(ROUND(AK$6+IF(AK$5=$C134,$E$5+$E134,0),2),ROUND(AM133+AL134,2))),0)</f>
        <v>0</v>
      </c>
      <c r="AL134" s="24">
        <f>IF(AM133&gt;0,ROUND(ROUND(AM133*100,0)*ROUND(AK$7*10000,0)/12000000,0)/100,0)</f>
        <v>0</v>
      </c>
      <c r="AM134" s="24">
        <f>IF(AM133&gt;0,ROUND(AM133+AL134-AK134,2),0)</f>
        <v>0</v>
      </c>
      <c r="AN134" s="24">
        <f>IF(AM133&gt;0,ROUND(AN133+ROUND(ROUND(AN133*100,0)*ROUND(AK$7*10000,0)/12000000,0)/100+0.02,2),0)</f>
        <v>0</v>
      </c>
      <c r="AO134" s="24">
        <f>IF(AQ133&gt;0,IF(AND(ROUND(AQ133+AP134-ROUND(AO$6+IF(AO$5=$C134,$E$5+$E134,0),2),2)&gt;0,ROUND(AQ133+AP134-ROUND(AO$6+IF(AO$5=$C134,$E$5+$E134,0),2),2)&lt;=AR134,ROUND(AQ133+AP134-ROUND(AO$6+IF(AO$5=$C134,$E$5+$E134,0),2),2)*10&lt;=ROUND(AO$6+IF(AO$5=$C134,$E$5+$E134,0),2)),ROUND(AQ133+AP134,2),MIN(ROUND(AO$6+IF(AO$5=$C134,$E$5+$E134,0),2),ROUND(AQ133+AP134,2))),0)</f>
        <v>0</v>
      </c>
      <c r="AP134" s="24">
        <f>IF(AQ133&gt;0,ROUND(ROUND(AQ133*100,0)*ROUND(AO$7*10000,0)/12000000,0)/100,0)</f>
        <v>0</v>
      </c>
      <c r="AQ134" s="24">
        <f>IF(AQ133&gt;0,ROUND(AQ133+AP134-AO134,2),0)</f>
        <v>0</v>
      </c>
      <c r="AR134" s="24">
        <f>IF(AQ133&gt;0,ROUND(AR133+ROUND(ROUND(AR133*100,0)*ROUND(AO$7*10000,0)/12000000,0)/100+0.02,2),0)</f>
        <v>0</v>
      </c>
      <c r="AS134" s="24">
        <f>IF(AU133&gt;0,IF(AND(ROUND(AU133+AT134-ROUND(AS$6+IF(AS$5=$C134,$E$5+$E134,0),2),2)&gt;0,ROUND(AU133+AT134-ROUND(AS$6+IF(AS$5=$C134,$E$5+$E134,0),2),2)&lt;=AV134,ROUND(AU133+AT134-ROUND(AS$6+IF(AS$5=$C134,$E$5+$E134,0),2),2)*10&lt;=ROUND(AS$6+IF(AS$5=$C134,$E$5+$E134,0),2)),ROUND(AU133+AT134,2),MIN(ROUND(AS$6+IF(AS$5=$C134,$E$5+$E134,0),2),ROUND(AU133+AT134,2))),0)</f>
        <v>0</v>
      </c>
      <c r="AT134" s="24">
        <f>IF(AU133&gt;0,ROUND(ROUND(AU133*100,0)*ROUND(AS$7*10000,0)/12000000,0)/100,0)</f>
        <v>0</v>
      </c>
      <c r="AU134" s="24">
        <f>IF(AU133&gt;0,ROUND(AU133+AT134-AS134,2),0)</f>
        <v>0</v>
      </c>
      <c r="AV134" s="24">
        <f>IF(AU133&gt;0,ROUND(AV133+ROUND(ROUND(AV133*100,0)*ROUND(AS$7*10000,0)/12000000,0)/100+0.02,2),0)</f>
        <v>0</v>
      </c>
    </row>
    <row r="135" spans="1:48" x14ac:dyDescent="0.25">
      <c r="A135" s="17" t="str">
        <f>IF(F135&gt;0,125,"")</f>
        <v/>
      </c>
      <c r="B135" s="18" t="str">
        <f>IF(F135&gt;0,EDATE($E$6,125),"")</f>
        <v/>
      </c>
      <c r="C135" s="21">
        <f>IF(H134&gt;0,MIN(IF(K134&gt;0,I$5,99),IF(O134&gt;0,M$5,99),IF(S134&gt;0,Q$5,99),IF(W134&gt;0,U$5,99),IF(AA134&gt;0,Y$5,99),IF(AE134&gt;0,AC$5,99),IF(AI134&gt;0,AG$5,99),IF(AM134&gt;0,AK$5,99),IF(AQ134&gt;0,AO$5,99),IF(AU134&gt;0,AS$5,99)),0)</f>
        <v>0</v>
      </c>
      <c r="D135" t="str">
        <f>IF(C135&gt;0,INDEX($I$4:$AV$4,1,MATCH(C135,$I$5:$AV$5,0)),"")</f>
        <v/>
      </c>
      <c r="E135" s="24">
        <f>ROUND(IF(AND(I$8&gt;0,K134=0),I$6,0)+IF(AND(M$8&gt;0,O134=0),M$6,0)+IF(AND(Q$8&gt;0,S134=0),Q$6,0)+IF(AND(U$8&gt;0,W134=0),U$6,0)+IF(AND(Y$8&gt;0,AA134=0),Y$6,0)+IF(AND(AC$8&gt;0,AE134=0),AC$6,0)+IF(AND(AG$8&gt;0,AI134=0),AG$6,0)+IF(AND(AK$8&gt;0,AM134=0),AK$6,0)+IF(AND(AO$8&gt;0,AQ134=0),AO$6,0)+IF(AND(AS$8&gt;0,AU134=0),AS$6,0),2)</f>
        <v>325</v>
      </c>
      <c r="F135" s="24">
        <f>ROUND(I135+M135+Q135+U135+Y135+AC135+AG135+AK135+AO135+AS135,2)</f>
        <v>0</v>
      </c>
      <c r="G135" s="24">
        <f>ROUND(J135+N135+R135+V135+Z135+AD135+AH135+AL135+AP135+AT135,2)</f>
        <v>0</v>
      </c>
      <c r="H135" s="24">
        <f>ROUND(K135+O135+S135+W135+AA135+AE135+AI135+AM135+AQ135+AU135,2)</f>
        <v>0</v>
      </c>
      <c r="I135" s="24">
        <f>IF(K134&gt;0,IF(AND(ROUND(K134+J135-ROUND(I$6+IF(I$5=$C135,$E$5+$E135,0),2),2)&gt;0,ROUND(K134+J135-ROUND(I$6+IF(I$5=$C135,$E$5+$E135,0),2),2)&lt;=L135,ROUND(K134+J135-ROUND(I$6+IF(I$5=$C135,$E$5+$E135,0),2),2)*10&lt;=ROUND(I$6+IF(I$5=$C135,$E$5+$E135,0),2)),ROUND(K134+J135,2),MIN(ROUND(I$6+IF(I$5=$C135,$E$5+$E135,0),2),ROUND(K134+J135,2))),0)</f>
        <v>0</v>
      </c>
      <c r="J135" s="24">
        <f>IF(K134&gt;0,ROUND(ROUND(K134*100,0)*ROUND(I$7*10000,0)/12000000,0)/100,0)</f>
        <v>0</v>
      </c>
      <c r="K135" s="24">
        <f>IF(K134&gt;0,ROUND(K134+J135-I135,2),0)</f>
        <v>0</v>
      </c>
      <c r="L135" s="24">
        <f>IF(K134&gt;0,ROUND(L134+ROUND(ROUND(L134*100,0)*ROUND(I$7*10000,0)/12000000,0)/100+0.02,2),0)</f>
        <v>0</v>
      </c>
      <c r="M135" s="24">
        <f>IF(O134&gt;0,IF(AND(ROUND(O134+N135-ROUND(M$6+IF(M$5=$C135,$E$5+$E135,0),2),2)&gt;0,ROUND(O134+N135-ROUND(M$6+IF(M$5=$C135,$E$5+$E135,0),2),2)&lt;=P135,ROUND(O134+N135-ROUND(M$6+IF(M$5=$C135,$E$5+$E135,0),2),2)*10&lt;=ROUND(M$6+IF(M$5=$C135,$E$5+$E135,0),2)),ROUND(O134+N135,2),MIN(ROUND(M$6+IF(M$5=$C135,$E$5+$E135,0),2),ROUND(O134+N135,2))),0)</f>
        <v>0</v>
      </c>
      <c r="N135" s="24">
        <f>IF(O134&gt;0,ROUND(ROUND(O134*100,0)*ROUND(M$7*10000,0)/12000000,0)/100,0)</f>
        <v>0</v>
      </c>
      <c r="O135" s="24">
        <f>IF(O134&gt;0,ROUND(O134+N135-M135,2),0)</f>
        <v>0</v>
      </c>
      <c r="P135" s="24">
        <f>IF(O134&gt;0,ROUND(P134+ROUND(ROUND(P134*100,0)*ROUND(M$7*10000,0)/12000000,0)/100+0.02,2),0)</f>
        <v>0</v>
      </c>
      <c r="Q135" s="24">
        <f>IF(S134&gt;0,IF(AND(ROUND(S134+R135-ROUND(Q$6+IF(Q$5=$C135,$E$5+$E135,0),2),2)&gt;0,ROUND(S134+R135-ROUND(Q$6+IF(Q$5=$C135,$E$5+$E135,0),2),2)&lt;=T135,ROUND(S134+R135-ROUND(Q$6+IF(Q$5=$C135,$E$5+$E135,0),2),2)*10&lt;=ROUND(Q$6+IF(Q$5=$C135,$E$5+$E135,0),2)),ROUND(S134+R135,2),MIN(ROUND(Q$6+IF(Q$5=$C135,$E$5+$E135,0),2),ROUND(S134+R135,2))),0)</f>
        <v>0</v>
      </c>
      <c r="R135" s="24">
        <f>IF(S134&gt;0,ROUND(ROUND(S134*100,0)*ROUND(Q$7*10000,0)/12000000,0)/100,0)</f>
        <v>0</v>
      </c>
      <c r="S135" s="24">
        <f>IF(S134&gt;0,ROUND(S134+R135-Q135,2),0)</f>
        <v>0</v>
      </c>
      <c r="T135" s="24">
        <f>IF(S134&gt;0,ROUND(T134+ROUND(ROUND(T134*100,0)*ROUND(Q$7*10000,0)/12000000,0)/100+0.02,2),0)</f>
        <v>0</v>
      </c>
      <c r="U135" s="24">
        <f>IF(W134&gt;0,IF(AND(ROUND(W134+V135-ROUND(U$6+IF(U$5=$C135,$E$5+$E135,0),2),2)&gt;0,ROUND(W134+V135-ROUND(U$6+IF(U$5=$C135,$E$5+$E135,0),2),2)&lt;=X135,ROUND(W134+V135-ROUND(U$6+IF(U$5=$C135,$E$5+$E135,0),2),2)*10&lt;=ROUND(U$6+IF(U$5=$C135,$E$5+$E135,0),2)),ROUND(W134+V135,2),MIN(ROUND(U$6+IF(U$5=$C135,$E$5+$E135,0),2),ROUND(W134+V135,2))),0)</f>
        <v>0</v>
      </c>
      <c r="V135" s="24">
        <f>IF(W134&gt;0,ROUND(ROUND(W134*100,0)*ROUND(U$7*10000,0)/12000000,0)/100,0)</f>
        <v>0</v>
      </c>
      <c r="W135" s="24">
        <f>IF(W134&gt;0,ROUND(W134+V135-U135,2),0)</f>
        <v>0</v>
      </c>
      <c r="X135" s="24">
        <f>IF(W134&gt;0,ROUND(X134+ROUND(ROUND(X134*100,0)*ROUND(U$7*10000,0)/12000000,0)/100+0.02,2),0)</f>
        <v>0</v>
      </c>
      <c r="Y135" s="24">
        <f>IF(AA134&gt;0,IF(AND(ROUND(AA134+Z135-ROUND(Y$6+IF(Y$5=$C135,$E$5+$E135,0),2),2)&gt;0,ROUND(AA134+Z135-ROUND(Y$6+IF(Y$5=$C135,$E$5+$E135,0),2),2)&lt;=AB135,ROUND(AA134+Z135-ROUND(Y$6+IF(Y$5=$C135,$E$5+$E135,0),2),2)*10&lt;=ROUND(Y$6+IF(Y$5=$C135,$E$5+$E135,0),2)),ROUND(AA134+Z135,2),MIN(ROUND(Y$6+IF(Y$5=$C135,$E$5+$E135,0),2),ROUND(AA134+Z135,2))),0)</f>
        <v>0</v>
      </c>
      <c r="Z135" s="24">
        <f>IF(AA134&gt;0,ROUND(ROUND(AA134*100,0)*ROUND(Y$7*10000,0)/12000000,0)/100,0)</f>
        <v>0</v>
      </c>
      <c r="AA135" s="24">
        <f>IF(AA134&gt;0,ROUND(AA134+Z135-Y135,2),0)</f>
        <v>0</v>
      </c>
      <c r="AB135" s="24">
        <f>IF(AA134&gt;0,ROUND(AB134+ROUND(ROUND(AB134*100,0)*ROUND(Y$7*10000,0)/12000000,0)/100+0.02,2),0)</f>
        <v>0</v>
      </c>
      <c r="AC135" s="24">
        <f>IF(AE134&gt;0,IF(AND(ROUND(AE134+AD135-ROUND(AC$6+IF(AC$5=$C135,$E$5+$E135,0),2),2)&gt;0,ROUND(AE134+AD135-ROUND(AC$6+IF(AC$5=$C135,$E$5+$E135,0),2),2)&lt;=AF135,ROUND(AE134+AD135-ROUND(AC$6+IF(AC$5=$C135,$E$5+$E135,0),2),2)*10&lt;=ROUND(AC$6+IF(AC$5=$C135,$E$5+$E135,0),2)),ROUND(AE134+AD135,2),MIN(ROUND(AC$6+IF(AC$5=$C135,$E$5+$E135,0),2),ROUND(AE134+AD135,2))),0)</f>
        <v>0</v>
      </c>
      <c r="AD135" s="24">
        <f>IF(AE134&gt;0,ROUND(ROUND(AE134*100,0)*ROUND(AC$7*10000,0)/12000000,0)/100,0)</f>
        <v>0</v>
      </c>
      <c r="AE135" s="24">
        <f>IF(AE134&gt;0,ROUND(AE134+AD135-AC135,2),0)</f>
        <v>0</v>
      </c>
      <c r="AF135" s="24">
        <f>IF(AE134&gt;0,ROUND(AF134+ROUND(ROUND(AF134*100,0)*ROUND(AC$7*10000,0)/12000000,0)/100+0.02,2),0)</f>
        <v>0</v>
      </c>
      <c r="AG135" s="24">
        <f>IF(AI134&gt;0,IF(AND(ROUND(AI134+AH135-ROUND(AG$6+IF(AG$5=$C135,$E$5+$E135,0),2),2)&gt;0,ROUND(AI134+AH135-ROUND(AG$6+IF(AG$5=$C135,$E$5+$E135,0),2),2)&lt;=AJ135,ROUND(AI134+AH135-ROUND(AG$6+IF(AG$5=$C135,$E$5+$E135,0),2),2)*10&lt;=ROUND(AG$6+IF(AG$5=$C135,$E$5+$E135,0),2)),ROUND(AI134+AH135,2),MIN(ROUND(AG$6+IF(AG$5=$C135,$E$5+$E135,0),2),ROUND(AI134+AH135,2))),0)</f>
        <v>0</v>
      </c>
      <c r="AH135" s="24">
        <f>IF(AI134&gt;0,ROUND(ROUND(AI134*100,0)*ROUND(AG$7*10000,0)/12000000,0)/100,0)</f>
        <v>0</v>
      </c>
      <c r="AI135" s="24">
        <f>IF(AI134&gt;0,ROUND(AI134+AH135-AG135,2),0)</f>
        <v>0</v>
      </c>
      <c r="AJ135" s="24">
        <f>IF(AI134&gt;0,ROUND(AJ134+ROUND(ROUND(AJ134*100,0)*ROUND(AG$7*10000,0)/12000000,0)/100+0.02,2),0)</f>
        <v>0</v>
      </c>
      <c r="AK135" s="24">
        <f>IF(AM134&gt;0,IF(AND(ROUND(AM134+AL135-ROUND(AK$6+IF(AK$5=$C135,$E$5+$E135,0),2),2)&gt;0,ROUND(AM134+AL135-ROUND(AK$6+IF(AK$5=$C135,$E$5+$E135,0),2),2)&lt;=AN135,ROUND(AM134+AL135-ROUND(AK$6+IF(AK$5=$C135,$E$5+$E135,0),2),2)*10&lt;=ROUND(AK$6+IF(AK$5=$C135,$E$5+$E135,0),2)),ROUND(AM134+AL135,2),MIN(ROUND(AK$6+IF(AK$5=$C135,$E$5+$E135,0),2),ROUND(AM134+AL135,2))),0)</f>
        <v>0</v>
      </c>
      <c r="AL135" s="24">
        <f>IF(AM134&gt;0,ROUND(ROUND(AM134*100,0)*ROUND(AK$7*10000,0)/12000000,0)/100,0)</f>
        <v>0</v>
      </c>
      <c r="AM135" s="24">
        <f>IF(AM134&gt;0,ROUND(AM134+AL135-AK135,2),0)</f>
        <v>0</v>
      </c>
      <c r="AN135" s="24">
        <f>IF(AM134&gt;0,ROUND(AN134+ROUND(ROUND(AN134*100,0)*ROUND(AK$7*10000,0)/12000000,0)/100+0.02,2),0)</f>
        <v>0</v>
      </c>
      <c r="AO135" s="24">
        <f>IF(AQ134&gt;0,IF(AND(ROUND(AQ134+AP135-ROUND(AO$6+IF(AO$5=$C135,$E$5+$E135,0),2),2)&gt;0,ROUND(AQ134+AP135-ROUND(AO$6+IF(AO$5=$C135,$E$5+$E135,0),2),2)&lt;=AR135,ROUND(AQ134+AP135-ROUND(AO$6+IF(AO$5=$C135,$E$5+$E135,0),2),2)*10&lt;=ROUND(AO$6+IF(AO$5=$C135,$E$5+$E135,0),2)),ROUND(AQ134+AP135,2),MIN(ROUND(AO$6+IF(AO$5=$C135,$E$5+$E135,0),2),ROUND(AQ134+AP135,2))),0)</f>
        <v>0</v>
      </c>
      <c r="AP135" s="24">
        <f>IF(AQ134&gt;0,ROUND(ROUND(AQ134*100,0)*ROUND(AO$7*10000,0)/12000000,0)/100,0)</f>
        <v>0</v>
      </c>
      <c r="AQ135" s="24">
        <f>IF(AQ134&gt;0,ROUND(AQ134+AP135-AO135,2),0)</f>
        <v>0</v>
      </c>
      <c r="AR135" s="24">
        <f>IF(AQ134&gt;0,ROUND(AR134+ROUND(ROUND(AR134*100,0)*ROUND(AO$7*10000,0)/12000000,0)/100+0.02,2),0)</f>
        <v>0</v>
      </c>
      <c r="AS135" s="24">
        <f>IF(AU134&gt;0,IF(AND(ROUND(AU134+AT135-ROUND(AS$6+IF(AS$5=$C135,$E$5+$E135,0),2),2)&gt;0,ROUND(AU134+AT135-ROUND(AS$6+IF(AS$5=$C135,$E$5+$E135,0),2),2)&lt;=AV135,ROUND(AU134+AT135-ROUND(AS$6+IF(AS$5=$C135,$E$5+$E135,0),2),2)*10&lt;=ROUND(AS$6+IF(AS$5=$C135,$E$5+$E135,0),2)),ROUND(AU134+AT135,2),MIN(ROUND(AS$6+IF(AS$5=$C135,$E$5+$E135,0),2),ROUND(AU134+AT135,2))),0)</f>
        <v>0</v>
      </c>
      <c r="AT135" s="24">
        <f>IF(AU134&gt;0,ROUND(ROUND(AU134*100,0)*ROUND(AS$7*10000,0)/12000000,0)/100,0)</f>
        <v>0</v>
      </c>
      <c r="AU135" s="24">
        <f>IF(AU134&gt;0,ROUND(AU134+AT135-AS135,2),0)</f>
        <v>0</v>
      </c>
      <c r="AV135" s="24">
        <f>IF(AU134&gt;0,ROUND(AV134+ROUND(ROUND(AV134*100,0)*ROUND(AS$7*10000,0)/12000000,0)/100+0.02,2),0)</f>
        <v>0</v>
      </c>
    </row>
    <row r="136" spans="1:48" x14ac:dyDescent="0.25">
      <c r="A136" s="17" t="str">
        <f>IF(F136&gt;0,126,"")</f>
        <v/>
      </c>
      <c r="B136" s="18" t="str">
        <f>IF(F136&gt;0,EDATE($E$6,126),"")</f>
        <v/>
      </c>
      <c r="C136" s="21">
        <f>IF(H135&gt;0,MIN(IF(K135&gt;0,I$5,99),IF(O135&gt;0,M$5,99),IF(S135&gt;0,Q$5,99),IF(W135&gt;0,U$5,99),IF(AA135&gt;0,Y$5,99),IF(AE135&gt;0,AC$5,99),IF(AI135&gt;0,AG$5,99),IF(AM135&gt;0,AK$5,99),IF(AQ135&gt;0,AO$5,99),IF(AU135&gt;0,AS$5,99)),0)</f>
        <v>0</v>
      </c>
      <c r="D136" t="str">
        <f>IF(C136&gt;0,INDEX($I$4:$AV$4,1,MATCH(C136,$I$5:$AV$5,0)),"")</f>
        <v/>
      </c>
      <c r="E136" s="24">
        <f>ROUND(IF(AND(I$8&gt;0,K135=0),I$6,0)+IF(AND(M$8&gt;0,O135=0),M$6,0)+IF(AND(Q$8&gt;0,S135=0),Q$6,0)+IF(AND(U$8&gt;0,W135=0),U$6,0)+IF(AND(Y$8&gt;0,AA135=0),Y$6,0)+IF(AND(AC$8&gt;0,AE135=0),AC$6,0)+IF(AND(AG$8&gt;0,AI135=0),AG$6,0)+IF(AND(AK$8&gt;0,AM135=0),AK$6,0)+IF(AND(AO$8&gt;0,AQ135=0),AO$6,0)+IF(AND(AS$8&gt;0,AU135=0),AS$6,0),2)</f>
        <v>325</v>
      </c>
      <c r="F136" s="24">
        <f>ROUND(I136+M136+Q136+U136+Y136+AC136+AG136+AK136+AO136+AS136,2)</f>
        <v>0</v>
      </c>
      <c r="G136" s="24">
        <f>ROUND(J136+N136+R136+V136+Z136+AD136+AH136+AL136+AP136+AT136,2)</f>
        <v>0</v>
      </c>
      <c r="H136" s="24">
        <f>ROUND(K136+O136+S136+W136+AA136+AE136+AI136+AM136+AQ136+AU136,2)</f>
        <v>0</v>
      </c>
      <c r="I136" s="24">
        <f>IF(K135&gt;0,IF(AND(ROUND(K135+J136-ROUND(I$6+IF(I$5=$C136,$E$5+$E136,0),2),2)&gt;0,ROUND(K135+J136-ROUND(I$6+IF(I$5=$C136,$E$5+$E136,0),2),2)&lt;=L136,ROUND(K135+J136-ROUND(I$6+IF(I$5=$C136,$E$5+$E136,0),2),2)*10&lt;=ROUND(I$6+IF(I$5=$C136,$E$5+$E136,0),2)),ROUND(K135+J136,2),MIN(ROUND(I$6+IF(I$5=$C136,$E$5+$E136,0),2),ROUND(K135+J136,2))),0)</f>
        <v>0</v>
      </c>
      <c r="J136" s="24">
        <f>IF(K135&gt;0,ROUND(ROUND(K135*100,0)*ROUND(I$7*10000,0)/12000000,0)/100,0)</f>
        <v>0</v>
      </c>
      <c r="K136" s="24">
        <f>IF(K135&gt;0,ROUND(K135+J136-I136,2),0)</f>
        <v>0</v>
      </c>
      <c r="L136" s="24">
        <f>IF(K135&gt;0,ROUND(L135+ROUND(ROUND(L135*100,0)*ROUND(I$7*10000,0)/12000000,0)/100+0.02,2),0)</f>
        <v>0</v>
      </c>
      <c r="M136" s="24">
        <f>IF(O135&gt;0,IF(AND(ROUND(O135+N136-ROUND(M$6+IF(M$5=$C136,$E$5+$E136,0),2),2)&gt;0,ROUND(O135+N136-ROUND(M$6+IF(M$5=$C136,$E$5+$E136,0),2),2)&lt;=P136,ROUND(O135+N136-ROUND(M$6+IF(M$5=$C136,$E$5+$E136,0),2),2)*10&lt;=ROUND(M$6+IF(M$5=$C136,$E$5+$E136,0),2)),ROUND(O135+N136,2),MIN(ROUND(M$6+IF(M$5=$C136,$E$5+$E136,0),2),ROUND(O135+N136,2))),0)</f>
        <v>0</v>
      </c>
      <c r="N136" s="24">
        <f>IF(O135&gt;0,ROUND(ROUND(O135*100,0)*ROUND(M$7*10000,0)/12000000,0)/100,0)</f>
        <v>0</v>
      </c>
      <c r="O136" s="24">
        <f>IF(O135&gt;0,ROUND(O135+N136-M136,2),0)</f>
        <v>0</v>
      </c>
      <c r="P136" s="24">
        <f>IF(O135&gt;0,ROUND(P135+ROUND(ROUND(P135*100,0)*ROUND(M$7*10000,0)/12000000,0)/100+0.02,2),0)</f>
        <v>0</v>
      </c>
      <c r="Q136" s="24">
        <f>IF(S135&gt;0,IF(AND(ROUND(S135+R136-ROUND(Q$6+IF(Q$5=$C136,$E$5+$E136,0),2),2)&gt;0,ROUND(S135+R136-ROUND(Q$6+IF(Q$5=$C136,$E$5+$E136,0),2),2)&lt;=T136,ROUND(S135+R136-ROUND(Q$6+IF(Q$5=$C136,$E$5+$E136,0),2),2)*10&lt;=ROUND(Q$6+IF(Q$5=$C136,$E$5+$E136,0),2)),ROUND(S135+R136,2),MIN(ROUND(Q$6+IF(Q$5=$C136,$E$5+$E136,0),2),ROUND(S135+R136,2))),0)</f>
        <v>0</v>
      </c>
      <c r="R136" s="24">
        <f>IF(S135&gt;0,ROUND(ROUND(S135*100,0)*ROUND(Q$7*10000,0)/12000000,0)/100,0)</f>
        <v>0</v>
      </c>
      <c r="S136" s="24">
        <f>IF(S135&gt;0,ROUND(S135+R136-Q136,2),0)</f>
        <v>0</v>
      </c>
      <c r="T136" s="24">
        <f>IF(S135&gt;0,ROUND(T135+ROUND(ROUND(T135*100,0)*ROUND(Q$7*10000,0)/12000000,0)/100+0.02,2),0)</f>
        <v>0</v>
      </c>
      <c r="U136" s="24">
        <f>IF(W135&gt;0,IF(AND(ROUND(W135+V136-ROUND(U$6+IF(U$5=$C136,$E$5+$E136,0),2),2)&gt;0,ROUND(W135+V136-ROUND(U$6+IF(U$5=$C136,$E$5+$E136,0),2),2)&lt;=X136,ROUND(W135+V136-ROUND(U$6+IF(U$5=$C136,$E$5+$E136,0),2),2)*10&lt;=ROUND(U$6+IF(U$5=$C136,$E$5+$E136,0),2)),ROUND(W135+V136,2),MIN(ROUND(U$6+IF(U$5=$C136,$E$5+$E136,0),2),ROUND(W135+V136,2))),0)</f>
        <v>0</v>
      </c>
      <c r="V136" s="24">
        <f>IF(W135&gt;0,ROUND(ROUND(W135*100,0)*ROUND(U$7*10000,0)/12000000,0)/100,0)</f>
        <v>0</v>
      </c>
      <c r="W136" s="24">
        <f>IF(W135&gt;0,ROUND(W135+V136-U136,2),0)</f>
        <v>0</v>
      </c>
      <c r="X136" s="24">
        <f>IF(W135&gt;0,ROUND(X135+ROUND(ROUND(X135*100,0)*ROUND(U$7*10000,0)/12000000,0)/100+0.02,2),0)</f>
        <v>0</v>
      </c>
      <c r="Y136" s="24">
        <f>IF(AA135&gt;0,IF(AND(ROUND(AA135+Z136-ROUND(Y$6+IF(Y$5=$C136,$E$5+$E136,0),2),2)&gt;0,ROUND(AA135+Z136-ROUND(Y$6+IF(Y$5=$C136,$E$5+$E136,0),2),2)&lt;=AB136,ROUND(AA135+Z136-ROUND(Y$6+IF(Y$5=$C136,$E$5+$E136,0),2),2)*10&lt;=ROUND(Y$6+IF(Y$5=$C136,$E$5+$E136,0),2)),ROUND(AA135+Z136,2),MIN(ROUND(Y$6+IF(Y$5=$C136,$E$5+$E136,0),2),ROUND(AA135+Z136,2))),0)</f>
        <v>0</v>
      </c>
      <c r="Z136" s="24">
        <f>IF(AA135&gt;0,ROUND(ROUND(AA135*100,0)*ROUND(Y$7*10000,0)/12000000,0)/100,0)</f>
        <v>0</v>
      </c>
      <c r="AA136" s="24">
        <f>IF(AA135&gt;0,ROUND(AA135+Z136-Y136,2),0)</f>
        <v>0</v>
      </c>
      <c r="AB136" s="24">
        <f>IF(AA135&gt;0,ROUND(AB135+ROUND(ROUND(AB135*100,0)*ROUND(Y$7*10000,0)/12000000,0)/100+0.02,2),0)</f>
        <v>0</v>
      </c>
      <c r="AC136" s="24">
        <f>IF(AE135&gt;0,IF(AND(ROUND(AE135+AD136-ROUND(AC$6+IF(AC$5=$C136,$E$5+$E136,0),2),2)&gt;0,ROUND(AE135+AD136-ROUND(AC$6+IF(AC$5=$C136,$E$5+$E136,0),2),2)&lt;=AF136,ROUND(AE135+AD136-ROUND(AC$6+IF(AC$5=$C136,$E$5+$E136,0),2),2)*10&lt;=ROUND(AC$6+IF(AC$5=$C136,$E$5+$E136,0),2)),ROUND(AE135+AD136,2),MIN(ROUND(AC$6+IF(AC$5=$C136,$E$5+$E136,0),2),ROUND(AE135+AD136,2))),0)</f>
        <v>0</v>
      </c>
      <c r="AD136" s="24">
        <f>IF(AE135&gt;0,ROUND(ROUND(AE135*100,0)*ROUND(AC$7*10000,0)/12000000,0)/100,0)</f>
        <v>0</v>
      </c>
      <c r="AE136" s="24">
        <f>IF(AE135&gt;0,ROUND(AE135+AD136-AC136,2),0)</f>
        <v>0</v>
      </c>
      <c r="AF136" s="24">
        <f>IF(AE135&gt;0,ROUND(AF135+ROUND(ROUND(AF135*100,0)*ROUND(AC$7*10000,0)/12000000,0)/100+0.02,2),0)</f>
        <v>0</v>
      </c>
      <c r="AG136" s="24">
        <f>IF(AI135&gt;0,IF(AND(ROUND(AI135+AH136-ROUND(AG$6+IF(AG$5=$C136,$E$5+$E136,0),2),2)&gt;0,ROUND(AI135+AH136-ROUND(AG$6+IF(AG$5=$C136,$E$5+$E136,0),2),2)&lt;=AJ136,ROUND(AI135+AH136-ROUND(AG$6+IF(AG$5=$C136,$E$5+$E136,0),2),2)*10&lt;=ROUND(AG$6+IF(AG$5=$C136,$E$5+$E136,0),2)),ROUND(AI135+AH136,2),MIN(ROUND(AG$6+IF(AG$5=$C136,$E$5+$E136,0),2),ROUND(AI135+AH136,2))),0)</f>
        <v>0</v>
      </c>
      <c r="AH136" s="24">
        <f>IF(AI135&gt;0,ROUND(ROUND(AI135*100,0)*ROUND(AG$7*10000,0)/12000000,0)/100,0)</f>
        <v>0</v>
      </c>
      <c r="AI136" s="24">
        <f>IF(AI135&gt;0,ROUND(AI135+AH136-AG136,2),0)</f>
        <v>0</v>
      </c>
      <c r="AJ136" s="24">
        <f>IF(AI135&gt;0,ROUND(AJ135+ROUND(ROUND(AJ135*100,0)*ROUND(AG$7*10000,0)/12000000,0)/100+0.02,2),0)</f>
        <v>0</v>
      </c>
      <c r="AK136" s="24">
        <f>IF(AM135&gt;0,IF(AND(ROUND(AM135+AL136-ROUND(AK$6+IF(AK$5=$C136,$E$5+$E136,0),2),2)&gt;0,ROUND(AM135+AL136-ROUND(AK$6+IF(AK$5=$C136,$E$5+$E136,0),2),2)&lt;=AN136,ROUND(AM135+AL136-ROUND(AK$6+IF(AK$5=$C136,$E$5+$E136,0),2),2)*10&lt;=ROUND(AK$6+IF(AK$5=$C136,$E$5+$E136,0),2)),ROUND(AM135+AL136,2),MIN(ROUND(AK$6+IF(AK$5=$C136,$E$5+$E136,0),2),ROUND(AM135+AL136,2))),0)</f>
        <v>0</v>
      </c>
      <c r="AL136" s="24">
        <f>IF(AM135&gt;0,ROUND(ROUND(AM135*100,0)*ROUND(AK$7*10000,0)/12000000,0)/100,0)</f>
        <v>0</v>
      </c>
      <c r="AM136" s="24">
        <f>IF(AM135&gt;0,ROUND(AM135+AL136-AK136,2),0)</f>
        <v>0</v>
      </c>
      <c r="AN136" s="24">
        <f>IF(AM135&gt;0,ROUND(AN135+ROUND(ROUND(AN135*100,0)*ROUND(AK$7*10000,0)/12000000,0)/100+0.02,2),0)</f>
        <v>0</v>
      </c>
      <c r="AO136" s="24">
        <f>IF(AQ135&gt;0,IF(AND(ROUND(AQ135+AP136-ROUND(AO$6+IF(AO$5=$C136,$E$5+$E136,0),2),2)&gt;0,ROUND(AQ135+AP136-ROUND(AO$6+IF(AO$5=$C136,$E$5+$E136,0),2),2)&lt;=AR136,ROUND(AQ135+AP136-ROUND(AO$6+IF(AO$5=$C136,$E$5+$E136,0),2),2)*10&lt;=ROUND(AO$6+IF(AO$5=$C136,$E$5+$E136,0),2)),ROUND(AQ135+AP136,2),MIN(ROUND(AO$6+IF(AO$5=$C136,$E$5+$E136,0),2),ROUND(AQ135+AP136,2))),0)</f>
        <v>0</v>
      </c>
      <c r="AP136" s="24">
        <f>IF(AQ135&gt;0,ROUND(ROUND(AQ135*100,0)*ROUND(AO$7*10000,0)/12000000,0)/100,0)</f>
        <v>0</v>
      </c>
      <c r="AQ136" s="24">
        <f>IF(AQ135&gt;0,ROUND(AQ135+AP136-AO136,2),0)</f>
        <v>0</v>
      </c>
      <c r="AR136" s="24">
        <f>IF(AQ135&gt;0,ROUND(AR135+ROUND(ROUND(AR135*100,0)*ROUND(AO$7*10000,0)/12000000,0)/100+0.02,2),0)</f>
        <v>0</v>
      </c>
      <c r="AS136" s="24">
        <f>IF(AU135&gt;0,IF(AND(ROUND(AU135+AT136-ROUND(AS$6+IF(AS$5=$C136,$E$5+$E136,0),2),2)&gt;0,ROUND(AU135+AT136-ROUND(AS$6+IF(AS$5=$C136,$E$5+$E136,0),2),2)&lt;=AV136,ROUND(AU135+AT136-ROUND(AS$6+IF(AS$5=$C136,$E$5+$E136,0),2),2)*10&lt;=ROUND(AS$6+IF(AS$5=$C136,$E$5+$E136,0),2)),ROUND(AU135+AT136,2),MIN(ROUND(AS$6+IF(AS$5=$C136,$E$5+$E136,0),2),ROUND(AU135+AT136,2))),0)</f>
        <v>0</v>
      </c>
      <c r="AT136" s="24">
        <f>IF(AU135&gt;0,ROUND(ROUND(AU135*100,0)*ROUND(AS$7*10000,0)/12000000,0)/100,0)</f>
        <v>0</v>
      </c>
      <c r="AU136" s="24">
        <f>IF(AU135&gt;0,ROUND(AU135+AT136-AS136,2),0)</f>
        <v>0</v>
      </c>
      <c r="AV136" s="24">
        <f>IF(AU135&gt;0,ROUND(AV135+ROUND(ROUND(AV135*100,0)*ROUND(AS$7*10000,0)/12000000,0)/100+0.02,2),0)</f>
        <v>0</v>
      </c>
    </row>
    <row r="137" spans="1:48" x14ac:dyDescent="0.25">
      <c r="A137" s="17" t="str">
        <f>IF(F137&gt;0,127,"")</f>
        <v/>
      </c>
      <c r="B137" s="18" t="str">
        <f>IF(F137&gt;0,EDATE($E$6,127),"")</f>
        <v/>
      </c>
      <c r="C137" s="21">
        <f>IF(H136&gt;0,MIN(IF(K136&gt;0,I$5,99),IF(O136&gt;0,M$5,99),IF(S136&gt;0,Q$5,99),IF(W136&gt;0,U$5,99),IF(AA136&gt;0,Y$5,99),IF(AE136&gt;0,AC$5,99),IF(AI136&gt;0,AG$5,99),IF(AM136&gt;0,AK$5,99),IF(AQ136&gt;0,AO$5,99),IF(AU136&gt;0,AS$5,99)),0)</f>
        <v>0</v>
      </c>
      <c r="D137" t="str">
        <f>IF(C137&gt;0,INDEX($I$4:$AV$4,1,MATCH(C137,$I$5:$AV$5,0)),"")</f>
        <v/>
      </c>
      <c r="E137" s="24">
        <f>ROUND(IF(AND(I$8&gt;0,K136=0),I$6,0)+IF(AND(M$8&gt;0,O136=0),M$6,0)+IF(AND(Q$8&gt;0,S136=0),Q$6,0)+IF(AND(U$8&gt;0,W136=0),U$6,0)+IF(AND(Y$8&gt;0,AA136=0),Y$6,0)+IF(AND(AC$8&gt;0,AE136=0),AC$6,0)+IF(AND(AG$8&gt;0,AI136=0),AG$6,0)+IF(AND(AK$8&gt;0,AM136=0),AK$6,0)+IF(AND(AO$8&gt;0,AQ136=0),AO$6,0)+IF(AND(AS$8&gt;0,AU136=0),AS$6,0),2)</f>
        <v>325</v>
      </c>
      <c r="F137" s="24">
        <f>ROUND(I137+M137+Q137+U137+Y137+AC137+AG137+AK137+AO137+AS137,2)</f>
        <v>0</v>
      </c>
      <c r="G137" s="24">
        <f>ROUND(J137+N137+R137+V137+Z137+AD137+AH137+AL137+AP137+AT137,2)</f>
        <v>0</v>
      </c>
      <c r="H137" s="24">
        <f>ROUND(K137+O137+S137+W137+AA137+AE137+AI137+AM137+AQ137+AU137,2)</f>
        <v>0</v>
      </c>
      <c r="I137" s="24">
        <f>IF(K136&gt;0,IF(AND(ROUND(K136+J137-ROUND(I$6+IF(I$5=$C137,$E$5+$E137,0),2),2)&gt;0,ROUND(K136+J137-ROUND(I$6+IF(I$5=$C137,$E$5+$E137,0),2),2)&lt;=L137,ROUND(K136+J137-ROUND(I$6+IF(I$5=$C137,$E$5+$E137,0),2),2)*10&lt;=ROUND(I$6+IF(I$5=$C137,$E$5+$E137,0),2)),ROUND(K136+J137,2),MIN(ROUND(I$6+IF(I$5=$C137,$E$5+$E137,0),2),ROUND(K136+J137,2))),0)</f>
        <v>0</v>
      </c>
      <c r="J137" s="24">
        <f>IF(K136&gt;0,ROUND(ROUND(K136*100,0)*ROUND(I$7*10000,0)/12000000,0)/100,0)</f>
        <v>0</v>
      </c>
      <c r="K137" s="24">
        <f>IF(K136&gt;0,ROUND(K136+J137-I137,2),0)</f>
        <v>0</v>
      </c>
      <c r="L137" s="24">
        <f>IF(K136&gt;0,ROUND(L136+ROUND(ROUND(L136*100,0)*ROUND(I$7*10000,0)/12000000,0)/100+0.02,2),0)</f>
        <v>0</v>
      </c>
      <c r="M137" s="24">
        <f>IF(O136&gt;0,IF(AND(ROUND(O136+N137-ROUND(M$6+IF(M$5=$C137,$E$5+$E137,0),2),2)&gt;0,ROUND(O136+N137-ROUND(M$6+IF(M$5=$C137,$E$5+$E137,0),2),2)&lt;=P137,ROUND(O136+N137-ROUND(M$6+IF(M$5=$C137,$E$5+$E137,0),2),2)*10&lt;=ROUND(M$6+IF(M$5=$C137,$E$5+$E137,0),2)),ROUND(O136+N137,2),MIN(ROUND(M$6+IF(M$5=$C137,$E$5+$E137,0),2),ROUND(O136+N137,2))),0)</f>
        <v>0</v>
      </c>
      <c r="N137" s="24">
        <f>IF(O136&gt;0,ROUND(ROUND(O136*100,0)*ROUND(M$7*10000,0)/12000000,0)/100,0)</f>
        <v>0</v>
      </c>
      <c r="O137" s="24">
        <f>IF(O136&gt;0,ROUND(O136+N137-M137,2),0)</f>
        <v>0</v>
      </c>
      <c r="P137" s="24">
        <f>IF(O136&gt;0,ROUND(P136+ROUND(ROUND(P136*100,0)*ROUND(M$7*10000,0)/12000000,0)/100+0.02,2),0)</f>
        <v>0</v>
      </c>
      <c r="Q137" s="24">
        <f>IF(S136&gt;0,IF(AND(ROUND(S136+R137-ROUND(Q$6+IF(Q$5=$C137,$E$5+$E137,0),2),2)&gt;0,ROUND(S136+R137-ROUND(Q$6+IF(Q$5=$C137,$E$5+$E137,0),2),2)&lt;=T137,ROUND(S136+R137-ROUND(Q$6+IF(Q$5=$C137,$E$5+$E137,0),2),2)*10&lt;=ROUND(Q$6+IF(Q$5=$C137,$E$5+$E137,0),2)),ROUND(S136+R137,2),MIN(ROUND(Q$6+IF(Q$5=$C137,$E$5+$E137,0),2),ROUND(S136+R137,2))),0)</f>
        <v>0</v>
      </c>
      <c r="R137" s="24">
        <f>IF(S136&gt;0,ROUND(ROUND(S136*100,0)*ROUND(Q$7*10000,0)/12000000,0)/100,0)</f>
        <v>0</v>
      </c>
      <c r="S137" s="24">
        <f>IF(S136&gt;0,ROUND(S136+R137-Q137,2),0)</f>
        <v>0</v>
      </c>
      <c r="T137" s="24">
        <f>IF(S136&gt;0,ROUND(T136+ROUND(ROUND(T136*100,0)*ROUND(Q$7*10000,0)/12000000,0)/100+0.02,2),0)</f>
        <v>0</v>
      </c>
      <c r="U137" s="24">
        <f>IF(W136&gt;0,IF(AND(ROUND(W136+V137-ROUND(U$6+IF(U$5=$C137,$E$5+$E137,0),2),2)&gt;0,ROUND(W136+V137-ROUND(U$6+IF(U$5=$C137,$E$5+$E137,0),2),2)&lt;=X137,ROUND(W136+V137-ROUND(U$6+IF(U$5=$C137,$E$5+$E137,0),2),2)*10&lt;=ROUND(U$6+IF(U$5=$C137,$E$5+$E137,0),2)),ROUND(W136+V137,2),MIN(ROUND(U$6+IF(U$5=$C137,$E$5+$E137,0),2),ROUND(W136+V137,2))),0)</f>
        <v>0</v>
      </c>
      <c r="V137" s="24">
        <f>IF(W136&gt;0,ROUND(ROUND(W136*100,0)*ROUND(U$7*10000,0)/12000000,0)/100,0)</f>
        <v>0</v>
      </c>
      <c r="W137" s="24">
        <f>IF(W136&gt;0,ROUND(W136+V137-U137,2),0)</f>
        <v>0</v>
      </c>
      <c r="X137" s="24">
        <f>IF(W136&gt;0,ROUND(X136+ROUND(ROUND(X136*100,0)*ROUND(U$7*10000,0)/12000000,0)/100+0.02,2),0)</f>
        <v>0</v>
      </c>
      <c r="Y137" s="24">
        <f>IF(AA136&gt;0,IF(AND(ROUND(AA136+Z137-ROUND(Y$6+IF(Y$5=$C137,$E$5+$E137,0),2),2)&gt;0,ROUND(AA136+Z137-ROUND(Y$6+IF(Y$5=$C137,$E$5+$E137,0),2),2)&lt;=AB137,ROUND(AA136+Z137-ROUND(Y$6+IF(Y$5=$C137,$E$5+$E137,0),2),2)*10&lt;=ROUND(Y$6+IF(Y$5=$C137,$E$5+$E137,0),2)),ROUND(AA136+Z137,2),MIN(ROUND(Y$6+IF(Y$5=$C137,$E$5+$E137,0),2),ROUND(AA136+Z137,2))),0)</f>
        <v>0</v>
      </c>
      <c r="Z137" s="24">
        <f>IF(AA136&gt;0,ROUND(ROUND(AA136*100,0)*ROUND(Y$7*10000,0)/12000000,0)/100,0)</f>
        <v>0</v>
      </c>
      <c r="AA137" s="24">
        <f>IF(AA136&gt;0,ROUND(AA136+Z137-Y137,2),0)</f>
        <v>0</v>
      </c>
      <c r="AB137" s="24">
        <f>IF(AA136&gt;0,ROUND(AB136+ROUND(ROUND(AB136*100,0)*ROUND(Y$7*10000,0)/12000000,0)/100+0.02,2),0)</f>
        <v>0</v>
      </c>
      <c r="AC137" s="24">
        <f>IF(AE136&gt;0,IF(AND(ROUND(AE136+AD137-ROUND(AC$6+IF(AC$5=$C137,$E$5+$E137,0),2),2)&gt;0,ROUND(AE136+AD137-ROUND(AC$6+IF(AC$5=$C137,$E$5+$E137,0),2),2)&lt;=AF137,ROUND(AE136+AD137-ROUND(AC$6+IF(AC$5=$C137,$E$5+$E137,0),2),2)*10&lt;=ROUND(AC$6+IF(AC$5=$C137,$E$5+$E137,0),2)),ROUND(AE136+AD137,2),MIN(ROUND(AC$6+IF(AC$5=$C137,$E$5+$E137,0),2),ROUND(AE136+AD137,2))),0)</f>
        <v>0</v>
      </c>
      <c r="AD137" s="24">
        <f>IF(AE136&gt;0,ROUND(ROUND(AE136*100,0)*ROUND(AC$7*10000,0)/12000000,0)/100,0)</f>
        <v>0</v>
      </c>
      <c r="AE137" s="24">
        <f>IF(AE136&gt;0,ROUND(AE136+AD137-AC137,2),0)</f>
        <v>0</v>
      </c>
      <c r="AF137" s="24">
        <f>IF(AE136&gt;0,ROUND(AF136+ROUND(ROUND(AF136*100,0)*ROUND(AC$7*10000,0)/12000000,0)/100+0.02,2),0)</f>
        <v>0</v>
      </c>
      <c r="AG137" s="24">
        <f>IF(AI136&gt;0,IF(AND(ROUND(AI136+AH137-ROUND(AG$6+IF(AG$5=$C137,$E$5+$E137,0),2),2)&gt;0,ROUND(AI136+AH137-ROUND(AG$6+IF(AG$5=$C137,$E$5+$E137,0),2),2)&lt;=AJ137,ROUND(AI136+AH137-ROUND(AG$6+IF(AG$5=$C137,$E$5+$E137,0),2),2)*10&lt;=ROUND(AG$6+IF(AG$5=$C137,$E$5+$E137,0),2)),ROUND(AI136+AH137,2),MIN(ROUND(AG$6+IF(AG$5=$C137,$E$5+$E137,0),2),ROUND(AI136+AH137,2))),0)</f>
        <v>0</v>
      </c>
      <c r="AH137" s="24">
        <f>IF(AI136&gt;0,ROUND(ROUND(AI136*100,0)*ROUND(AG$7*10000,0)/12000000,0)/100,0)</f>
        <v>0</v>
      </c>
      <c r="AI137" s="24">
        <f>IF(AI136&gt;0,ROUND(AI136+AH137-AG137,2),0)</f>
        <v>0</v>
      </c>
      <c r="AJ137" s="24">
        <f>IF(AI136&gt;0,ROUND(AJ136+ROUND(ROUND(AJ136*100,0)*ROUND(AG$7*10000,0)/12000000,0)/100+0.02,2),0)</f>
        <v>0</v>
      </c>
      <c r="AK137" s="24">
        <f>IF(AM136&gt;0,IF(AND(ROUND(AM136+AL137-ROUND(AK$6+IF(AK$5=$C137,$E$5+$E137,0),2),2)&gt;0,ROUND(AM136+AL137-ROUND(AK$6+IF(AK$5=$C137,$E$5+$E137,0),2),2)&lt;=AN137,ROUND(AM136+AL137-ROUND(AK$6+IF(AK$5=$C137,$E$5+$E137,0),2),2)*10&lt;=ROUND(AK$6+IF(AK$5=$C137,$E$5+$E137,0),2)),ROUND(AM136+AL137,2),MIN(ROUND(AK$6+IF(AK$5=$C137,$E$5+$E137,0),2),ROUND(AM136+AL137,2))),0)</f>
        <v>0</v>
      </c>
      <c r="AL137" s="24">
        <f>IF(AM136&gt;0,ROUND(ROUND(AM136*100,0)*ROUND(AK$7*10000,0)/12000000,0)/100,0)</f>
        <v>0</v>
      </c>
      <c r="AM137" s="24">
        <f>IF(AM136&gt;0,ROUND(AM136+AL137-AK137,2),0)</f>
        <v>0</v>
      </c>
      <c r="AN137" s="24">
        <f>IF(AM136&gt;0,ROUND(AN136+ROUND(ROUND(AN136*100,0)*ROUND(AK$7*10000,0)/12000000,0)/100+0.02,2),0)</f>
        <v>0</v>
      </c>
      <c r="AO137" s="24">
        <f>IF(AQ136&gt;0,IF(AND(ROUND(AQ136+AP137-ROUND(AO$6+IF(AO$5=$C137,$E$5+$E137,0),2),2)&gt;0,ROUND(AQ136+AP137-ROUND(AO$6+IF(AO$5=$C137,$E$5+$E137,0),2),2)&lt;=AR137,ROUND(AQ136+AP137-ROUND(AO$6+IF(AO$5=$C137,$E$5+$E137,0),2),2)*10&lt;=ROUND(AO$6+IF(AO$5=$C137,$E$5+$E137,0),2)),ROUND(AQ136+AP137,2),MIN(ROUND(AO$6+IF(AO$5=$C137,$E$5+$E137,0),2),ROUND(AQ136+AP137,2))),0)</f>
        <v>0</v>
      </c>
      <c r="AP137" s="24">
        <f>IF(AQ136&gt;0,ROUND(ROUND(AQ136*100,0)*ROUND(AO$7*10000,0)/12000000,0)/100,0)</f>
        <v>0</v>
      </c>
      <c r="AQ137" s="24">
        <f>IF(AQ136&gt;0,ROUND(AQ136+AP137-AO137,2),0)</f>
        <v>0</v>
      </c>
      <c r="AR137" s="24">
        <f>IF(AQ136&gt;0,ROUND(AR136+ROUND(ROUND(AR136*100,0)*ROUND(AO$7*10000,0)/12000000,0)/100+0.02,2),0)</f>
        <v>0</v>
      </c>
      <c r="AS137" s="24">
        <f>IF(AU136&gt;0,IF(AND(ROUND(AU136+AT137-ROUND(AS$6+IF(AS$5=$C137,$E$5+$E137,0),2),2)&gt;0,ROUND(AU136+AT137-ROUND(AS$6+IF(AS$5=$C137,$E$5+$E137,0),2),2)&lt;=AV137,ROUND(AU136+AT137-ROUND(AS$6+IF(AS$5=$C137,$E$5+$E137,0),2),2)*10&lt;=ROUND(AS$6+IF(AS$5=$C137,$E$5+$E137,0),2)),ROUND(AU136+AT137,2),MIN(ROUND(AS$6+IF(AS$5=$C137,$E$5+$E137,0),2),ROUND(AU136+AT137,2))),0)</f>
        <v>0</v>
      </c>
      <c r="AT137" s="24">
        <f>IF(AU136&gt;0,ROUND(ROUND(AU136*100,0)*ROUND(AS$7*10000,0)/12000000,0)/100,0)</f>
        <v>0</v>
      </c>
      <c r="AU137" s="24">
        <f>IF(AU136&gt;0,ROUND(AU136+AT137-AS137,2),0)</f>
        <v>0</v>
      </c>
      <c r="AV137" s="24">
        <f>IF(AU136&gt;0,ROUND(AV136+ROUND(ROUND(AV136*100,0)*ROUND(AS$7*10000,0)/12000000,0)/100+0.02,2),0)</f>
        <v>0</v>
      </c>
    </row>
    <row r="138" spans="1:48" x14ac:dyDescent="0.25">
      <c r="A138" s="17" t="str">
        <f>IF(F138&gt;0,128,"")</f>
        <v/>
      </c>
      <c r="B138" s="18" t="str">
        <f>IF(F138&gt;0,EDATE($E$6,128),"")</f>
        <v/>
      </c>
      <c r="C138" s="21">
        <f>IF(H137&gt;0,MIN(IF(K137&gt;0,I$5,99),IF(O137&gt;0,M$5,99),IF(S137&gt;0,Q$5,99),IF(W137&gt;0,U$5,99),IF(AA137&gt;0,Y$5,99),IF(AE137&gt;0,AC$5,99),IF(AI137&gt;0,AG$5,99),IF(AM137&gt;0,AK$5,99),IF(AQ137&gt;0,AO$5,99),IF(AU137&gt;0,AS$5,99)),0)</f>
        <v>0</v>
      </c>
      <c r="D138" t="str">
        <f>IF(C138&gt;0,INDEX($I$4:$AV$4,1,MATCH(C138,$I$5:$AV$5,0)),"")</f>
        <v/>
      </c>
      <c r="E138" s="24">
        <f>ROUND(IF(AND(I$8&gt;0,K137=0),I$6,0)+IF(AND(M$8&gt;0,O137=0),M$6,0)+IF(AND(Q$8&gt;0,S137=0),Q$6,0)+IF(AND(U$8&gt;0,W137=0),U$6,0)+IF(AND(Y$8&gt;0,AA137=0),Y$6,0)+IF(AND(AC$8&gt;0,AE137=0),AC$6,0)+IF(AND(AG$8&gt;0,AI137=0),AG$6,0)+IF(AND(AK$8&gt;0,AM137=0),AK$6,0)+IF(AND(AO$8&gt;0,AQ137=0),AO$6,0)+IF(AND(AS$8&gt;0,AU137=0),AS$6,0),2)</f>
        <v>325</v>
      </c>
      <c r="F138" s="24">
        <f>ROUND(I138+M138+Q138+U138+Y138+AC138+AG138+AK138+AO138+AS138,2)</f>
        <v>0</v>
      </c>
      <c r="G138" s="24">
        <f>ROUND(J138+N138+R138+V138+Z138+AD138+AH138+AL138+AP138+AT138,2)</f>
        <v>0</v>
      </c>
      <c r="H138" s="24">
        <f>ROUND(K138+O138+S138+W138+AA138+AE138+AI138+AM138+AQ138+AU138,2)</f>
        <v>0</v>
      </c>
      <c r="I138" s="24">
        <f>IF(K137&gt;0,IF(AND(ROUND(K137+J138-ROUND(I$6+IF(I$5=$C138,$E$5+$E138,0),2),2)&gt;0,ROUND(K137+J138-ROUND(I$6+IF(I$5=$C138,$E$5+$E138,0),2),2)&lt;=L138,ROUND(K137+J138-ROUND(I$6+IF(I$5=$C138,$E$5+$E138,0),2),2)*10&lt;=ROUND(I$6+IF(I$5=$C138,$E$5+$E138,0),2)),ROUND(K137+J138,2),MIN(ROUND(I$6+IF(I$5=$C138,$E$5+$E138,0),2),ROUND(K137+J138,2))),0)</f>
        <v>0</v>
      </c>
      <c r="J138" s="24">
        <f>IF(K137&gt;0,ROUND(ROUND(K137*100,0)*ROUND(I$7*10000,0)/12000000,0)/100,0)</f>
        <v>0</v>
      </c>
      <c r="K138" s="24">
        <f>IF(K137&gt;0,ROUND(K137+J138-I138,2),0)</f>
        <v>0</v>
      </c>
      <c r="L138" s="24">
        <f>IF(K137&gt;0,ROUND(L137+ROUND(ROUND(L137*100,0)*ROUND(I$7*10000,0)/12000000,0)/100+0.02,2),0)</f>
        <v>0</v>
      </c>
      <c r="M138" s="24">
        <f>IF(O137&gt;0,IF(AND(ROUND(O137+N138-ROUND(M$6+IF(M$5=$C138,$E$5+$E138,0),2),2)&gt;0,ROUND(O137+N138-ROUND(M$6+IF(M$5=$C138,$E$5+$E138,0),2),2)&lt;=P138,ROUND(O137+N138-ROUND(M$6+IF(M$5=$C138,$E$5+$E138,0),2),2)*10&lt;=ROUND(M$6+IF(M$5=$C138,$E$5+$E138,0),2)),ROUND(O137+N138,2),MIN(ROUND(M$6+IF(M$5=$C138,$E$5+$E138,0),2),ROUND(O137+N138,2))),0)</f>
        <v>0</v>
      </c>
      <c r="N138" s="24">
        <f>IF(O137&gt;0,ROUND(ROUND(O137*100,0)*ROUND(M$7*10000,0)/12000000,0)/100,0)</f>
        <v>0</v>
      </c>
      <c r="O138" s="24">
        <f>IF(O137&gt;0,ROUND(O137+N138-M138,2),0)</f>
        <v>0</v>
      </c>
      <c r="P138" s="24">
        <f>IF(O137&gt;0,ROUND(P137+ROUND(ROUND(P137*100,0)*ROUND(M$7*10000,0)/12000000,0)/100+0.02,2),0)</f>
        <v>0</v>
      </c>
      <c r="Q138" s="24">
        <f>IF(S137&gt;0,IF(AND(ROUND(S137+R138-ROUND(Q$6+IF(Q$5=$C138,$E$5+$E138,0),2),2)&gt;0,ROUND(S137+R138-ROUND(Q$6+IF(Q$5=$C138,$E$5+$E138,0),2),2)&lt;=T138,ROUND(S137+R138-ROUND(Q$6+IF(Q$5=$C138,$E$5+$E138,0),2),2)*10&lt;=ROUND(Q$6+IF(Q$5=$C138,$E$5+$E138,0),2)),ROUND(S137+R138,2),MIN(ROUND(Q$6+IF(Q$5=$C138,$E$5+$E138,0),2),ROUND(S137+R138,2))),0)</f>
        <v>0</v>
      </c>
      <c r="R138" s="24">
        <f>IF(S137&gt;0,ROUND(ROUND(S137*100,0)*ROUND(Q$7*10000,0)/12000000,0)/100,0)</f>
        <v>0</v>
      </c>
      <c r="S138" s="24">
        <f>IF(S137&gt;0,ROUND(S137+R138-Q138,2),0)</f>
        <v>0</v>
      </c>
      <c r="T138" s="24">
        <f>IF(S137&gt;0,ROUND(T137+ROUND(ROUND(T137*100,0)*ROUND(Q$7*10000,0)/12000000,0)/100+0.02,2),0)</f>
        <v>0</v>
      </c>
      <c r="U138" s="24">
        <f>IF(W137&gt;0,IF(AND(ROUND(W137+V138-ROUND(U$6+IF(U$5=$C138,$E$5+$E138,0),2),2)&gt;0,ROUND(W137+V138-ROUND(U$6+IF(U$5=$C138,$E$5+$E138,0),2),2)&lt;=X138,ROUND(W137+V138-ROUND(U$6+IF(U$5=$C138,$E$5+$E138,0),2),2)*10&lt;=ROUND(U$6+IF(U$5=$C138,$E$5+$E138,0),2)),ROUND(W137+V138,2),MIN(ROUND(U$6+IF(U$5=$C138,$E$5+$E138,0),2),ROUND(W137+V138,2))),0)</f>
        <v>0</v>
      </c>
      <c r="V138" s="24">
        <f>IF(W137&gt;0,ROUND(ROUND(W137*100,0)*ROUND(U$7*10000,0)/12000000,0)/100,0)</f>
        <v>0</v>
      </c>
      <c r="W138" s="24">
        <f>IF(W137&gt;0,ROUND(W137+V138-U138,2),0)</f>
        <v>0</v>
      </c>
      <c r="X138" s="24">
        <f>IF(W137&gt;0,ROUND(X137+ROUND(ROUND(X137*100,0)*ROUND(U$7*10000,0)/12000000,0)/100+0.02,2),0)</f>
        <v>0</v>
      </c>
      <c r="Y138" s="24">
        <f>IF(AA137&gt;0,IF(AND(ROUND(AA137+Z138-ROUND(Y$6+IF(Y$5=$C138,$E$5+$E138,0),2),2)&gt;0,ROUND(AA137+Z138-ROUND(Y$6+IF(Y$5=$C138,$E$5+$E138,0),2),2)&lt;=AB138,ROUND(AA137+Z138-ROUND(Y$6+IF(Y$5=$C138,$E$5+$E138,0),2),2)*10&lt;=ROUND(Y$6+IF(Y$5=$C138,$E$5+$E138,0),2)),ROUND(AA137+Z138,2),MIN(ROUND(Y$6+IF(Y$5=$C138,$E$5+$E138,0),2),ROUND(AA137+Z138,2))),0)</f>
        <v>0</v>
      </c>
      <c r="Z138" s="24">
        <f>IF(AA137&gt;0,ROUND(ROUND(AA137*100,0)*ROUND(Y$7*10000,0)/12000000,0)/100,0)</f>
        <v>0</v>
      </c>
      <c r="AA138" s="24">
        <f>IF(AA137&gt;0,ROUND(AA137+Z138-Y138,2),0)</f>
        <v>0</v>
      </c>
      <c r="AB138" s="24">
        <f>IF(AA137&gt;0,ROUND(AB137+ROUND(ROUND(AB137*100,0)*ROUND(Y$7*10000,0)/12000000,0)/100+0.02,2),0)</f>
        <v>0</v>
      </c>
      <c r="AC138" s="24">
        <f>IF(AE137&gt;0,IF(AND(ROUND(AE137+AD138-ROUND(AC$6+IF(AC$5=$C138,$E$5+$E138,0),2),2)&gt;0,ROUND(AE137+AD138-ROUND(AC$6+IF(AC$5=$C138,$E$5+$E138,0),2),2)&lt;=AF138,ROUND(AE137+AD138-ROUND(AC$6+IF(AC$5=$C138,$E$5+$E138,0),2),2)*10&lt;=ROUND(AC$6+IF(AC$5=$C138,$E$5+$E138,0),2)),ROUND(AE137+AD138,2),MIN(ROUND(AC$6+IF(AC$5=$C138,$E$5+$E138,0),2),ROUND(AE137+AD138,2))),0)</f>
        <v>0</v>
      </c>
      <c r="AD138" s="24">
        <f>IF(AE137&gt;0,ROUND(ROUND(AE137*100,0)*ROUND(AC$7*10000,0)/12000000,0)/100,0)</f>
        <v>0</v>
      </c>
      <c r="AE138" s="24">
        <f>IF(AE137&gt;0,ROUND(AE137+AD138-AC138,2),0)</f>
        <v>0</v>
      </c>
      <c r="AF138" s="24">
        <f>IF(AE137&gt;0,ROUND(AF137+ROUND(ROUND(AF137*100,0)*ROUND(AC$7*10000,0)/12000000,0)/100+0.02,2),0)</f>
        <v>0</v>
      </c>
      <c r="AG138" s="24">
        <f>IF(AI137&gt;0,IF(AND(ROUND(AI137+AH138-ROUND(AG$6+IF(AG$5=$C138,$E$5+$E138,0),2),2)&gt;0,ROUND(AI137+AH138-ROUND(AG$6+IF(AG$5=$C138,$E$5+$E138,0),2),2)&lt;=AJ138,ROUND(AI137+AH138-ROUND(AG$6+IF(AG$5=$C138,$E$5+$E138,0),2),2)*10&lt;=ROUND(AG$6+IF(AG$5=$C138,$E$5+$E138,0),2)),ROUND(AI137+AH138,2),MIN(ROUND(AG$6+IF(AG$5=$C138,$E$5+$E138,0),2),ROUND(AI137+AH138,2))),0)</f>
        <v>0</v>
      </c>
      <c r="AH138" s="24">
        <f>IF(AI137&gt;0,ROUND(ROUND(AI137*100,0)*ROUND(AG$7*10000,0)/12000000,0)/100,0)</f>
        <v>0</v>
      </c>
      <c r="AI138" s="24">
        <f>IF(AI137&gt;0,ROUND(AI137+AH138-AG138,2),0)</f>
        <v>0</v>
      </c>
      <c r="AJ138" s="24">
        <f>IF(AI137&gt;0,ROUND(AJ137+ROUND(ROUND(AJ137*100,0)*ROUND(AG$7*10000,0)/12000000,0)/100+0.02,2),0)</f>
        <v>0</v>
      </c>
      <c r="AK138" s="24">
        <f>IF(AM137&gt;0,IF(AND(ROUND(AM137+AL138-ROUND(AK$6+IF(AK$5=$C138,$E$5+$E138,0),2),2)&gt;0,ROUND(AM137+AL138-ROUND(AK$6+IF(AK$5=$C138,$E$5+$E138,0),2),2)&lt;=AN138,ROUND(AM137+AL138-ROUND(AK$6+IF(AK$5=$C138,$E$5+$E138,0),2),2)*10&lt;=ROUND(AK$6+IF(AK$5=$C138,$E$5+$E138,0),2)),ROUND(AM137+AL138,2),MIN(ROUND(AK$6+IF(AK$5=$C138,$E$5+$E138,0),2),ROUND(AM137+AL138,2))),0)</f>
        <v>0</v>
      </c>
      <c r="AL138" s="24">
        <f>IF(AM137&gt;0,ROUND(ROUND(AM137*100,0)*ROUND(AK$7*10000,0)/12000000,0)/100,0)</f>
        <v>0</v>
      </c>
      <c r="AM138" s="24">
        <f>IF(AM137&gt;0,ROUND(AM137+AL138-AK138,2),0)</f>
        <v>0</v>
      </c>
      <c r="AN138" s="24">
        <f>IF(AM137&gt;0,ROUND(AN137+ROUND(ROUND(AN137*100,0)*ROUND(AK$7*10000,0)/12000000,0)/100+0.02,2),0)</f>
        <v>0</v>
      </c>
      <c r="AO138" s="24">
        <f>IF(AQ137&gt;0,IF(AND(ROUND(AQ137+AP138-ROUND(AO$6+IF(AO$5=$C138,$E$5+$E138,0),2),2)&gt;0,ROUND(AQ137+AP138-ROUND(AO$6+IF(AO$5=$C138,$E$5+$E138,0),2),2)&lt;=AR138,ROUND(AQ137+AP138-ROUND(AO$6+IF(AO$5=$C138,$E$5+$E138,0),2),2)*10&lt;=ROUND(AO$6+IF(AO$5=$C138,$E$5+$E138,0),2)),ROUND(AQ137+AP138,2),MIN(ROUND(AO$6+IF(AO$5=$C138,$E$5+$E138,0),2),ROUND(AQ137+AP138,2))),0)</f>
        <v>0</v>
      </c>
      <c r="AP138" s="24">
        <f>IF(AQ137&gt;0,ROUND(ROUND(AQ137*100,0)*ROUND(AO$7*10000,0)/12000000,0)/100,0)</f>
        <v>0</v>
      </c>
      <c r="AQ138" s="24">
        <f>IF(AQ137&gt;0,ROUND(AQ137+AP138-AO138,2),0)</f>
        <v>0</v>
      </c>
      <c r="AR138" s="24">
        <f>IF(AQ137&gt;0,ROUND(AR137+ROUND(ROUND(AR137*100,0)*ROUND(AO$7*10000,0)/12000000,0)/100+0.02,2),0)</f>
        <v>0</v>
      </c>
      <c r="AS138" s="24">
        <f>IF(AU137&gt;0,IF(AND(ROUND(AU137+AT138-ROUND(AS$6+IF(AS$5=$C138,$E$5+$E138,0),2),2)&gt;0,ROUND(AU137+AT138-ROUND(AS$6+IF(AS$5=$C138,$E$5+$E138,0),2),2)&lt;=AV138,ROUND(AU137+AT138-ROUND(AS$6+IF(AS$5=$C138,$E$5+$E138,0),2),2)*10&lt;=ROUND(AS$6+IF(AS$5=$C138,$E$5+$E138,0),2)),ROUND(AU137+AT138,2),MIN(ROUND(AS$6+IF(AS$5=$C138,$E$5+$E138,0),2),ROUND(AU137+AT138,2))),0)</f>
        <v>0</v>
      </c>
      <c r="AT138" s="24">
        <f>IF(AU137&gt;0,ROUND(ROUND(AU137*100,0)*ROUND(AS$7*10000,0)/12000000,0)/100,0)</f>
        <v>0</v>
      </c>
      <c r="AU138" s="24">
        <f>IF(AU137&gt;0,ROUND(AU137+AT138-AS138,2),0)</f>
        <v>0</v>
      </c>
      <c r="AV138" s="24">
        <f>IF(AU137&gt;0,ROUND(AV137+ROUND(ROUND(AV137*100,0)*ROUND(AS$7*10000,0)/12000000,0)/100+0.02,2),0)</f>
        <v>0</v>
      </c>
    </row>
    <row r="139" spans="1:48" x14ac:dyDescent="0.25">
      <c r="A139" s="17" t="str">
        <f>IF(F139&gt;0,129,"")</f>
        <v/>
      </c>
      <c r="B139" s="18" t="str">
        <f>IF(F139&gt;0,EDATE($E$6,129),"")</f>
        <v/>
      </c>
      <c r="C139" s="21">
        <f>IF(H138&gt;0,MIN(IF(K138&gt;0,I$5,99),IF(O138&gt;0,M$5,99),IF(S138&gt;0,Q$5,99),IF(W138&gt;0,U$5,99),IF(AA138&gt;0,Y$5,99),IF(AE138&gt;0,AC$5,99),IF(AI138&gt;0,AG$5,99),IF(AM138&gt;0,AK$5,99),IF(AQ138&gt;0,AO$5,99),IF(AU138&gt;0,AS$5,99)),0)</f>
        <v>0</v>
      </c>
      <c r="D139" t="str">
        <f>IF(C139&gt;0,INDEX($I$4:$AV$4,1,MATCH(C139,$I$5:$AV$5,0)),"")</f>
        <v/>
      </c>
      <c r="E139" s="24">
        <f>ROUND(IF(AND(I$8&gt;0,K138=0),I$6,0)+IF(AND(M$8&gt;0,O138=0),M$6,0)+IF(AND(Q$8&gt;0,S138=0),Q$6,0)+IF(AND(U$8&gt;0,W138=0),U$6,0)+IF(AND(Y$8&gt;0,AA138=0),Y$6,0)+IF(AND(AC$8&gt;0,AE138=0),AC$6,0)+IF(AND(AG$8&gt;0,AI138=0),AG$6,0)+IF(AND(AK$8&gt;0,AM138=0),AK$6,0)+IF(AND(AO$8&gt;0,AQ138=0),AO$6,0)+IF(AND(AS$8&gt;0,AU138=0),AS$6,0),2)</f>
        <v>325</v>
      </c>
      <c r="F139" s="24">
        <f>ROUND(I139+M139+Q139+U139+Y139+AC139+AG139+AK139+AO139+AS139,2)</f>
        <v>0</v>
      </c>
      <c r="G139" s="24">
        <f>ROUND(J139+N139+R139+V139+Z139+AD139+AH139+AL139+AP139+AT139,2)</f>
        <v>0</v>
      </c>
      <c r="H139" s="24">
        <f>ROUND(K139+O139+S139+W139+AA139+AE139+AI139+AM139+AQ139+AU139,2)</f>
        <v>0</v>
      </c>
      <c r="I139" s="24">
        <f>IF(K138&gt;0,IF(AND(ROUND(K138+J139-ROUND(I$6+IF(I$5=$C139,$E$5+$E139,0),2),2)&gt;0,ROUND(K138+J139-ROUND(I$6+IF(I$5=$C139,$E$5+$E139,0),2),2)&lt;=L139,ROUND(K138+J139-ROUND(I$6+IF(I$5=$C139,$E$5+$E139,0),2),2)*10&lt;=ROUND(I$6+IF(I$5=$C139,$E$5+$E139,0),2)),ROUND(K138+J139,2),MIN(ROUND(I$6+IF(I$5=$C139,$E$5+$E139,0),2),ROUND(K138+J139,2))),0)</f>
        <v>0</v>
      </c>
      <c r="J139" s="24">
        <f>IF(K138&gt;0,ROUND(ROUND(K138*100,0)*ROUND(I$7*10000,0)/12000000,0)/100,0)</f>
        <v>0</v>
      </c>
      <c r="K139" s="24">
        <f>IF(K138&gt;0,ROUND(K138+J139-I139,2),0)</f>
        <v>0</v>
      </c>
      <c r="L139" s="24">
        <f>IF(K138&gt;0,ROUND(L138+ROUND(ROUND(L138*100,0)*ROUND(I$7*10000,0)/12000000,0)/100+0.02,2),0)</f>
        <v>0</v>
      </c>
      <c r="M139" s="24">
        <f>IF(O138&gt;0,IF(AND(ROUND(O138+N139-ROUND(M$6+IF(M$5=$C139,$E$5+$E139,0),2),2)&gt;0,ROUND(O138+N139-ROUND(M$6+IF(M$5=$C139,$E$5+$E139,0),2),2)&lt;=P139,ROUND(O138+N139-ROUND(M$6+IF(M$5=$C139,$E$5+$E139,0),2),2)*10&lt;=ROUND(M$6+IF(M$5=$C139,$E$5+$E139,0),2)),ROUND(O138+N139,2),MIN(ROUND(M$6+IF(M$5=$C139,$E$5+$E139,0),2),ROUND(O138+N139,2))),0)</f>
        <v>0</v>
      </c>
      <c r="N139" s="24">
        <f>IF(O138&gt;0,ROUND(ROUND(O138*100,0)*ROUND(M$7*10000,0)/12000000,0)/100,0)</f>
        <v>0</v>
      </c>
      <c r="O139" s="24">
        <f>IF(O138&gt;0,ROUND(O138+N139-M139,2),0)</f>
        <v>0</v>
      </c>
      <c r="P139" s="24">
        <f>IF(O138&gt;0,ROUND(P138+ROUND(ROUND(P138*100,0)*ROUND(M$7*10000,0)/12000000,0)/100+0.02,2),0)</f>
        <v>0</v>
      </c>
      <c r="Q139" s="24">
        <f>IF(S138&gt;0,IF(AND(ROUND(S138+R139-ROUND(Q$6+IF(Q$5=$C139,$E$5+$E139,0),2),2)&gt;0,ROUND(S138+R139-ROUND(Q$6+IF(Q$5=$C139,$E$5+$E139,0),2),2)&lt;=T139,ROUND(S138+R139-ROUND(Q$6+IF(Q$5=$C139,$E$5+$E139,0),2),2)*10&lt;=ROUND(Q$6+IF(Q$5=$C139,$E$5+$E139,0),2)),ROUND(S138+R139,2),MIN(ROUND(Q$6+IF(Q$5=$C139,$E$5+$E139,0),2),ROUND(S138+R139,2))),0)</f>
        <v>0</v>
      </c>
      <c r="R139" s="24">
        <f>IF(S138&gt;0,ROUND(ROUND(S138*100,0)*ROUND(Q$7*10000,0)/12000000,0)/100,0)</f>
        <v>0</v>
      </c>
      <c r="S139" s="24">
        <f>IF(S138&gt;0,ROUND(S138+R139-Q139,2),0)</f>
        <v>0</v>
      </c>
      <c r="T139" s="24">
        <f>IF(S138&gt;0,ROUND(T138+ROUND(ROUND(T138*100,0)*ROUND(Q$7*10000,0)/12000000,0)/100+0.02,2),0)</f>
        <v>0</v>
      </c>
      <c r="U139" s="24">
        <f>IF(W138&gt;0,IF(AND(ROUND(W138+V139-ROUND(U$6+IF(U$5=$C139,$E$5+$E139,0),2),2)&gt;0,ROUND(W138+V139-ROUND(U$6+IF(U$5=$C139,$E$5+$E139,0),2),2)&lt;=X139,ROUND(W138+V139-ROUND(U$6+IF(U$5=$C139,$E$5+$E139,0),2),2)*10&lt;=ROUND(U$6+IF(U$5=$C139,$E$5+$E139,0),2)),ROUND(W138+V139,2),MIN(ROUND(U$6+IF(U$5=$C139,$E$5+$E139,0),2),ROUND(W138+V139,2))),0)</f>
        <v>0</v>
      </c>
      <c r="V139" s="24">
        <f>IF(W138&gt;0,ROUND(ROUND(W138*100,0)*ROUND(U$7*10000,0)/12000000,0)/100,0)</f>
        <v>0</v>
      </c>
      <c r="W139" s="24">
        <f>IF(W138&gt;0,ROUND(W138+V139-U139,2),0)</f>
        <v>0</v>
      </c>
      <c r="X139" s="24">
        <f>IF(W138&gt;0,ROUND(X138+ROUND(ROUND(X138*100,0)*ROUND(U$7*10000,0)/12000000,0)/100+0.02,2),0)</f>
        <v>0</v>
      </c>
      <c r="Y139" s="24">
        <f>IF(AA138&gt;0,IF(AND(ROUND(AA138+Z139-ROUND(Y$6+IF(Y$5=$C139,$E$5+$E139,0),2),2)&gt;0,ROUND(AA138+Z139-ROUND(Y$6+IF(Y$5=$C139,$E$5+$E139,0),2),2)&lt;=AB139,ROUND(AA138+Z139-ROUND(Y$6+IF(Y$5=$C139,$E$5+$E139,0),2),2)*10&lt;=ROUND(Y$6+IF(Y$5=$C139,$E$5+$E139,0),2)),ROUND(AA138+Z139,2),MIN(ROUND(Y$6+IF(Y$5=$C139,$E$5+$E139,0),2),ROUND(AA138+Z139,2))),0)</f>
        <v>0</v>
      </c>
      <c r="Z139" s="24">
        <f>IF(AA138&gt;0,ROUND(ROUND(AA138*100,0)*ROUND(Y$7*10000,0)/12000000,0)/100,0)</f>
        <v>0</v>
      </c>
      <c r="AA139" s="24">
        <f>IF(AA138&gt;0,ROUND(AA138+Z139-Y139,2),0)</f>
        <v>0</v>
      </c>
      <c r="AB139" s="24">
        <f>IF(AA138&gt;0,ROUND(AB138+ROUND(ROUND(AB138*100,0)*ROUND(Y$7*10000,0)/12000000,0)/100+0.02,2),0)</f>
        <v>0</v>
      </c>
      <c r="AC139" s="24">
        <f>IF(AE138&gt;0,IF(AND(ROUND(AE138+AD139-ROUND(AC$6+IF(AC$5=$C139,$E$5+$E139,0),2),2)&gt;0,ROUND(AE138+AD139-ROUND(AC$6+IF(AC$5=$C139,$E$5+$E139,0),2),2)&lt;=AF139,ROUND(AE138+AD139-ROUND(AC$6+IF(AC$5=$C139,$E$5+$E139,0),2),2)*10&lt;=ROUND(AC$6+IF(AC$5=$C139,$E$5+$E139,0),2)),ROUND(AE138+AD139,2),MIN(ROUND(AC$6+IF(AC$5=$C139,$E$5+$E139,0),2),ROUND(AE138+AD139,2))),0)</f>
        <v>0</v>
      </c>
      <c r="AD139" s="24">
        <f>IF(AE138&gt;0,ROUND(ROUND(AE138*100,0)*ROUND(AC$7*10000,0)/12000000,0)/100,0)</f>
        <v>0</v>
      </c>
      <c r="AE139" s="24">
        <f>IF(AE138&gt;0,ROUND(AE138+AD139-AC139,2),0)</f>
        <v>0</v>
      </c>
      <c r="AF139" s="24">
        <f>IF(AE138&gt;0,ROUND(AF138+ROUND(ROUND(AF138*100,0)*ROUND(AC$7*10000,0)/12000000,0)/100+0.02,2),0)</f>
        <v>0</v>
      </c>
      <c r="AG139" s="24">
        <f>IF(AI138&gt;0,IF(AND(ROUND(AI138+AH139-ROUND(AG$6+IF(AG$5=$C139,$E$5+$E139,0),2),2)&gt;0,ROUND(AI138+AH139-ROUND(AG$6+IF(AG$5=$C139,$E$5+$E139,0),2),2)&lt;=AJ139,ROUND(AI138+AH139-ROUND(AG$6+IF(AG$5=$C139,$E$5+$E139,0),2),2)*10&lt;=ROUND(AG$6+IF(AG$5=$C139,$E$5+$E139,0),2)),ROUND(AI138+AH139,2),MIN(ROUND(AG$6+IF(AG$5=$C139,$E$5+$E139,0),2),ROUND(AI138+AH139,2))),0)</f>
        <v>0</v>
      </c>
      <c r="AH139" s="24">
        <f>IF(AI138&gt;0,ROUND(ROUND(AI138*100,0)*ROUND(AG$7*10000,0)/12000000,0)/100,0)</f>
        <v>0</v>
      </c>
      <c r="AI139" s="24">
        <f>IF(AI138&gt;0,ROUND(AI138+AH139-AG139,2),0)</f>
        <v>0</v>
      </c>
      <c r="AJ139" s="24">
        <f>IF(AI138&gt;0,ROUND(AJ138+ROUND(ROUND(AJ138*100,0)*ROUND(AG$7*10000,0)/12000000,0)/100+0.02,2),0)</f>
        <v>0</v>
      </c>
      <c r="AK139" s="24">
        <f>IF(AM138&gt;0,IF(AND(ROUND(AM138+AL139-ROUND(AK$6+IF(AK$5=$C139,$E$5+$E139,0),2),2)&gt;0,ROUND(AM138+AL139-ROUND(AK$6+IF(AK$5=$C139,$E$5+$E139,0),2),2)&lt;=AN139,ROUND(AM138+AL139-ROUND(AK$6+IF(AK$5=$C139,$E$5+$E139,0),2),2)*10&lt;=ROUND(AK$6+IF(AK$5=$C139,$E$5+$E139,0),2)),ROUND(AM138+AL139,2),MIN(ROUND(AK$6+IF(AK$5=$C139,$E$5+$E139,0),2),ROUND(AM138+AL139,2))),0)</f>
        <v>0</v>
      </c>
      <c r="AL139" s="24">
        <f>IF(AM138&gt;0,ROUND(ROUND(AM138*100,0)*ROUND(AK$7*10000,0)/12000000,0)/100,0)</f>
        <v>0</v>
      </c>
      <c r="AM139" s="24">
        <f>IF(AM138&gt;0,ROUND(AM138+AL139-AK139,2),0)</f>
        <v>0</v>
      </c>
      <c r="AN139" s="24">
        <f>IF(AM138&gt;0,ROUND(AN138+ROUND(ROUND(AN138*100,0)*ROUND(AK$7*10000,0)/12000000,0)/100+0.02,2),0)</f>
        <v>0</v>
      </c>
      <c r="AO139" s="24">
        <f>IF(AQ138&gt;0,IF(AND(ROUND(AQ138+AP139-ROUND(AO$6+IF(AO$5=$C139,$E$5+$E139,0),2),2)&gt;0,ROUND(AQ138+AP139-ROUND(AO$6+IF(AO$5=$C139,$E$5+$E139,0),2),2)&lt;=AR139,ROUND(AQ138+AP139-ROUND(AO$6+IF(AO$5=$C139,$E$5+$E139,0),2),2)*10&lt;=ROUND(AO$6+IF(AO$5=$C139,$E$5+$E139,0),2)),ROUND(AQ138+AP139,2),MIN(ROUND(AO$6+IF(AO$5=$C139,$E$5+$E139,0),2),ROUND(AQ138+AP139,2))),0)</f>
        <v>0</v>
      </c>
      <c r="AP139" s="24">
        <f>IF(AQ138&gt;0,ROUND(ROUND(AQ138*100,0)*ROUND(AO$7*10000,0)/12000000,0)/100,0)</f>
        <v>0</v>
      </c>
      <c r="AQ139" s="24">
        <f>IF(AQ138&gt;0,ROUND(AQ138+AP139-AO139,2),0)</f>
        <v>0</v>
      </c>
      <c r="AR139" s="24">
        <f>IF(AQ138&gt;0,ROUND(AR138+ROUND(ROUND(AR138*100,0)*ROUND(AO$7*10000,0)/12000000,0)/100+0.02,2),0)</f>
        <v>0</v>
      </c>
      <c r="AS139" s="24">
        <f>IF(AU138&gt;0,IF(AND(ROUND(AU138+AT139-ROUND(AS$6+IF(AS$5=$C139,$E$5+$E139,0),2),2)&gt;0,ROUND(AU138+AT139-ROUND(AS$6+IF(AS$5=$C139,$E$5+$E139,0),2),2)&lt;=AV139,ROUND(AU138+AT139-ROUND(AS$6+IF(AS$5=$C139,$E$5+$E139,0),2),2)*10&lt;=ROUND(AS$6+IF(AS$5=$C139,$E$5+$E139,0),2)),ROUND(AU138+AT139,2),MIN(ROUND(AS$6+IF(AS$5=$C139,$E$5+$E139,0),2),ROUND(AU138+AT139,2))),0)</f>
        <v>0</v>
      </c>
      <c r="AT139" s="24">
        <f>IF(AU138&gt;0,ROUND(ROUND(AU138*100,0)*ROUND(AS$7*10000,0)/12000000,0)/100,0)</f>
        <v>0</v>
      </c>
      <c r="AU139" s="24">
        <f>IF(AU138&gt;0,ROUND(AU138+AT139-AS139,2),0)</f>
        <v>0</v>
      </c>
      <c r="AV139" s="24">
        <f>IF(AU138&gt;0,ROUND(AV138+ROUND(ROUND(AV138*100,0)*ROUND(AS$7*10000,0)/12000000,0)/100+0.02,2),0)</f>
        <v>0</v>
      </c>
    </row>
    <row r="140" spans="1:48" x14ac:dyDescent="0.25">
      <c r="A140" s="17" t="str">
        <f>IF(F140&gt;0,130,"")</f>
        <v/>
      </c>
      <c r="B140" s="18" t="str">
        <f>IF(F140&gt;0,EDATE($E$6,130),"")</f>
        <v/>
      </c>
      <c r="C140" s="21">
        <f>IF(H139&gt;0,MIN(IF(K139&gt;0,I$5,99),IF(O139&gt;0,M$5,99),IF(S139&gt;0,Q$5,99),IF(W139&gt;0,U$5,99),IF(AA139&gt;0,Y$5,99),IF(AE139&gt;0,AC$5,99),IF(AI139&gt;0,AG$5,99),IF(AM139&gt;0,AK$5,99),IF(AQ139&gt;0,AO$5,99),IF(AU139&gt;0,AS$5,99)),0)</f>
        <v>0</v>
      </c>
      <c r="D140" t="str">
        <f>IF(C140&gt;0,INDEX($I$4:$AV$4,1,MATCH(C140,$I$5:$AV$5,0)),"")</f>
        <v/>
      </c>
      <c r="E140" s="24">
        <f>ROUND(IF(AND(I$8&gt;0,K139=0),I$6,0)+IF(AND(M$8&gt;0,O139=0),M$6,0)+IF(AND(Q$8&gt;0,S139=0),Q$6,0)+IF(AND(U$8&gt;0,W139=0),U$6,0)+IF(AND(Y$8&gt;0,AA139=0),Y$6,0)+IF(AND(AC$8&gt;0,AE139=0),AC$6,0)+IF(AND(AG$8&gt;0,AI139=0),AG$6,0)+IF(AND(AK$8&gt;0,AM139=0),AK$6,0)+IF(AND(AO$8&gt;0,AQ139=0),AO$6,0)+IF(AND(AS$8&gt;0,AU139=0),AS$6,0),2)</f>
        <v>325</v>
      </c>
      <c r="F140" s="24">
        <f>ROUND(I140+M140+Q140+U140+Y140+AC140+AG140+AK140+AO140+AS140,2)</f>
        <v>0</v>
      </c>
      <c r="G140" s="24">
        <f>ROUND(J140+N140+R140+V140+Z140+AD140+AH140+AL140+AP140+AT140,2)</f>
        <v>0</v>
      </c>
      <c r="H140" s="24">
        <f>ROUND(K140+O140+S140+W140+AA140+AE140+AI140+AM140+AQ140+AU140,2)</f>
        <v>0</v>
      </c>
      <c r="I140" s="24">
        <f>IF(K139&gt;0,IF(AND(ROUND(K139+J140-ROUND(I$6+IF(I$5=$C140,$E$5+$E140,0),2),2)&gt;0,ROUND(K139+J140-ROUND(I$6+IF(I$5=$C140,$E$5+$E140,0),2),2)&lt;=L140,ROUND(K139+J140-ROUND(I$6+IF(I$5=$C140,$E$5+$E140,0),2),2)*10&lt;=ROUND(I$6+IF(I$5=$C140,$E$5+$E140,0),2)),ROUND(K139+J140,2),MIN(ROUND(I$6+IF(I$5=$C140,$E$5+$E140,0),2),ROUND(K139+J140,2))),0)</f>
        <v>0</v>
      </c>
      <c r="J140" s="24">
        <f>IF(K139&gt;0,ROUND(ROUND(K139*100,0)*ROUND(I$7*10000,0)/12000000,0)/100,0)</f>
        <v>0</v>
      </c>
      <c r="K140" s="24">
        <f>IF(K139&gt;0,ROUND(K139+J140-I140,2),0)</f>
        <v>0</v>
      </c>
      <c r="L140" s="24">
        <f>IF(K139&gt;0,ROUND(L139+ROUND(ROUND(L139*100,0)*ROUND(I$7*10000,0)/12000000,0)/100+0.02,2),0)</f>
        <v>0</v>
      </c>
      <c r="M140" s="24">
        <f>IF(O139&gt;0,IF(AND(ROUND(O139+N140-ROUND(M$6+IF(M$5=$C140,$E$5+$E140,0),2),2)&gt;0,ROUND(O139+N140-ROUND(M$6+IF(M$5=$C140,$E$5+$E140,0),2),2)&lt;=P140,ROUND(O139+N140-ROUND(M$6+IF(M$5=$C140,$E$5+$E140,0),2),2)*10&lt;=ROUND(M$6+IF(M$5=$C140,$E$5+$E140,0),2)),ROUND(O139+N140,2),MIN(ROUND(M$6+IF(M$5=$C140,$E$5+$E140,0),2),ROUND(O139+N140,2))),0)</f>
        <v>0</v>
      </c>
      <c r="N140" s="24">
        <f>IF(O139&gt;0,ROUND(ROUND(O139*100,0)*ROUND(M$7*10000,0)/12000000,0)/100,0)</f>
        <v>0</v>
      </c>
      <c r="O140" s="24">
        <f>IF(O139&gt;0,ROUND(O139+N140-M140,2),0)</f>
        <v>0</v>
      </c>
      <c r="P140" s="24">
        <f>IF(O139&gt;0,ROUND(P139+ROUND(ROUND(P139*100,0)*ROUND(M$7*10000,0)/12000000,0)/100+0.02,2),0)</f>
        <v>0</v>
      </c>
      <c r="Q140" s="24">
        <f>IF(S139&gt;0,IF(AND(ROUND(S139+R140-ROUND(Q$6+IF(Q$5=$C140,$E$5+$E140,0),2),2)&gt;0,ROUND(S139+R140-ROUND(Q$6+IF(Q$5=$C140,$E$5+$E140,0),2),2)&lt;=T140,ROUND(S139+R140-ROUND(Q$6+IF(Q$5=$C140,$E$5+$E140,0),2),2)*10&lt;=ROUND(Q$6+IF(Q$5=$C140,$E$5+$E140,0),2)),ROUND(S139+R140,2),MIN(ROUND(Q$6+IF(Q$5=$C140,$E$5+$E140,0),2),ROUND(S139+R140,2))),0)</f>
        <v>0</v>
      </c>
      <c r="R140" s="24">
        <f>IF(S139&gt;0,ROUND(ROUND(S139*100,0)*ROUND(Q$7*10000,0)/12000000,0)/100,0)</f>
        <v>0</v>
      </c>
      <c r="S140" s="24">
        <f>IF(S139&gt;0,ROUND(S139+R140-Q140,2),0)</f>
        <v>0</v>
      </c>
      <c r="T140" s="24">
        <f>IF(S139&gt;0,ROUND(T139+ROUND(ROUND(T139*100,0)*ROUND(Q$7*10000,0)/12000000,0)/100+0.02,2),0)</f>
        <v>0</v>
      </c>
      <c r="U140" s="24">
        <f>IF(W139&gt;0,IF(AND(ROUND(W139+V140-ROUND(U$6+IF(U$5=$C140,$E$5+$E140,0),2),2)&gt;0,ROUND(W139+V140-ROUND(U$6+IF(U$5=$C140,$E$5+$E140,0),2),2)&lt;=X140,ROUND(W139+V140-ROUND(U$6+IF(U$5=$C140,$E$5+$E140,0),2),2)*10&lt;=ROUND(U$6+IF(U$5=$C140,$E$5+$E140,0),2)),ROUND(W139+V140,2),MIN(ROUND(U$6+IF(U$5=$C140,$E$5+$E140,0),2),ROUND(W139+V140,2))),0)</f>
        <v>0</v>
      </c>
      <c r="V140" s="24">
        <f>IF(W139&gt;0,ROUND(ROUND(W139*100,0)*ROUND(U$7*10000,0)/12000000,0)/100,0)</f>
        <v>0</v>
      </c>
      <c r="W140" s="24">
        <f>IF(W139&gt;0,ROUND(W139+V140-U140,2),0)</f>
        <v>0</v>
      </c>
      <c r="X140" s="24">
        <f>IF(W139&gt;0,ROUND(X139+ROUND(ROUND(X139*100,0)*ROUND(U$7*10000,0)/12000000,0)/100+0.02,2),0)</f>
        <v>0</v>
      </c>
      <c r="Y140" s="24">
        <f>IF(AA139&gt;0,IF(AND(ROUND(AA139+Z140-ROUND(Y$6+IF(Y$5=$C140,$E$5+$E140,0),2),2)&gt;0,ROUND(AA139+Z140-ROUND(Y$6+IF(Y$5=$C140,$E$5+$E140,0),2),2)&lt;=AB140,ROUND(AA139+Z140-ROUND(Y$6+IF(Y$5=$C140,$E$5+$E140,0),2),2)*10&lt;=ROUND(Y$6+IF(Y$5=$C140,$E$5+$E140,0),2)),ROUND(AA139+Z140,2),MIN(ROUND(Y$6+IF(Y$5=$C140,$E$5+$E140,0),2),ROUND(AA139+Z140,2))),0)</f>
        <v>0</v>
      </c>
      <c r="Z140" s="24">
        <f>IF(AA139&gt;0,ROUND(ROUND(AA139*100,0)*ROUND(Y$7*10000,0)/12000000,0)/100,0)</f>
        <v>0</v>
      </c>
      <c r="AA140" s="24">
        <f>IF(AA139&gt;0,ROUND(AA139+Z140-Y140,2),0)</f>
        <v>0</v>
      </c>
      <c r="AB140" s="24">
        <f>IF(AA139&gt;0,ROUND(AB139+ROUND(ROUND(AB139*100,0)*ROUND(Y$7*10000,0)/12000000,0)/100+0.02,2),0)</f>
        <v>0</v>
      </c>
      <c r="AC140" s="24">
        <f>IF(AE139&gt;0,IF(AND(ROUND(AE139+AD140-ROUND(AC$6+IF(AC$5=$C140,$E$5+$E140,0),2),2)&gt;0,ROUND(AE139+AD140-ROUND(AC$6+IF(AC$5=$C140,$E$5+$E140,0),2),2)&lt;=AF140,ROUND(AE139+AD140-ROUND(AC$6+IF(AC$5=$C140,$E$5+$E140,0),2),2)*10&lt;=ROUND(AC$6+IF(AC$5=$C140,$E$5+$E140,0),2)),ROUND(AE139+AD140,2),MIN(ROUND(AC$6+IF(AC$5=$C140,$E$5+$E140,0),2),ROUND(AE139+AD140,2))),0)</f>
        <v>0</v>
      </c>
      <c r="AD140" s="24">
        <f>IF(AE139&gt;0,ROUND(ROUND(AE139*100,0)*ROUND(AC$7*10000,0)/12000000,0)/100,0)</f>
        <v>0</v>
      </c>
      <c r="AE140" s="24">
        <f>IF(AE139&gt;0,ROUND(AE139+AD140-AC140,2),0)</f>
        <v>0</v>
      </c>
      <c r="AF140" s="24">
        <f>IF(AE139&gt;0,ROUND(AF139+ROUND(ROUND(AF139*100,0)*ROUND(AC$7*10000,0)/12000000,0)/100+0.02,2),0)</f>
        <v>0</v>
      </c>
      <c r="AG140" s="24">
        <f>IF(AI139&gt;0,IF(AND(ROUND(AI139+AH140-ROUND(AG$6+IF(AG$5=$C140,$E$5+$E140,0),2),2)&gt;0,ROUND(AI139+AH140-ROUND(AG$6+IF(AG$5=$C140,$E$5+$E140,0),2),2)&lt;=AJ140,ROUND(AI139+AH140-ROUND(AG$6+IF(AG$5=$C140,$E$5+$E140,0),2),2)*10&lt;=ROUND(AG$6+IF(AG$5=$C140,$E$5+$E140,0),2)),ROUND(AI139+AH140,2),MIN(ROUND(AG$6+IF(AG$5=$C140,$E$5+$E140,0),2),ROUND(AI139+AH140,2))),0)</f>
        <v>0</v>
      </c>
      <c r="AH140" s="24">
        <f>IF(AI139&gt;0,ROUND(ROUND(AI139*100,0)*ROUND(AG$7*10000,0)/12000000,0)/100,0)</f>
        <v>0</v>
      </c>
      <c r="AI140" s="24">
        <f>IF(AI139&gt;0,ROUND(AI139+AH140-AG140,2),0)</f>
        <v>0</v>
      </c>
      <c r="AJ140" s="24">
        <f>IF(AI139&gt;0,ROUND(AJ139+ROUND(ROUND(AJ139*100,0)*ROUND(AG$7*10000,0)/12000000,0)/100+0.02,2),0)</f>
        <v>0</v>
      </c>
      <c r="AK140" s="24">
        <f>IF(AM139&gt;0,IF(AND(ROUND(AM139+AL140-ROUND(AK$6+IF(AK$5=$C140,$E$5+$E140,0),2),2)&gt;0,ROUND(AM139+AL140-ROUND(AK$6+IF(AK$5=$C140,$E$5+$E140,0),2),2)&lt;=AN140,ROUND(AM139+AL140-ROUND(AK$6+IF(AK$5=$C140,$E$5+$E140,0),2),2)*10&lt;=ROUND(AK$6+IF(AK$5=$C140,$E$5+$E140,0),2)),ROUND(AM139+AL140,2),MIN(ROUND(AK$6+IF(AK$5=$C140,$E$5+$E140,0),2),ROUND(AM139+AL140,2))),0)</f>
        <v>0</v>
      </c>
      <c r="AL140" s="24">
        <f>IF(AM139&gt;0,ROUND(ROUND(AM139*100,0)*ROUND(AK$7*10000,0)/12000000,0)/100,0)</f>
        <v>0</v>
      </c>
      <c r="AM140" s="24">
        <f>IF(AM139&gt;0,ROUND(AM139+AL140-AK140,2),0)</f>
        <v>0</v>
      </c>
      <c r="AN140" s="24">
        <f>IF(AM139&gt;0,ROUND(AN139+ROUND(ROUND(AN139*100,0)*ROUND(AK$7*10000,0)/12000000,0)/100+0.02,2),0)</f>
        <v>0</v>
      </c>
      <c r="AO140" s="24">
        <f>IF(AQ139&gt;0,IF(AND(ROUND(AQ139+AP140-ROUND(AO$6+IF(AO$5=$C140,$E$5+$E140,0),2),2)&gt;0,ROUND(AQ139+AP140-ROUND(AO$6+IF(AO$5=$C140,$E$5+$E140,0),2),2)&lt;=AR140,ROUND(AQ139+AP140-ROUND(AO$6+IF(AO$5=$C140,$E$5+$E140,0),2),2)*10&lt;=ROUND(AO$6+IF(AO$5=$C140,$E$5+$E140,0),2)),ROUND(AQ139+AP140,2),MIN(ROUND(AO$6+IF(AO$5=$C140,$E$5+$E140,0),2),ROUND(AQ139+AP140,2))),0)</f>
        <v>0</v>
      </c>
      <c r="AP140" s="24">
        <f>IF(AQ139&gt;0,ROUND(ROUND(AQ139*100,0)*ROUND(AO$7*10000,0)/12000000,0)/100,0)</f>
        <v>0</v>
      </c>
      <c r="AQ140" s="24">
        <f>IF(AQ139&gt;0,ROUND(AQ139+AP140-AO140,2),0)</f>
        <v>0</v>
      </c>
      <c r="AR140" s="24">
        <f>IF(AQ139&gt;0,ROUND(AR139+ROUND(ROUND(AR139*100,0)*ROUND(AO$7*10000,0)/12000000,0)/100+0.02,2),0)</f>
        <v>0</v>
      </c>
      <c r="AS140" s="24">
        <f>IF(AU139&gt;0,IF(AND(ROUND(AU139+AT140-ROUND(AS$6+IF(AS$5=$C140,$E$5+$E140,0),2),2)&gt;0,ROUND(AU139+AT140-ROUND(AS$6+IF(AS$5=$C140,$E$5+$E140,0),2),2)&lt;=AV140,ROUND(AU139+AT140-ROUND(AS$6+IF(AS$5=$C140,$E$5+$E140,0),2),2)*10&lt;=ROUND(AS$6+IF(AS$5=$C140,$E$5+$E140,0),2)),ROUND(AU139+AT140,2),MIN(ROUND(AS$6+IF(AS$5=$C140,$E$5+$E140,0),2),ROUND(AU139+AT140,2))),0)</f>
        <v>0</v>
      </c>
      <c r="AT140" s="24">
        <f>IF(AU139&gt;0,ROUND(ROUND(AU139*100,0)*ROUND(AS$7*10000,0)/12000000,0)/100,0)</f>
        <v>0</v>
      </c>
      <c r="AU140" s="24">
        <f>IF(AU139&gt;0,ROUND(AU139+AT140-AS140,2),0)</f>
        <v>0</v>
      </c>
      <c r="AV140" s="24">
        <f>IF(AU139&gt;0,ROUND(AV139+ROUND(ROUND(AV139*100,0)*ROUND(AS$7*10000,0)/12000000,0)/100+0.02,2),0)</f>
        <v>0</v>
      </c>
    </row>
    <row r="141" spans="1:48" x14ac:dyDescent="0.25">
      <c r="A141" s="17" t="str">
        <f>IF(F141&gt;0,131,"")</f>
        <v/>
      </c>
      <c r="B141" s="18" t="str">
        <f>IF(F141&gt;0,EDATE($E$6,131),"")</f>
        <v/>
      </c>
      <c r="C141" s="21">
        <f>IF(H140&gt;0,MIN(IF(K140&gt;0,I$5,99),IF(O140&gt;0,M$5,99),IF(S140&gt;0,Q$5,99),IF(W140&gt;0,U$5,99),IF(AA140&gt;0,Y$5,99),IF(AE140&gt;0,AC$5,99),IF(AI140&gt;0,AG$5,99),IF(AM140&gt;0,AK$5,99),IF(AQ140&gt;0,AO$5,99),IF(AU140&gt;0,AS$5,99)),0)</f>
        <v>0</v>
      </c>
      <c r="D141" t="str">
        <f>IF(C141&gt;0,INDEX($I$4:$AV$4,1,MATCH(C141,$I$5:$AV$5,0)),"")</f>
        <v/>
      </c>
      <c r="E141" s="24">
        <f>ROUND(IF(AND(I$8&gt;0,K140=0),I$6,0)+IF(AND(M$8&gt;0,O140=0),M$6,0)+IF(AND(Q$8&gt;0,S140=0),Q$6,0)+IF(AND(U$8&gt;0,W140=0),U$6,0)+IF(AND(Y$8&gt;0,AA140=0),Y$6,0)+IF(AND(AC$8&gt;0,AE140=0),AC$6,0)+IF(AND(AG$8&gt;0,AI140=0),AG$6,0)+IF(AND(AK$8&gt;0,AM140=0),AK$6,0)+IF(AND(AO$8&gt;0,AQ140=0),AO$6,0)+IF(AND(AS$8&gt;0,AU140=0),AS$6,0),2)</f>
        <v>325</v>
      </c>
      <c r="F141" s="24">
        <f>ROUND(I141+M141+Q141+U141+Y141+AC141+AG141+AK141+AO141+AS141,2)</f>
        <v>0</v>
      </c>
      <c r="G141" s="24">
        <f>ROUND(J141+N141+R141+V141+Z141+AD141+AH141+AL141+AP141+AT141,2)</f>
        <v>0</v>
      </c>
      <c r="H141" s="24">
        <f>ROUND(K141+O141+S141+W141+AA141+AE141+AI141+AM141+AQ141+AU141,2)</f>
        <v>0</v>
      </c>
      <c r="I141" s="24">
        <f>IF(K140&gt;0,IF(AND(ROUND(K140+J141-ROUND(I$6+IF(I$5=$C141,$E$5+$E141,0),2),2)&gt;0,ROUND(K140+J141-ROUND(I$6+IF(I$5=$C141,$E$5+$E141,0),2),2)&lt;=L141,ROUND(K140+J141-ROUND(I$6+IF(I$5=$C141,$E$5+$E141,0),2),2)*10&lt;=ROUND(I$6+IF(I$5=$C141,$E$5+$E141,0),2)),ROUND(K140+J141,2),MIN(ROUND(I$6+IF(I$5=$C141,$E$5+$E141,0),2),ROUND(K140+J141,2))),0)</f>
        <v>0</v>
      </c>
      <c r="J141" s="24">
        <f>IF(K140&gt;0,ROUND(ROUND(K140*100,0)*ROUND(I$7*10000,0)/12000000,0)/100,0)</f>
        <v>0</v>
      </c>
      <c r="K141" s="24">
        <f>IF(K140&gt;0,ROUND(K140+J141-I141,2),0)</f>
        <v>0</v>
      </c>
      <c r="L141" s="24">
        <f>IF(K140&gt;0,ROUND(L140+ROUND(ROUND(L140*100,0)*ROUND(I$7*10000,0)/12000000,0)/100+0.02,2),0)</f>
        <v>0</v>
      </c>
      <c r="M141" s="24">
        <f>IF(O140&gt;0,IF(AND(ROUND(O140+N141-ROUND(M$6+IF(M$5=$C141,$E$5+$E141,0),2),2)&gt;0,ROUND(O140+N141-ROUND(M$6+IF(M$5=$C141,$E$5+$E141,0),2),2)&lt;=P141,ROUND(O140+N141-ROUND(M$6+IF(M$5=$C141,$E$5+$E141,0),2),2)*10&lt;=ROUND(M$6+IF(M$5=$C141,$E$5+$E141,0),2)),ROUND(O140+N141,2),MIN(ROUND(M$6+IF(M$5=$C141,$E$5+$E141,0),2),ROUND(O140+N141,2))),0)</f>
        <v>0</v>
      </c>
      <c r="N141" s="24">
        <f>IF(O140&gt;0,ROUND(ROUND(O140*100,0)*ROUND(M$7*10000,0)/12000000,0)/100,0)</f>
        <v>0</v>
      </c>
      <c r="O141" s="24">
        <f>IF(O140&gt;0,ROUND(O140+N141-M141,2),0)</f>
        <v>0</v>
      </c>
      <c r="P141" s="24">
        <f>IF(O140&gt;0,ROUND(P140+ROUND(ROUND(P140*100,0)*ROUND(M$7*10000,0)/12000000,0)/100+0.02,2),0)</f>
        <v>0</v>
      </c>
      <c r="Q141" s="24">
        <f>IF(S140&gt;0,IF(AND(ROUND(S140+R141-ROUND(Q$6+IF(Q$5=$C141,$E$5+$E141,0),2),2)&gt;0,ROUND(S140+R141-ROUND(Q$6+IF(Q$5=$C141,$E$5+$E141,0),2),2)&lt;=T141,ROUND(S140+R141-ROUND(Q$6+IF(Q$5=$C141,$E$5+$E141,0),2),2)*10&lt;=ROUND(Q$6+IF(Q$5=$C141,$E$5+$E141,0),2)),ROUND(S140+R141,2),MIN(ROUND(Q$6+IF(Q$5=$C141,$E$5+$E141,0),2),ROUND(S140+R141,2))),0)</f>
        <v>0</v>
      </c>
      <c r="R141" s="24">
        <f>IF(S140&gt;0,ROUND(ROUND(S140*100,0)*ROUND(Q$7*10000,0)/12000000,0)/100,0)</f>
        <v>0</v>
      </c>
      <c r="S141" s="24">
        <f>IF(S140&gt;0,ROUND(S140+R141-Q141,2),0)</f>
        <v>0</v>
      </c>
      <c r="T141" s="24">
        <f>IF(S140&gt;0,ROUND(T140+ROUND(ROUND(T140*100,0)*ROUND(Q$7*10000,0)/12000000,0)/100+0.02,2),0)</f>
        <v>0</v>
      </c>
      <c r="U141" s="24">
        <f>IF(W140&gt;0,IF(AND(ROUND(W140+V141-ROUND(U$6+IF(U$5=$C141,$E$5+$E141,0),2),2)&gt;0,ROUND(W140+V141-ROUND(U$6+IF(U$5=$C141,$E$5+$E141,0),2),2)&lt;=X141,ROUND(W140+V141-ROUND(U$6+IF(U$5=$C141,$E$5+$E141,0),2),2)*10&lt;=ROUND(U$6+IF(U$5=$C141,$E$5+$E141,0),2)),ROUND(W140+V141,2),MIN(ROUND(U$6+IF(U$5=$C141,$E$5+$E141,0),2),ROUND(W140+V141,2))),0)</f>
        <v>0</v>
      </c>
      <c r="V141" s="24">
        <f>IF(W140&gt;0,ROUND(ROUND(W140*100,0)*ROUND(U$7*10000,0)/12000000,0)/100,0)</f>
        <v>0</v>
      </c>
      <c r="W141" s="24">
        <f>IF(W140&gt;0,ROUND(W140+V141-U141,2),0)</f>
        <v>0</v>
      </c>
      <c r="X141" s="24">
        <f>IF(W140&gt;0,ROUND(X140+ROUND(ROUND(X140*100,0)*ROUND(U$7*10000,0)/12000000,0)/100+0.02,2),0)</f>
        <v>0</v>
      </c>
      <c r="Y141" s="24">
        <f>IF(AA140&gt;0,IF(AND(ROUND(AA140+Z141-ROUND(Y$6+IF(Y$5=$C141,$E$5+$E141,0),2),2)&gt;0,ROUND(AA140+Z141-ROUND(Y$6+IF(Y$5=$C141,$E$5+$E141,0),2),2)&lt;=AB141,ROUND(AA140+Z141-ROUND(Y$6+IF(Y$5=$C141,$E$5+$E141,0),2),2)*10&lt;=ROUND(Y$6+IF(Y$5=$C141,$E$5+$E141,0),2)),ROUND(AA140+Z141,2),MIN(ROUND(Y$6+IF(Y$5=$C141,$E$5+$E141,0),2),ROUND(AA140+Z141,2))),0)</f>
        <v>0</v>
      </c>
      <c r="Z141" s="24">
        <f>IF(AA140&gt;0,ROUND(ROUND(AA140*100,0)*ROUND(Y$7*10000,0)/12000000,0)/100,0)</f>
        <v>0</v>
      </c>
      <c r="AA141" s="24">
        <f>IF(AA140&gt;0,ROUND(AA140+Z141-Y141,2),0)</f>
        <v>0</v>
      </c>
      <c r="AB141" s="24">
        <f>IF(AA140&gt;0,ROUND(AB140+ROUND(ROUND(AB140*100,0)*ROUND(Y$7*10000,0)/12000000,0)/100+0.02,2),0)</f>
        <v>0</v>
      </c>
      <c r="AC141" s="24">
        <f>IF(AE140&gt;0,IF(AND(ROUND(AE140+AD141-ROUND(AC$6+IF(AC$5=$C141,$E$5+$E141,0),2),2)&gt;0,ROUND(AE140+AD141-ROUND(AC$6+IF(AC$5=$C141,$E$5+$E141,0),2),2)&lt;=AF141,ROUND(AE140+AD141-ROUND(AC$6+IF(AC$5=$C141,$E$5+$E141,0),2),2)*10&lt;=ROUND(AC$6+IF(AC$5=$C141,$E$5+$E141,0),2)),ROUND(AE140+AD141,2),MIN(ROUND(AC$6+IF(AC$5=$C141,$E$5+$E141,0),2),ROUND(AE140+AD141,2))),0)</f>
        <v>0</v>
      </c>
      <c r="AD141" s="24">
        <f>IF(AE140&gt;0,ROUND(ROUND(AE140*100,0)*ROUND(AC$7*10000,0)/12000000,0)/100,0)</f>
        <v>0</v>
      </c>
      <c r="AE141" s="24">
        <f>IF(AE140&gt;0,ROUND(AE140+AD141-AC141,2),0)</f>
        <v>0</v>
      </c>
      <c r="AF141" s="24">
        <f>IF(AE140&gt;0,ROUND(AF140+ROUND(ROUND(AF140*100,0)*ROUND(AC$7*10000,0)/12000000,0)/100+0.02,2),0)</f>
        <v>0</v>
      </c>
      <c r="AG141" s="24">
        <f>IF(AI140&gt;0,IF(AND(ROUND(AI140+AH141-ROUND(AG$6+IF(AG$5=$C141,$E$5+$E141,0),2),2)&gt;0,ROUND(AI140+AH141-ROUND(AG$6+IF(AG$5=$C141,$E$5+$E141,0),2),2)&lt;=AJ141,ROUND(AI140+AH141-ROUND(AG$6+IF(AG$5=$C141,$E$5+$E141,0),2),2)*10&lt;=ROUND(AG$6+IF(AG$5=$C141,$E$5+$E141,0),2)),ROUND(AI140+AH141,2),MIN(ROUND(AG$6+IF(AG$5=$C141,$E$5+$E141,0),2),ROUND(AI140+AH141,2))),0)</f>
        <v>0</v>
      </c>
      <c r="AH141" s="24">
        <f>IF(AI140&gt;0,ROUND(ROUND(AI140*100,0)*ROUND(AG$7*10000,0)/12000000,0)/100,0)</f>
        <v>0</v>
      </c>
      <c r="AI141" s="24">
        <f>IF(AI140&gt;0,ROUND(AI140+AH141-AG141,2),0)</f>
        <v>0</v>
      </c>
      <c r="AJ141" s="24">
        <f>IF(AI140&gt;0,ROUND(AJ140+ROUND(ROUND(AJ140*100,0)*ROUND(AG$7*10000,0)/12000000,0)/100+0.02,2),0)</f>
        <v>0</v>
      </c>
      <c r="AK141" s="24">
        <f>IF(AM140&gt;0,IF(AND(ROUND(AM140+AL141-ROUND(AK$6+IF(AK$5=$C141,$E$5+$E141,0),2),2)&gt;0,ROUND(AM140+AL141-ROUND(AK$6+IF(AK$5=$C141,$E$5+$E141,0),2),2)&lt;=AN141,ROUND(AM140+AL141-ROUND(AK$6+IF(AK$5=$C141,$E$5+$E141,0),2),2)*10&lt;=ROUND(AK$6+IF(AK$5=$C141,$E$5+$E141,0),2)),ROUND(AM140+AL141,2),MIN(ROUND(AK$6+IF(AK$5=$C141,$E$5+$E141,0),2),ROUND(AM140+AL141,2))),0)</f>
        <v>0</v>
      </c>
      <c r="AL141" s="24">
        <f>IF(AM140&gt;0,ROUND(ROUND(AM140*100,0)*ROUND(AK$7*10000,0)/12000000,0)/100,0)</f>
        <v>0</v>
      </c>
      <c r="AM141" s="24">
        <f>IF(AM140&gt;0,ROUND(AM140+AL141-AK141,2),0)</f>
        <v>0</v>
      </c>
      <c r="AN141" s="24">
        <f>IF(AM140&gt;0,ROUND(AN140+ROUND(ROUND(AN140*100,0)*ROUND(AK$7*10000,0)/12000000,0)/100+0.02,2),0)</f>
        <v>0</v>
      </c>
      <c r="AO141" s="24">
        <f>IF(AQ140&gt;0,IF(AND(ROUND(AQ140+AP141-ROUND(AO$6+IF(AO$5=$C141,$E$5+$E141,0),2),2)&gt;0,ROUND(AQ140+AP141-ROUND(AO$6+IF(AO$5=$C141,$E$5+$E141,0),2),2)&lt;=AR141,ROUND(AQ140+AP141-ROUND(AO$6+IF(AO$5=$C141,$E$5+$E141,0),2),2)*10&lt;=ROUND(AO$6+IF(AO$5=$C141,$E$5+$E141,0),2)),ROUND(AQ140+AP141,2),MIN(ROUND(AO$6+IF(AO$5=$C141,$E$5+$E141,0),2),ROUND(AQ140+AP141,2))),0)</f>
        <v>0</v>
      </c>
      <c r="AP141" s="24">
        <f>IF(AQ140&gt;0,ROUND(ROUND(AQ140*100,0)*ROUND(AO$7*10000,0)/12000000,0)/100,0)</f>
        <v>0</v>
      </c>
      <c r="AQ141" s="24">
        <f>IF(AQ140&gt;0,ROUND(AQ140+AP141-AO141,2),0)</f>
        <v>0</v>
      </c>
      <c r="AR141" s="24">
        <f>IF(AQ140&gt;0,ROUND(AR140+ROUND(ROUND(AR140*100,0)*ROUND(AO$7*10000,0)/12000000,0)/100+0.02,2),0)</f>
        <v>0</v>
      </c>
      <c r="AS141" s="24">
        <f>IF(AU140&gt;0,IF(AND(ROUND(AU140+AT141-ROUND(AS$6+IF(AS$5=$C141,$E$5+$E141,0),2),2)&gt;0,ROUND(AU140+AT141-ROUND(AS$6+IF(AS$5=$C141,$E$5+$E141,0),2),2)&lt;=AV141,ROUND(AU140+AT141-ROUND(AS$6+IF(AS$5=$C141,$E$5+$E141,0),2),2)*10&lt;=ROUND(AS$6+IF(AS$5=$C141,$E$5+$E141,0),2)),ROUND(AU140+AT141,2),MIN(ROUND(AS$6+IF(AS$5=$C141,$E$5+$E141,0),2),ROUND(AU140+AT141,2))),0)</f>
        <v>0</v>
      </c>
      <c r="AT141" s="24">
        <f>IF(AU140&gt;0,ROUND(ROUND(AU140*100,0)*ROUND(AS$7*10000,0)/12000000,0)/100,0)</f>
        <v>0</v>
      </c>
      <c r="AU141" s="24">
        <f>IF(AU140&gt;0,ROUND(AU140+AT141-AS141,2),0)</f>
        <v>0</v>
      </c>
      <c r="AV141" s="24">
        <f>IF(AU140&gt;0,ROUND(AV140+ROUND(ROUND(AV140*100,0)*ROUND(AS$7*10000,0)/12000000,0)/100+0.02,2),0)</f>
        <v>0</v>
      </c>
    </row>
    <row r="142" spans="1:48" x14ac:dyDescent="0.25">
      <c r="A142" s="17" t="str">
        <f>IF(F142&gt;0,132,"")</f>
        <v/>
      </c>
      <c r="B142" s="18" t="str">
        <f>IF(F142&gt;0,EDATE($E$6,132),"")</f>
        <v/>
      </c>
      <c r="C142" s="21">
        <f>IF(H141&gt;0,MIN(IF(K141&gt;0,I$5,99),IF(O141&gt;0,M$5,99),IF(S141&gt;0,Q$5,99),IF(W141&gt;0,U$5,99),IF(AA141&gt;0,Y$5,99),IF(AE141&gt;0,AC$5,99),IF(AI141&gt;0,AG$5,99),IF(AM141&gt;0,AK$5,99),IF(AQ141&gt;0,AO$5,99),IF(AU141&gt;0,AS$5,99)),0)</f>
        <v>0</v>
      </c>
      <c r="D142" t="str">
        <f>IF(C142&gt;0,INDEX($I$4:$AV$4,1,MATCH(C142,$I$5:$AV$5,0)),"")</f>
        <v/>
      </c>
      <c r="E142" s="24">
        <f>ROUND(IF(AND(I$8&gt;0,K141=0),I$6,0)+IF(AND(M$8&gt;0,O141=0),M$6,0)+IF(AND(Q$8&gt;0,S141=0),Q$6,0)+IF(AND(U$8&gt;0,W141=0),U$6,0)+IF(AND(Y$8&gt;0,AA141=0),Y$6,0)+IF(AND(AC$8&gt;0,AE141=0),AC$6,0)+IF(AND(AG$8&gt;0,AI141=0),AG$6,0)+IF(AND(AK$8&gt;0,AM141=0),AK$6,0)+IF(AND(AO$8&gt;0,AQ141=0),AO$6,0)+IF(AND(AS$8&gt;0,AU141=0),AS$6,0),2)</f>
        <v>325</v>
      </c>
      <c r="F142" s="24">
        <f>ROUND(I142+M142+Q142+U142+Y142+AC142+AG142+AK142+AO142+AS142,2)</f>
        <v>0</v>
      </c>
      <c r="G142" s="24">
        <f>ROUND(J142+N142+R142+V142+Z142+AD142+AH142+AL142+AP142+AT142,2)</f>
        <v>0</v>
      </c>
      <c r="H142" s="24">
        <f>ROUND(K142+O142+S142+W142+AA142+AE142+AI142+AM142+AQ142+AU142,2)</f>
        <v>0</v>
      </c>
      <c r="I142" s="24">
        <f>IF(K141&gt;0,IF(AND(ROUND(K141+J142-ROUND(I$6+IF(I$5=$C142,$E$5+$E142,0),2),2)&gt;0,ROUND(K141+J142-ROUND(I$6+IF(I$5=$C142,$E$5+$E142,0),2),2)&lt;=L142,ROUND(K141+J142-ROUND(I$6+IF(I$5=$C142,$E$5+$E142,0),2),2)*10&lt;=ROUND(I$6+IF(I$5=$C142,$E$5+$E142,0),2)),ROUND(K141+J142,2),MIN(ROUND(I$6+IF(I$5=$C142,$E$5+$E142,0),2),ROUND(K141+J142,2))),0)</f>
        <v>0</v>
      </c>
      <c r="J142" s="24">
        <f>IF(K141&gt;0,ROUND(ROUND(K141*100,0)*ROUND(I$7*10000,0)/12000000,0)/100,0)</f>
        <v>0</v>
      </c>
      <c r="K142" s="24">
        <f>IF(K141&gt;0,ROUND(K141+J142-I142,2),0)</f>
        <v>0</v>
      </c>
      <c r="L142" s="24">
        <f>IF(K141&gt;0,ROUND(L141+ROUND(ROUND(L141*100,0)*ROUND(I$7*10000,0)/12000000,0)/100+0.02,2),0)</f>
        <v>0</v>
      </c>
      <c r="M142" s="24">
        <f>IF(O141&gt;0,IF(AND(ROUND(O141+N142-ROUND(M$6+IF(M$5=$C142,$E$5+$E142,0),2),2)&gt;0,ROUND(O141+N142-ROUND(M$6+IF(M$5=$C142,$E$5+$E142,0),2),2)&lt;=P142,ROUND(O141+N142-ROUND(M$6+IF(M$5=$C142,$E$5+$E142,0),2),2)*10&lt;=ROUND(M$6+IF(M$5=$C142,$E$5+$E142,0),2)),ROUND(O141+N142,2),MIN(ROUND(M$6+IF(M$5=$C142,$E$5+$E142,0),2),ROUND(O141+N142,2))),0)</f>
        <v>0</v>
      </c>
      <c r="N142" s="24">
        <f>IF(O141&gt;0,ROUND(ROUND(O141*100,0)*ROUND(M$7*10000,0)/12000000,0)/100,0)</f>
        <v>0</v>
      </c>
      <c r="O142" s="24">
        <f>IF(O141&gt;0,ROUND(O141+N142-M142,2),0)</f>
        <v>0</v>
      </c>
      <c r="P142" s="24">
        <f>IF(O141&gt;0,ROUND(P141+ROUND(ROUND(P141*100,0)*ROUND(M$7*10000,0)/12000000,0)/100+0.02,2),0)</f>
        <v>0</v>
      </c>
      <c r="Q142" s="24">
        <f>IF(S141&gt;0,IF(AND(ROUND(S141+R142-ROUND(Q$6+IF(Q$5=$C142,$E$5+$E142,0),2),2)&gt;0,ROUND(S141+R142-ROUND(Q$6+IF(Q$5=$C142,$E$5+$E142,0),2),2)&lt;=T142,ROUND(S141+R142-ROUND(Q$6+IF(Q$5=$C142,$E$5+$E142,0),2),2)*10&lt;=ROUND(Q$6+IF(Q$5=$C142,$E$5+$E142,0),2)),ROUND(S141+R142,2),MIN(ROUND(Q$6+IF(Q$5=$C142,$E$5+$E142,0),2),ROUND(S141+R142,2))),0)</f>
        <v>0</v>
      </c>
      <c r="R142" s="24">
        <f>IF(S141&gt;0,ROUND(ROUND(S141*100,0)*ROUND(Q$7*10000,0)/12000000,0)/100,0)</f>
        <v>0</v>
      </c>
      <c r="S142" s="24">
        <f>IF(S141&gt;0,ROUND(S141+R142-Q142,2),0)</f>
        <v>0</v>
      </c>
      <c r="T142" s="24">
        <f>IF(S141&gt;0,ROUND(T141+ROUND(ROUND(T141*100,0)*ROUND(Q$7*10000,0)/12000000,0)/100+0.02,2),0)</f>
        <v>0</v>
      </c>
      <c r="U142" s="24">
        <f>IF(W141&gt;0,IF(AND(ROUND(W141+V142-ROUND(U$6+IF(U$5=$C142,$E$5+$E142,0),2),2)&gt;0,ROUND(W141+V142-ROUND(U$6+IF(U$5=$C142,$E$5+$E142,0),2),2)&lt;=X142,ROUND(W141+V142-ROUND(U$6+IF(U$5=$C142,$E$5+$E142,0),2),2)*10&lt;=ROUND(U$6+IF(U$5=$C142,$E$5+$E142,0),2)),ROUND(W141+V142,2),MIN(ROUND(U$6+IF(U$5=$C142,$E$5+$E142,0),2),ROUND(W141+V142,2))),0)</f>
        <v>0</v>
      </c>
      <c r="V142" s="24">
        <f>IF(W141&gt;0,ROUND(ROUND(W141*100,0)*ROUND(U$7*10000,0)/12000000,0)/100,0)</f>
        <v>0</v>
      </c>
      <c r="W142" s="24">
        <f>IF(W141&gt;0,ROUND(W141+V142-U142,2),0)</f>
        <v>0</v>
      </c>
      <c r="X142" s="24">
        <f>IF(W141&gt;0,ROUND(X141+ROUND(ROUND(X141*100,0)*ROUND(U$7*10000,0)/12000000,0)/100+0.02,2),0)</f>
        <v>0</v>
      </c>
      <c r="Y142" s="24">
        <f>IF(AA141&gt;0,IF(AND(ROUND(AA141+Z142-ROUND(Y$6+IF(Y$5=$C142,$E$5+$E142,0),2),2)&gt;0,ROUND(AA141+Z142-ROUND(Y$6+IF(Y$5=$C142,$E$5+$E142,0),2),2)&lt;=AB142,ROUND(AA141+Z142-ROUND(Y$6+IF(Y$5=$C142,$E$5+$E142,0),2),2)*10&lt;=ROUND(Y$6+IF(Y$5=$C142,$E$5+$E142,0),2)),ROUND(AA141+Z142,2),MIN(ROUND(Y$6+IF(Y$5=$C142,$E$5+$E142,0),2),ROUND(AA141+Z142,2))),0)</f>
        <v>0</v>
      </c>
      <c r="Z142" s="24">
        <f>IF(AA141&gt;0,ROUND(ROUND(AA141*100,0)*ROUND(Y$7*10000,0)/12000000,0)/100,0)</f>
        <v>0</v>
      </c>
      <c r="AA142" s="24">
        <f>IF(AA141&gt;0,ROUND(AA141+Z142-Y142,2),0)</f>
        <v>0</v>
      </c>
      <c r="AB142" s="24">
        <f>IF(AA141&gt;0,ROUND(AB141+ROUND(ROUND(AB141*100,0)*ROUND(Y$7*10000,0)/12000000,0)/100+0.02,2),0)</f>
        <v>0</v>
      </c>
      <c r="AC142" s="24">
        <f>IF(AE141&gt;0,IF(AND(ROUND(AE141+AD142-ROUND(AC$6+IF(AC$5=$C142,$E$5+$E142,0),2),2)&gt;0,ROUND(AE141+AD142-ROUND(AC$6+IF(AC$5=$C142,$E$5+$E142,0),2),2)&lt;=AF142,ROUND(AE141+AD142-ROUND(AC$6+IF(AC$5=$C142,$E$5+$E142,0),2),2)*10&lt;=ROUND(AC$6+IF(AC$5=$C142,$E$5+$E142,0),2)),ROUND(AE141+AD142,2),MIN(ROUND(AC$6+IF(AC$5=$C142,$E$5+$E142,0),2),ROUND(AE141+AD142,2))),0)</f>
        <v>0</v>
      </c>
      <c r="AD142" s="24">
        <f>IF(AE141&gt;0,ROUND(ROUND(AE141*100,0)*ROUND(AC$7*10000,0)/12000000,0)/100,0)</f>
        <v>0</v>
      </c>
      <c r="AE142" s="24">
        <f>IF(AE141&gt;0,ROUND(AE141+AD142-AC142,2),0)</f>
        <v>0</v>
      </c>
      <c r="AF142" s="24">
        <f>IF(AE141&gt;0,ROUND(AF141+ROUND(ROUND(AF141*100,0)*ROUND(AC$7*10000,0)/12000000,0)/100+0.02,2),0)</f>
        <v>0</v>
      </c>
      <c r="AG142" s="24">
        <f>IF(AI141&gt;0,IF(AND(ROUND(AI141+AH142-ROUND(AG$6+IF(AG$5=$C142,$E$5+$E142,0),2),2)&gt;0,ROUND(AI141+AH142-ROUND(AG$6+IF(AG$5=$C142,$E$5+$E142,0),2),2)&lt;=AJ142,ROUND(AI141+AH142-ROUND(AG$6+IF(AG$5=$C142,$E$5+$E142,0),2),2)*10&lt;=ROUND(AG$6+IF(AG$5=$C142,$E$5+$E142,0),2)),ROUND(AI141+AH142,2),MIN(ROUND(AG$6+IF(AG$5=$C142,$E$5+$E142,0),2),ROUND(AI141+AH142,2))),0)</f>
        <v>0</v>
      </c>
      <c r="AH142" s="24">
        <f>IF(AI141&gt;0,ROUND(ROUND(AI141*100,0)*ROUND(AG$7*10000,0)/12000000,0)/100,0)</f>
        <v>0</v>
      </c>
      <c r="AI142" s="24">
        <f>IF(AI141&gt;0,ROUND(AI141+AH142-AG142,2),0)</f>
        <v>0</v>
      </c>
      <c r="AJ142" s="24">
        <f>IF(AI141&gt;0,ROUND(AJ141+ROUND(ROUND(AJ141*100,0)*ROUND(AG$7*10000,0)/12000000,0)/100+0.02,2),0)</f>
        <v>0</v>
      </c>
      <c r="AK142" s="24">
        <f>IF(AM141&gt;0,IF(AND(ROUND(AM141+AL142-ROUND(AK$6+IF(AK$5=$C142,$E$5+$E142,0),2),2)&gt;0,ROUND(AM141+AL142-ROUND(AK$6+IF(AK$5=$C142,$E$5+$E142,0),2),2)&lt;=AN142,ROUND(AM141+AL142-ROUND(AK$6+IF(AK$5=$C142,$E$5+$E142,0),2),2)*10&lt;=ROUND(AK$6+IF(AK$5=$C142,$E$5+$E142,0),2)),ROUND(AM141+AL142,2),MIN(ROUND(AK$6+IF(AK$5=$C142,$E$5+$E142,0),2),ROUND(AM141+AL142,2))),0)</f>
        <v>0</v>
      </c>
      <c r="AL142" s="24">
        <f>IF(AM141&gt;0,ROUND(ROUND(AM141*100,0)*ROUND(AK$7*10000,0)/12000000,0)/100,0)</f>
        <v>0</v>
      </c>
      <c r="AM142" s="24">
        <f>IF(AM141&gt;0,ROUND(AM141+AL142-AK142,2),0)</f>
        <v>0</v>
      </c>
      <c r="AN142" s="24">
        <f>IF(AM141&gt;0,ROUND(AN141+ROUND(ROUND(AN141*100,0)*ROUND(AK$7*10000,0)/12000000,0)/100+0.02,2),0)</f>
        <v>0</v>
      </c>
      <c r="AO142" s="24">
        <f>IF(AQ141&gt;0,IF(AND(ROUND(AQ141+AP142-ROUND(AO$6+IF(AO$5=$C142,$E$5+$E142,0),2),2)&gt;0,ROUND(AQ141+AP142-ROUND(AO$6+IF(AO$5=$C142,$E$5+$E142,0),2),2)&lt;=AR142,ROUND(AQ141+AP142-ROUND(AO$6+IF(AO$5=$C142,$E$5+$E142,0),2),2)*10&lt;=ROUND(AO$6+IF(AO$5=$C142,$E$5+$E142,0),2)),ROUND(AQ141+AP142,2),MIN(ROUND(AO$6+IF(AO$5=$C142,$E$5+$E142,0),2),ROUND(AQ141+AP142,2))),0)</f>
        <v>0</v>
      </c>
      <c r="AP142" s="24">
        <f>IF(AQ141&gt;0,ROUND(ROUND(AQ141*100,0)*ROUND(AO$7*10000,0)/12000000,0)/100,0)</f>
        <v>0</v>
      </c>
      <c r="AQ142" s="24">
        <f>IF(AQ141&gt;0,ROUND(AQ141+AP142-AO142,2),0)</f>
        <v>0</v>
      </c>
      <c r="AR142" s="24">
        <f>IF(AQ141&gt;0,ROUND(AR141+ROUND(ROUND(AR141*100,0)*ROUND(AO$7*10000,0)/12000000,0)/100+0.02,2),0)</f>
        <v>0</v>
      </c>
      <c r="AS142" s="24">
        <f>IF(AU141&gt;0,IF(AND(ROUND(AU141+AT142-ROUND(AS$6+IF(AS$5=$C142,$E$5+$E142,0),2),2)&gt;0,ROUND(AU141+AT142-ROUND(AS$6+IF(AS$5=$C142,$E$5+$E142,0),2),2)&lt;=AV142,ROUND(AU141+AT142-ROUND(AS$6+IF(AS$5=$C142,$E$5+$E142,0),2),2)*10&lt;=ROUND(AS$6+IF(AS$5=$C142,$E$5+$E142,0),2)),ROUND(AU141+AT142,2),MIN(ROUND(AS$6+IF(AS$5=$C142,$E$5+$E142,0),2),ROUND(AU141+AT142,2))),0)</f>
        <v>0</v>
      </c>
      <c r="AT142" s="24">
        <f>IF(AU141&gt;0,ROUND(ROUND(AU141*100,0)*ROUND(AS$7*10000,0)/12000000,0)/100,0)</f>
        <v>0</v>
      </c>
      <c r="AU142" s="24">
        <f>IF(AU141&gt;0,ROUND(AU141+AT142-AS142,2),0)</f>
        <v>0</v>
      </c>
      <c r="AV142" s="24">
        <f>IF(AU141&gt;0,ROUND(AV141+ROUND(ROUND(AV141*100,0)*ROUND(AS$7*10000,0)/12000000,0)/100+0.02,2),0)</f>
        <v>0</v>
      </c>
    </row>
    <row r="143" spans="1:48" x14ac:dyDescent="0.25">
      <c r="A143" s="17" t="str">
        <f>IF(F143&gt;0,133,"")</f>
        <v/>
      </c>
      <c r="B143" s="18" t="str">
        <f>IF(F143&gt;0,EDATE($E$6,133),"")</f>
        <v/>
      </c>
      <c r="C143" s="21">
        <f>IF(H142&gt;0,MIN(IF(K142&gt;0,I$5,99),IF(O142&gt;0,M$5,99),IF(S142&gt;0,Q$5,99),IF(W142&gt;0,U$5,99),IF(AA142&gt;0,Y$5,99),IF(AE142&gt;0,AC$5,99),IF(AI142&gt;0,AG$5,99),IF(AM142&gt;0,AK$5,99),IF(AQ142&gt;0,AO$5,99),IF(AU142&gt;0,AS$5,99)),0)</f>
        <v>0</v>
      </c>
      <c r="D143" t="str">
        <f>IF(C143&gt;0,INDEX($I$4:$AV$4,1,MATCH(C143,$I$5:$AV$5,0)),"")</f>
        <v/>
      </c>
      <c r="E143" s="24">
        <f>ROUND(IF(AND(I$8&gt;0,K142=0),I$6,0)+IF(AND(M$8&gt;0,O142=0),M$6,0)+IF(AND(Q$8&gt;0,S142=0),Q$6,0)+IF(AND(U$8&gt;0,W142=0),U$6,0)+IF(AND(Y$8&gt;0,AA142=0),Y$6,0)+IF(AND(AC$8&gt;0,AE142=0),AC$6,0)+IF(AND(AG$8&gt;0,AI142=0),AG$6,0)+IF(AND(AK$8&gt;0,AM142=0),AK$6,0)+IF(AND(AO$8&gt;0,AQ142=0),AO$6,0)+IF(AND(AS$8&gt;0,AU142=0),AS$6,0),2)</f>
        <v>325</v>
      </c>
      <c r="F143" s="24">
        <f>ROUND(I143+M143+Q143+U143+Y143+AC143+AG143+AK143+AO143+AS143,2)</f>
        <v>0</v>
      </c>
      <c r="G143" s="24">
        <f>ROUND(J143+N143+R143+V143+Z143+AD143+AH143+AL143+AP143+AT143,2)</f>
        <v>0</v>
      </c>
      <c r="H143" s="24">
        <f>ROUND(K143+O143+S143+W143+AA143+AE143+AI143+AM143+AQ143+AU143,2)</f>
        <v>0</v>
      </c>
      <c r="I143" s="24">
        <f>IF(K142&gt;0,IF(AND(ROUND(K142+J143-ROUND(I$6+IF(I$5=$C143,$E$5+$E143,0),2),2)&gt;0,ROUND(K142+J143-ROUND(I$6+IF(I$5=$C143,$E$5+$E143,0),2),2)&lt;=L143,ROUND(K142+J143-ROUND(I$6+IF(I$5=$C143,$E$5+$E143,0),2),2)*10&lt;=ROUND(I$6+IF(I$5=$C143,$E$5+$E143,0),2)),ROUND(K142+J143,2),MIN(ROUND(I$6+IF(I$5=$C143,$E$5+$E143,0),2),ROUND(K142+J143,2))),0)</f>
        <v>0</v>
      </c>
      <c r="J143" s="24">
        <f>IF(K142&gt;0,ROUND(ROUND(K142*100,0)*ROUND(I$7*10000,0)/12000000,0)/100,0)</f>
        <v>0</v>
      </c>
      <c r="K143" s="24">
        <f>IF(K142&gt;0,ROUND(K142+J143-I143,2),0)</f>
        <v>0</v>
      </c>
      <c r="L143" s="24">
        <f>IF(K142&gt;0,ROUND(L142+ROUND(ROUND(L142*100,0)*ROUND(I$7*10000,0)/12000000,0)/100+0.02,2),0)</f>
        <v>0</v>
      </c>
      <c r="M143" s="24">
        <f>IF(O142&gt;0,IF(AND(ROUND(O142+N143-ROUND(M$6+IF(M$5=$C143,$E$5+$E143,0),2),2)&gt;0,ROUND(O142+N143-ROUND(M$6+IF(M$5=$C143,$E$5+$E143,0),2),2)&lt;=P143,ROUND(O142+N143-ROUND(M$6+IF(M$5=$C143,$E$5+$E143,0),2),2)*10&lt;=ROUND(M$6+IF(M$5=$C143,$E$5+$E143,0),2)),ROUND(O142+N143,2),MIN(ROUND(M$6+IF(M$5=$C143,$E$5+$E143,0),2),ROUND(O142+N143,2))),0)</f>
        <v>0</v>
      </c>
      <c r="N143" s="24">
        <f>IF(O142&gt;0,ROUND(ROUND(O142*100,0)*ROUND(M$7*10000,0)/12000000,0)/100,0)</f>
        <v>0</v>
      </c>
      <c r="O143" s="24">
        <f>IF(O142&gt;0,ROUND(O142+N143-M143,2),0)</f>
        <v>0</v>
      </c>
      <c r="P143" s="24">
        <f>IF(O142&gt;0,ROUND(P142+ROUND(ROUND(P142*100,0)*ROUND(M$7*10000,0)/12000000,0)/100+0.02,2),0)</f>
        <v>0</v>
      </c>
      <c r="Q143" s="24">
        <f>IF(S142&gt;0,IF(AND(ROUND(S142+R143-ROUND(Q$6+IF(Q$5=$C143,$E$5+$E143,0),2),2)&gt;0,ROUND(S142+R143-ROUND(Q$6+IF(Q$5=$C143,$E$5+$E143,0),2),2)&lt;=T143,ROUND(S142+R143-ROUND(Q$6+IF(Q$5=$C143,$E$5+$E143,0),2),2)*10&lt;=ROUND(Q$6+IF(Q$5=$C143,$E$5+$E143,0),2)),ROUND(S142+R143,2),MIN(ROUND(Q$6+IF(Q$5=$C143,$E$5+$E143,0),2),ROUND(S142+R143,2))),0)</f>
        <v>0</v>
      </c>
      <c r="R143" s="24">
        <f>IF(S142&gt;0,ROUND(ROUND(S142*100,0)*ROUND(Q$7*10000,0)/12000000,0)/100,0)</f>
        <v>0</v>
      </c>
      <c r="S143" s="24">
        <f>IF(S142&gt;0,ROUND(S142+R143-Q143,2),0)</f>
        <v>0</v>
      </c>
      <c r="T143" s="24">
        <f>IF(S142&gt;0,ROUND(T142+ROUND(ROUND(T142*100,0)*ROUND(Q$7*10000,0)/12000000,0)/100+0.02,2),0)</f>
        <v>0</v>
      </c>
      <c r="U143" s="24">
        <f>IF(W142&gt;0,IF(AND(ROUND(W142+V143-ROUND(U$6+IF(U$5=$C143,$E$5+$E143,0),2),2)&gt;0,ROUND(W142+V143-ROUND(U$6+IF(U$5=$C143,$E$5+$E143,0),2),2)&lt;=X143,ROUND(W142+V143-ROUND(U$6+IF(U$5=$C143,$E$5+$E143,0),2),2)*10&lt;=ROUND(U$6+IF(U$5=$C143,$E$5+$E143,0),2)),ROUND(W142+V143,2),MIN(ROUND(U$6+IF(U$5=$C143,$E$5+$E143,0),2),ROUND(W142+V143,2))),0)</f>
        <v>0</v>
      </c>
      <c r="V143" s="24">
        <f>IF(W142&gt;0,ROUND(ROUND(W142*100,0)*ROUND(U$7*10000,0)/12000000,0)/100,0)</f>
        <v>0</v>
      </c>
      <c r="W143" s="24">
        <f>IF(W142&gt;0,ROUND(W142+V143-U143,2),0)</f>
        <v>0</v>
      </c>
      <c r="X143" s="24">
        <f>IF(W142&gt;0,ROUND(X142+ROUND(ROUND(X142*100,0)*ROUND(U$7*10000,0)/12000000,0)/100+0.02,2),0)</f>
        <v>0</v>
      </c>
      <c r="Y143" s="24">
        <f>IF(AA142&gt;0,IF(AND(ROUND(AA142+Z143-ROUND(Y$6+IF(Y$5=$C143,$E$5+$E143,0),2),2)&gt;0,ROUND(AA142+Z143-ROUND(Y$6+IF(Y$5=$C143,$E$5+$E143,0),2),2)&lt;=AB143,ROUND(AA142+Z143-ROUND(Y$6+IF(Y$5=$C143,$E$5+$E143,0),2),2)*10&lt;=ROUND(Y$6+IF(Y$5=$C143,$E$5+$E143,0),2)),ROUND(AA142+Z143,2),MIN(ROUND(Y$6+IF(Y$5=$C143,$E$5+$E143,0),2),ROUND(AA142+Z143,2))),0)</f>
        <v>0</v>
      </c>
      <c r="Z143" s="24">
        <f>IF(AA142&gt;0,ROUND(ROUND(AA142*100,0)*ROUND(Y$7*10000,0)/12000000,0)/100,0)</f>
        <v>0</v>
      </c>
      <c r="AA143" s="24">
        <f>IF(AA142&gt;0,ROUND(AA142+Z143-Y143,2),0)</f>
        <v>0</v>
      </c>
      <c r="AB143" s="24">
        <f>IF(AA142&gt;0,ROUND(AB142+ROUND(ROUND(AB142*100,0)*ROUND(Y$7*10000,0)/12000000,0)/100+0.02,2),0)</f>
        <v>0</v>
      </c>
      <c r="AC143" s="24">
        <f>IF(AE142&gt;0,IF(AND(ROUND(AE142+AD143-ROUND(AC$6+IF(AC$5=$C143,$E$5+$E143,0),2),2)&gt;0,ROUND(AE142+AD143-ROUND(AC$6+IF(AC$5=$C143,$E$5+$E143,0),2),2)&lt;=AF143,ROUND(AE142+AD143-ROUND(AC$6+IF(AC$5=$C143,$E$5+$E143,0),2),2)*10&lt;=ROUND(AC$6+IF(AC$5=$C143,$E$5+$E143,0),2)),ROUND(AE142+AD143,2),MIN(ROUND(AC$6+IF(AC$5=$C143,$E$5+$E143,0),2),ROUND(AE142+AD143,2))),0)</f>
        <v>0</v>
      </c>
      <c r="AD143" s="24">
        <f>IF(AE142&gt;0,ROUND(ROUND(AE142*100,0)*ROUND(AC$7*10000,0)/12000000,0)/100,0)</f>
        <v>0</v>
      </c>
      <c r="AE143" s="24">
        <f>IF(AE142&gt;0,ROUND(AE142+AD143-AC143,2),0)</f>
        <v>0</v>
      </c>
      <c r="AF143" s="24">
        <f>IF(AE142&gt;0,ROUND(AF142+ROUND(ROUND(AF142*100,0)*ROUND(AC$7*10000,0)/12000000,0)/100+0.02,2),0)</f>
        <v>0</v>
      </c>
      <c r="AG143" s="24">
        <f>IF(AI142&gt;0,IF(AND(ROUND(AI142+AH143-ROUND(AG$6+IF(AG$5=$C143,$E$5+$E143,0),2),2)&gt;0,ROUND(AI142+AH143-ROUND(AG$6+IF(AG$5=$C143,$E$5+$E143,0),2),2)&lt;=AJ143,ROUND(AI142+AH143-ROUND(AG$6+IF(AG$5=$C143,$E$5+$E143,0),2),2)*10&lt;=ROUND(AG$6+IF(AG$5=$C143,$E$5+$E143,0),2)),ROUND(AI142+AH143,2),MIN(ROUND(AG$6+IF(AG$5=$C143,$E$5+$E143,0),2),ROUND(AI142+AH143,2))),0)</f>
        <v>0</v>
      </c>
      <c r="AH143" s="24">
        <f>IF(AI142&gt;0,ROUND(ROUND(AI142*100,0)*ROUND(AG$7*10000,0)/12000000,0)/100,0)</f>
        <v>0</v>
      </c>
      <c r="AI143" s="24">
        <f>IF(AI142&gt;0,ROUND(AI142+AH143-AG143,2),0)</f>
        <v>0</v>
      </c>
      <c r="AJ143" s="24">
        <f>IF(AI142&gt;0,ROUND(AJ142+ROUND(ROUND(AJ142*100,0)*ROUND(AG$7*10000,0)/12000000,0)/100+0.02,2),0)</f>
        <v>0</v>
      </c>
      <c r="AK143" s="24">
        <f>IF(AM142&gt;0,IF(AND(ROUND(AM142+AL143-ROUND(AK$6+IF(AK$5=$C143,$E$5+$E143,0),2),2)&gt;0,ROUND(AM142+AL143-ROUND(AK$6+IF(AK$5=$C143,$E$5+$E143,0),2),2)&lt;=AN143,ROUND(AM142+AL143-ROUND(AK$6+IF(AK$5=$C143,$E$5+$E143,0),2),2)*10&lt;=ROUND(AK$6+IF(AK$5=$C143,$E$5+$E143,0),2)),ROUND(AM142+AL143,2),MIN(ROUND(AK$6+IF(AK$5=$C143,$E$5+$E143,0),2),ROUND(AM142+AL143,2))),0)</f>
        <v>0</v>
      </c>
      <c r="AL143" s="24">
        <f>IF(AM142&gt;0,ROUND(ROUND(AM142*100,0)*ROUND(AK$7*10000,0)/12000000,0)/100,0)</f>
        <v>0</v>
      </c>
      <c r="AM143" s="24">
        <f>IF(AM142&gt;0,ROUND(AM142+AL143-AK143,2),0)</f>
        <v>0</v>
      </c>
      <c r="AN143" s="24">
        <f>IF(AM142&gt;0,ROUND(AN142+ROUND(ROUND(AN142*100,0)*ROUND(AK$7*10000,0)/12000000,0)/100+0.02,2),0)</f>
        <v>0</v>
      </c>
      <c r="AO143" s="24">
        <f>IF(AQ142&gt;0,IF(AND(ROUND(AQ142+AP143-ROUND(AO$6+IF(AO$5=$C143,$E$5+$E143,0),2),2)&gt;0,ROUND(AQ142+AP143-ROUND(AO$6+IF(AO$5=$C143,$E$5+$E143,0),2),2)&lt;=AR143,ROUND(AQ142+AP143-ROUND(AO$6+IF(AO$5=$C143,$E$5+$E143,0),2),2)*10&lt;=ROUND(AO$6+IF(AO$5=$C143,$E$5+$E143,0),2)),ROUND(AQ142+AP143,2),MIN(ROUND(AO$6+IF(AO$5=$C143,$E$5+$E143,0),2),ROUND(AQ142+AP143,2))),0)</f>
        <v>0</v>
      </c>
      <c r="AP143" s="24">
        <f>IF(AQ142&gt;0,ROUND(ROUND(AQ142*100,0)*ROUND(AO$7*10000,0)/12000000,0)/100,0)</f>
        <v>0</v>
      </c>
      <c r="AQ143" s="24">
        <f>IF(AQ142&gt;0,ROUND(AQ142+AP143-AO143,2),0)</f>
        <v>0</v>
      </c>
      <c r="AR143" s="24">
        <f>IF(AQ142&gt;0,ROUND(AR142+ROUND(ROUND(AR142*100,0)*ROUND(AO$7*10000,0)/12000000,0)/100+0.02,2),0)</f>
        <v>0</v>
      </c>
      <c r="AS143" s="24">
        <f>IF(AU142&gt;0,IF(AND(ROUND(AU142+AT143-ROUND(AS$6+IF(AS$5=$C143,$E$5+$E143,0),2),2)&gt;0,ROUND(AU142+AT143-ROUND(AS$6+IF(AS$5=$C143,$E$5+$E143,0),2),2)&lt;=AV143,ROUND(AU142+AT143-ROUND(AS$6+IF(AS$5=$C143,$E$5+$E143,0),2),2)*10&lt;=ROUND(AS$6+IF(AS$5=$C143,$E$5+$E143,0),2)),ROUND(AU142+AT143,2),MIN(ROUND(AS$6+IF(AS$5=$C143,$E$5+$E143,0),2),ROUND(AU142+AT143,2))),0)</f>
        <v>0</v>
      </c>
      <c r="AT143" s="24">
        <f>IF(AU142&gt;0,ROUND(ROUND(AU142*100,0)*ROUND(AS$7*10000,0)/12000000,0)/100,0)</f>
        <v>0</v>
      </c>
      <c r="AU143" s="24">
        <f>IF(AU142&gt;0,ROUND(AU142+AT143-AS143,2),0)</f>
        <v>0</v>
      </c>
      <c r="AV143" s="24">
        <f>IF(AU142&gt;0,ROUND(AV142+ROUND(ROUND(AV142*100,0)*ROUND(AS$7*10000,0)/12000000,0)/100+0.02,2),0)</f>
        <v>0</v>
      </c>
    </row>
    <row r="144" spans="1:48" x14ac:dyDescent="0.25">
      <c r="A144" s="17" t="str">
        <f>IF(F144&gt;0,134,"")</f>
        <v/>
      </c>
      <c r="B144" s="18" t="str">
        <f>IF(F144&gt;0,EDATE($E$6,134),"")</f>
        <v/>
      </c>
      <c r="C144" s="21">
        <f>IF(H143&gt;0,MIN(IF(K143&gt;0,I$5,99),IF(O143&gt;0,M$5,99),IF(S143&gt;0,Q$5,99),IF(W143&gt;0,U$5,99),IF(AA143&gt;0,Y$5,99),IF(AE143&gt;0,AC$5,99),IF(AI143&gt;0,AG$5,99),IF(AM143&gt;0,AK$5,99),IF(AQ143&gt;0,AO$5,99),IF(AU143&gt;0,AS$5,99)),0)</f>
        <v>0</v>
      </c>
      <c r="D144" t="str">
        <f>IF(C144&gt;0,INDEX($I$4:$AV$4,1,MATCH(C144,$I$5:$AV$5,0)),"")</f>
        <v/>
      </c>
      <c r="E144" s="24">
        <f>ROUND(IF(AND(I$8&gt;0,K143=0),I$6,0)+IF(AND(M$8&gt;0,O143=0),M$6,0)+IF(AND(Q$8&gt;0,S143=0),Q$6,0)+IF(AND(U$8&gt;0,W143=0),U$6,0)+IF(AND(Y$8&gt;0,AA143=0),Y$6,0)+IF(AND(AC$8&gt;0,AE143=0),AC$6,0)+IF(AND(AG$8&gt;0,AI143=0),AG$6,0)+IF(AND(AK$8&gt;0,AM143=0),AK$6,0)+IF(AND(AO$8&gt;0,AQ143=0),AO$6,0)+IF(AND(AS$8&gt;0,AU143=0),AS$6,0),2)</f>
        <v>325</v>
      </c>
      <c r="F144" s="24">
        <f>ROUND(I144+M144+Q144+U144+Y144+AC144+AG144+AK144+AO144+AS144,2)</f>
        <v>0</v>
      </c>
      <c r="G144" s="24">
        <f>ROUND(J144+N144+R144+V144+Z144+AD144+AH144+AL144+AP144+AT144,2)</f>
        <v>0</v>
      </c>
      <c r="H144" s="24">
        <f>ROUND(K144+O144+S144+W144+AA144+AE144+AI144+AM144+AQ144+AU144,2)</f>
        <v>0</v>
      </c>
      <c r="I144" s="24">
        <f>IF(K143&gt;0,IF(AND(ROUND(K143+J144-ROUND(I$6+IF(I$5=$C144,$E$5+$E144,0),2),2)&gt;0,ROUND(K143+J144-ROUND(I$6+IF(I$5=$C144,$E$5+$E144,0),2),2)&lt;=L144,ROUND(K143+J144-ROUND(I$6+IF(I$5=$C144,$E$5+$E144,0),2),2)*10&lt;=ROUND(I$6+IF(I$5=$C144,$E$5+$E144,0),2)),ROUND(K143+J144,2),MIN(ROUND(I$6+IF(I$5=$C144,$E$5+$E144,0),2),ROUND(K143+J144,2))),0)</f>
        <v>0</v>
      </c>
      <c r="J144" s="24">
        <f>IF(K143&gt;0,ROUND(ROUND(K143*100,0)*ROUND(I$7*10000,0)/12000000,0)/100,0)</f>
        <v>0</v>
      </c>
      <c r="K144" s="24">
        <f>IF(K143&gt;0,ROUND(K143+J144-I144,2),0)</f>
        <v>0</v>
      </c>
      <c r="L144" s="24">
        <f>IF(K143&gt;0,ROUND(L143+ROUND(ROUND(L143*100,0)*ROUND(I$7*10000,0)/12000000,0)/100+0.02,2),0)</f>
        <v>0</v>
      </c>
      <c r="M144" s="24">
        <f>IF(O143&gt;0,IF(AND(ROUND(O143+N144-ROUND(M$6+IF(M$5=$C144,$E$5+$E144,0),2),2)&gt;0,ROUND(O143+N144-ROUND(M$6+IF(M$5=$C144,$E$5+$E144,0),2),2)&lt;=P144,ROUND(O143+N144-ROUND(M$6+IF(M$5=$C144,$E$5+$E144,0),2),2)*10&lt;=ROUND(M$6+IF(M$5=$C144,$E$5+$E144,0),2)),ROUND(O143+N144,2),MIN(ROUND(M$6+IF(M$5=$C144,$E$5+$E144,0),2),ROUND(O143+N144,2))),0)</f>
        <v>0</v>
      </c>
      <c r="N144" s="24">
        <f>IF(O143&gt;0,ROUND(ROUND(O143*100,0)*ROUND(M$7*10000,0)/12000000,0)/100,0)</f>
        <v>0</v>
      </c>
      <c r="O144" s="24">
        <f>IF(O143&gt;0,ROUND(O143+N144-M144,2),0)</f>
        <v>0</v>
      </c>
      <c r="P144" s="24">
        <f>IF(O143&gt;0,ROUND(P143+ROUND(ROUND(P143*100,0)*ROUND(M$7*10000,0)/12000000,0)/100+0.02,2),0)</f>
        <v>0</v>
      </c>
      <c r="Q144" s="24">
        <f>IF(S143&gt;0,IF(AND(ROUND(S143+R144-ROUND(Q$6+IF(Q$5=$C144,$E$5+$E144,0),2),2)&gt;0,ROUND(S143+R144-ROUND(Q$6+IF(Q$5=$C144,$E$5+$E144,0),2),2)&lt;=T144,ROUND(S143+R144-ROUND(Q$6+IF(Q$5=$C144,$E$5+$E144,0),2),2)*10&lt;=ROUND(Q$6+IF(Q$5=$C144,$E$5+$E144,0),2)),ROUND(S143+R144,2),MIN(ROUND(Q$6+IF(Q$5=$C144,$E$5+$E144,0),2),ROUND(S143+R144,2))),0)</f>
        <v>0</v>
      </c>
      <c r="R144" s="24">
        <f>IF(S143&gt;0,ROUND(ROUND(S143*100,0)*ROUND(Q$7*10000,0)/12000000,0)/100,0)</f>
        <v>0</v>
      </c>
      <c r="S144" s="24">
        <f>IF(S143&gt;0,ROUND(S143+R144-Q144,2),0)</f>
        <v>0</v>
      </c>
      <c r="T144" s="24">
        <f>IF(S143&gt;0,ROUND(T143+ROUND(ROUND(T143*100,0)*ROUND(Q$7*10000,0)/12000000,0)/100+0.02,2),0)</f>
        <v>0</v>
      </c>
      <c r="U144" s="24">
        <f>IF(W143&gt;0,IF(AND(ROUND(W143+V144-ROUND(U$6+IF(U$5=$C144,$E$5+$E144,0),2),2)&gt;0,ROUND(W143+V144-ROUND(U$6+IF(U$5=$C144,$E$5+$E144,0),2),2)&lt;=X144,ROUND(W143+V144-ROUND(U$6+IF(U$5=$C144,$E$5+$E144,0),2),2)*10&lt;=ROUND(U$6+IF(U$5=$C144,$E$5+$E144,0),2)),ROUND(W143+V144,2),MIN(ROUND(U$6+IF(U$5=$C144,$E$5+$E144,0),2),ROUND(W143+V144,2))),0)</f>
        <v>0</v>
      </c>
      <c r="V144" s="24">
        <f>IF(W143&gt;0,ROUND(ROUND(W143*100,0)*ROUND(U$7*10000,0)/12000000,0)/100,0)</f>
        <v>0</v>
      </c>
      <c r="W144" s="24">
        <f>IF(W143&gt;0,ROUND(W143+V144-U144,2),0)</f>
        <v>0</v>
      </c>
      <c r="X144" s="24">
        <f>IF(W143&gt;0,ROUND(X143+ROUND(ROUND(X143*100,0)*ROUND(U$7*10000,0)/12000000,0)/100+0.02,2),0)</f>
        <v>0</v>
      </c>
      <c r="Y144" s="24">
        <f>IF(AA143&gt;0,IF(AND(ROUND(AA143+Z144-ROUND(Y$6+IF(Y$5=$C144,$E$5+$E144,0),2),2)&gt;0,ROUND(AA143+Z144-ROUND(Y$6+IF(Y$5=$C144,$E$5+$E144,0),2),2)&lt;=AB144,ROUND(AA143+Z144-ROUND(Y$6+IF(Y$5=$C144,$E$5+$E144,0),2),2)*10&lt;=ROUND(Y$6+IF(Y$5=$C144,$E$5+$E144,0),2)),ROUND(AA143+Z144,2),MIN(ROUND(Y$6+IF(Y$5=$C144,$E$5+$E144,0),2),ROUND(AA143+Z144,2))),0)</f>
        <v>0</v>
      </c>
      <c r="Z144" s="24">
        <f>IF(AA143&gt;0,ROUND(ROUND(AA143*100,0)*ROUND(Y$7*10000,0)/12000000,0)/100,0)</f>
        <v>0</v>
      </c>
      <c r="AA144" s="24">
        <f>IF(AA143&gt;0,ROUND(AA143+Z144-Y144,2),0)</f>
        <v>0</v>
      </c>
      <c r="AB144" s="24">
        <f>IF(AA143&gt;0,ROUND(AB143+ROUND(ROUND(AB143*100,0)*ROUND(Y$7*10000,0)/12000000,0)/100+0.02,2),0)</f>
        <v>0</v>
      </c>
      <c r="AC144" s="24">
        <f>IF(AE143&gt;0,IF(AND(ROUND(AE143+AD144-ROUND(AC$6+IF(AC$5=$C144,$E$5+$E144,0),2),2)&gt;0,ROUND(AE143+AD144-ROUND(AC$6+IF(AC$5=$C144,$E$5+$E144,0),2),2)&lt;=AF144,ROUND(AE143+AD144-ROUND(AC$6+IF(AC$5=$C144,$E$5+$E144,0),2),2)*10&lt;=ROUND(AC$6+IF(AC$5=$C144,$E$5+$E144,0),2)),ROUND(AE143+AD144,2),MIN(ROUND(AC$6+IF(AC$5=$C144,$E$5+$E144,0),2),ROUND(AE143+AD144,2))),0)</f>
        <v>0</v>
      </c>
      <c r="AD144" s="24">
        <f>IF(AE143&gt;0,ROUND(ROUND(AE143*100,0)*ROUND(AC$7*10000,0)/12000000,0)/100,0)</f>
        <v>0</v>
      </c>
      <c r="AE144" s="24">
        <f>IF(AE143&gt;0,ROUND(AE143+AD144-AC144,2),0)</f>
        <v>0</v>
      </c>
      <c r="AF144" s="24">
        <f>IF(AE143&gt;0,ROUND(AF143+ROUND(ROUND(AF143*100,0)*ROUND(AC$7*10000,0)/12000000,0)/100+0.02,2),0)</f>
        <v>0</v>
      </c>
      <c r="AG144" s="24">
        <f>IF(AI143&gt;0,IF(AND(ROUND(AI143+AH144-ROUND(AG$6+IF(AG$5=$C144,$E$5+$E144,0),2),2)&gt;0,ROUND(AI143+AH144-ROUND(AG$6+IF(AG$5=$C144,$E$5+$E144,0),2),2)&lt;=AJ144,ROUND(AI143+AH144-ROUND(AG$6+IF(AG$5=$C144,$E$5+$E144,0),2),2)*10&lt;=ROUND(AG$6+IF(AG$5=$C144,$E$5+$E144,0),2)),ROUND(AI143+AH144,2),MIN(ROUND(AG$6+IF(AG$5=$C144,$E$5+$E144,0),2),ROUND(AI143+AH144,2))),0)</f>
        <v>0</v>
      </c>
      <c r="AH144" s="24">
        <f>IF(AI143&gt;0,ROUND(ROUND(AI143*100,0)*ROUND(AG$7*10000,0)/12000000,0)/100,0)</f>
        <v>0</v>
      </c>
      <c r="AI144" s="24">
        <f>IF(AI143&gt;0,ROUND(AI143+AH144-AG144,2),0)</f>
        <v>0</v>
      </c>
      <c r="AJ144" s="24">
        <f>IF(AI143&gt;0,ROUND(AJ143+ROUND(ROUND(AJ143*100,0)*ROUND(AG$7*10000,0)/12000000,0)/100+0.02,2),0)</f>
        <v>0</v>
      </c>
      <c r="AK144" s="24">
        <f>IF(AM143&gt;0,IF(AND(ROUND(AM143+AL144-ROUND(AK$6+IF(AK$5=$C144,$E$5+$E144,0),2),2)&gt;0,ROUND(AM143+AL144-ROUND(AK$6+IF(AK$5=$C144,$E$5+$E144,0),2),2)&lt;=AN144,ROUND(AM143+AL144-ROUND(AK$6+IF(AK$5=$C144,$E$5+$E144,0),2),2)*10&lt;=ROUND(AK$6+IF(AK$5=$C144,$E$5+$E144,0),2)),ROUND(AM143+AL144,2),MIN(ROUND(AK$6+IF(AK$5=$C144,$E$5+$E144,0),2),ROUND(AM143+AL144,2))),0)</f>
        <v>0</v>
      </c>
      <c r="AL144" s="24">
        <f>IF(AM143&gt;0,ROUND(ROUND(AM143*100,0)*ROUND(AK$7*10000,0)/12000000,0)/100,0)</f>
        <v>0</v>
      </c>
      <c r="AM144" s="24">
        <f>IF(AM143&gt;0,ROUND(AM143+AL144-AK144,2),0)</f>
        <v>0</v>
      </c>
      <c r="AN144" s="24">
        <f>IF(AM143&gt;0,ROUND(AN143+ROUND(ROUND(AN143*100,0)*ROUND(AK$7*10000,0)/12000000,0)/100+0.02,2),0)</f>
        <v>0</v>
      </c>
      <c r="AO144" s="24">
        <f>IF(AQ143&gt;0,IF(AND(ROUND(AQ143+AP144-ROUND(AO$6+IF(AO$5=$C144,$E$5+$E144,0),2),2)&gt;0,ROUND(AQ143+AP144-ROUND(AO$6+IF(AO$5=$C144,$E$5+$E144,0),2),2)&lt;=AR144,ROUND(AQ143+AP144-ROUND(AO$6+IF(AO$5=$C144,$E$5+$E144,0),2),2)*10&lt;=ROUND(AO$6+IF(AO$5=$C144,$E$5+$E144,0),2)),ROUND(AQ143+AP144,2),MIN(ROUND(AO$6+IF(AO$5=$C144,$E$5+$E144,0),2),ROUND(AQ143+AP144,2))),0)</f>
        <v>0</v>
      </c>
      <c r="AP144" s="24">
        <f>IF(AQ143&gt;0,ROUND(ROUND(AQ143*100,0)*ROUND(AO$7*10000,0)/12000000,0)/100,0)</f>
        <v>0</v>
      </c>
      <c r="AQ144" s="24">
        <f>IF(AQ143&gt;0,ROUND(AQ143+AP144-AO144,2),0)</f>
        <v>0</v>
      </c>
      <c r="AR144" s="24">
        <f>IF(AQ143&gt;0,ROUND(AR143+ROUND(ROUND(AR143*100,0)*ROUND(AO$7*10000,0)/12000000,0)/100+0.02,2),0)</f>
        <v>0</v>
      </c>
      <c r="AS144" s="24">
        <f>IF(AU143&gt;0,IF(AND(ROUND(AU143+AT144-ROUND(AS$6+IF(AS$5=$C144,$E$5+$E144,0),2),2)&gt;0,ROUND(AU143+AT144-ROUND(AS$6+IF(AS$5=$C144,$E$5+$E144,0),2),2)&lt;=AV144,ROUND(AU143+AT144-ROUND(AS$6+IF(AS$5=$C144,$E$5+$E144,0),2),2)*10&lt;=ROUND(AS$6+IF(AS$5=$C144,$E$5+$E144,0),2)),ROUND(AU143+AT144,2),MIN(ROUND(AS$6+IF(AS$5=$C144,$E$5+$E144,0),2),ROUND(AU143+AT144,2))),0)</f>
        <v>0</v>
      </c>
      <c r="AT144" s="24">
        <f>IF(AU143&gt;0,ROUND(ROUND(AU143*100,0)*ROUND(AS$7*10000,0)/12000000,0)/100,0)</f>
        <v>0</v>
      </c>
      <c r="AU144" s="24">
        <f>IF(AU143&gt;0,ROUND(AU143+AT144-AS144,2),0)</f>
        <v>0</v>
      </c>
      <c r="AV144" s="24">
        <f>IF(AU143&gt;0,ROUND(AV143+ROUND(ROUND(AV143*100,0)*ROUND(AS$7*10000,0)/12000000,0)/100+0.02,2),0)</f>
        <v>0</v>
      </c>
    </row>
    <row r="145" spans="1:48" x14ac:dyDescent="0.25">
      <c r="A145" s="17" t="str">
        <f>IF(F145&gt;0,135,"")</f>
        <v/>
      </c>
      <c r="B145" s="18" t="str">
        <f>IF(F145&gt;0,EDATE($E$6,135),"")</f>
        <v/>
      </c>
      <c r="C145" s="21">
        <f>IF(H144&gt;0,MIN(IF(K144&gt;0,I$5,99),IF(O144&gt;0,M$5,99),IF(S144&gt;0,Q$5,99),IF(W144&gt;0,U$5,99),IF(AA144&gt;0,Y$5,99),IF(AE144&gt;0,AC$5,99),IF(AI144&gt;0,AG$5,99),IF(AM144&gt;0,AK$5,99),IF(AQ144&gt;0,AO$5,99),IF(AU144&gt;0,AS$5,99)),0)</f>
        <v>0</v>
      </c>
      <c r="D145" t="str">
        <f>IF(C145&gt;0,INDEX($I$4:$AV$4,1,MATCH(C145,$I$5:$AV$5,0)),"")</f>
        <v/>
      </c>
      <c r="E145" s="24">
        <f>ROUND(IF(AND(I$8&gt;0,K144=0),I$6,0)+IF(AND(M$8&gt;0,O144=0),M$6,0)+IF(AND(Q$8&gt;0,S144=0),Q$6,0)+IF(AND(U$8&gt;0,W144=0),U$6,0)+IF(AND(Y$8&gt;0,AA144=0),Y$6,0)+IF(AND(AC$8&gt;0,AE144=0),AC$6,0)+IF(AND(AG$8&gt;0,AI144=0),AG$6,0)+IF(AND(AK$8&gt;0,AM144=0),AK$6,0)+IF(AND(AO$8&gt;0,AQ144=0),AO$6,0)+IF(AND(AS$8&gt;0,AU144=0),AS$6,0),2)</f>
        <v>325</v>
      </c>
      <c r="F145" s="24">
        <f>ROUND(I145+M145+Q145+U145+Y145+AC145+AG145+AK145+AO145+AS145,2)</f>
        <v>0</v>
      </c>
      <c r="G145" s="24">
        <f>ROUND(J145+N145+R145+V145+Z145+AD145+AH145+AL145+AP145+AT145,2)</f>
        <v>0</v>
      </c>
      <c r="H145" s="24">
        <f>ROUND(K145+O145+S145+W145+AA145+AE145+AI145+AM145+AQ145+AU145,2)</f>
        <v>0</v>
      </c>
      <c r="I145" s="24">
        <f>IF(K144&gt;0,IF(AND(ROUND(K144+J145-ROUND(I$6+IF(I$5=$C145,$E$5+$E145,0),2),2)&gt;0,ROUND(K144+J145-ROUND(I$6+IF(I$5=$C145,$E$5+$E145,0),2),2)&lt;=L145,ROUND(K144+J145-ROUND(I$6+IF(I$5=$C145,$E$5+$E145,0),2),2)*10&lt;=ROUND(I$6+IF(I$5=$C145,$E$5+$E145,0),2)),ROUND(K144+J145,2),MIN(ROUND(I$6+IF(I$5=$C145,$E$5+$E145,0),2),ROUND(K144+J145,2))),0)</f>
        <v>0</v>
      </c>
      <c r="J145" s="24">
        <f>IF(K144&gt;0,ROUND(ROUND(K144*100,0)*ROUND(I$7*10000,0)/12000000,0)/100,0)</f>
        <v>0</v>
      </c>
      <c r="K145" s="24">
        <f>IF(K144&gt;0,ROUND(K144+J145-I145,2),0)</f>
        <v>0</v>
      </c>
      <c r="L145" s="24">
        <f>IF(K144&gt;0,ROUND(L144+ROUND(ROUND(L144*100,0)*ROUND(I$7*10000,0)/12000000,0)/100+0.02,2),0)</f>
        <v>0</v>
      </c>
      <c r="M145" s="24">
        <f>IF(O144&gt;0,IF(AND(ROUND(O144+N145-ROUND(M$6+IF(M$5=$C145,$E$5+$E145,0),2),2)&gt;0,ROUND(O144+N145-ROUND(M$6+IF(M$5=$C145,$E$5+$E145,0),2),2)&lt;=P145,ROUND(O144+N145-ROUND(M$6+IF(M$5=$C145,$E$5+$E145,0),2),2)*10&lt;=ROUND(M$6+IF(M$5=$C145,$E$5+$E145,0),2)),ROUND(O144+N145,2),MIN(ROUND(M$6+IF(M$5=$C145,$E$5+$E145,0),2),ROUND(O144+N145,2))),0)</f>
        <v>0</v>
      </c>
      <c r="N145" s="24">
        <f>IF(O144&gt;0,ROUND(ROUND(O144*100,0)*ROUND(M$7*10000,0)/12000000,0)/100,0)</f>
        <v>0</v>
      </c>
      <c r="O145" s="24">
        <f>IF(O144&gt;0,ROUND(O144+N145-M145,2),0)</f>
        <v>0</v>
      </c>
      <c r="P145" s="24">
        <f>IF(O144&gt;0,ROUND(P144+ROUND(ROUND(P144*100,0)*ROUND(M$7*10000,0)/12000000,0)/100+0.02,2),0)</f>
        <v>0</v>
      </c>
      <c r="Q145" s="24">
        <f>IF(S144&gt;0,IF(AND(ROUND(S144+R145-ROUND(Q$6+IF(Q$5=$C145,$E$5+$E145,0),2),2)&gt;0,ROUND(S144+R145-ROUND(Q$6+IF(Q$5=$C145,$E$5+$E145,0),2),2)&lt;=T145,ROUND(S144+R145-ROUND(Q$6+IF(Q$5=$C145,$E$5+$E145,0),2),2)*10&lt;=ROUND(Q$6+IF(Q$5=$C145,$E$5+$E145,0),2)),ROUND(S144+R145,2),MIN(ROUND(Q$6+IF(Q$5=$C145,$E$5+$E145,0),2),ROUND(S144+R145,2))),0)</f>
        <v>0</v>
      </c>
      <c r="R145" s="24">
        <f>IF(S144&gt;0,ROUND(ROUND(S144*100,0)*ROUND(Q$7*10000,0)/12000000,0)/100,0)</f>
        <v>0</v>
      </c>
      <c r="S145" s="24">
        <f>IF(S144&gt;0,ROUND(S144+R145-Q145,2),0)</f>
        <v>0</v>
      </c>
      <c r="T145" s="24">
        <f>IF(S144&gt;0,ROUND(T144+ROUND(ROUND(T144*100,0)*ROUND(Q$7*10000,0)/12000000,0)/100+0.02,2),0)</f>
        <v>0</v>
      </c>
      <c r="U145" s="24">
        <f>IF(W144&gt;0,IF(AND(ROUND(W144+V145-ROUND(U$6+IF(U$5=$C145,$E$5+$E145,0),2),2)&gt;0,ROUND(W144+V145-ROUND(U$6+IF(U$5=$C145,$E$5+$E145,0),2),2)&lt;=X145,ROUND(W144+V145-ROUND(U$6+IF(U$5=$C145,$E$5+$E145,0),2),2)*10&lt;=ROUND(U$6+IF(U$5=$C145,$E$5+$E145,0),2)),ROUND(W144+V145,2),MIN(ROUND(U$6+IF(U$5=$C145,$E$5+$E145,0),2),ROUND(W144+V145,2))),0)</f>
        <v>0</v>
      </c>
      <c r="V145" s="24">
        <f>IF(W144&gt;0,ROUND(ROUND(W144*100,0)*ROUND(U$7*10000,0)/12000000,0)/100,0)</f>
        <v>0</v>
      </c>
      <c r="W145" s="24">
        <f>IF(W144&gt;0,ROUND(W144+V145-U145,2),0)</f>
        <v>0</v>
      </c>
      <c r="X145" s="24">
        <f>IF(W144&gt;0,ROUND(X144+ROUND(ROUND(X144*100,0)*ROUND(U$7*10000,0)/12000000,0)/100+0.02,2),0)</f>
        <v>0</v>
      </c>
      <c r="Y145" s="24">
        <f>IF(AA144&gt;0,IF(AND(ROUND(AA144+Z145-ROUND(Y$6+IF(Y$5=$C145,$E$5+$E145,0),2),2)&gt;0,ROUND(AA144+Z145-ROUND(Y$6+IF(Y$5=$C145,$E$5+$E145,0),2),2)&lt;=AB145,ROUND(AA144+Z145-ROUND(Y$6+IF(Y$5=$C145,$E$5+$E145,0),2),2)*10&lt;=ROUND(Y$6+IF(Y$5=$C145,$E$5+$E145,0),2)),ROUND(AA144+Z145,2),MIN(ROUND(Y$6+IF(Y$5=$C145,$E$5+$E145,0),2),ROUND(AA144+Z145,2))),0)</f>
        <v>0</v>
      </c>
      <c r="Z145" s="24">
        <f>IF(AA144&gt;0,ROUND(ROUND(AA144*100,0)*ROUND(Y$7*10000,0)/12000000,0)/100,0)</f>
        <v>0</v>
      </c>
      <c r="AA145" s="24">
        <f>IF(AA144&gt;0,ROUND(AA144+Z145-Y145,2),0)</f>
        <v>0</v>
      </c>
      <c r="AB145" s="24">
        <f>IF(AA144&gt;0,ROUND(AB144+ROUND(ROUND(AB144*100,0)*ROUND(Y$7*10000,0)/12000000,0)/100+0.02,2),0)</f>
        <v>0</v>
      </c>
      <c r="AC145" s="24">
        <f>IF(AE144&gt;0,IF(AND(ROUND(AE144+AD145-ROUND(AC$6+IF(AC$5=$C145,$E$5+$E145,0),2),2)&gt;0,ROUND(AE144+AD145-ROUND(AC$6+IF(AC$5=$C145,$E$5+$E145,0),2),2)&lt;=AF145,ROUND(AE144+AD145-ROUND(AC$6+IF(AC$5=$C145,$E$5+$E145,0),2),2)*10&lt;=ROUND(AC$6+IF(AC$5=$C145,$E$5+$E145,0),2)),ROUND(AE144+AD145,2),MIN(ROUND(AC$6+IF(AC$5=$C145,$E$5+$E145,0),2),ROUND(AE144+AD145,2))),0)</f>
        <v>0</v>
      </c>
      <c r="AD145" s="24">
        <f>IF(AE144&gt;0,ROUND(ROUND(AE144*100,0)*ROUND(AC$7*10000,0)/12000000,0)/100,0)</f>
        <v>0</v>
      </c>
      <c r="AE145" s="24">
        <f>IF(AE144&gt;0,ROUND(AE144+AD145-AC145,2),0)</f>
        <v>0</v>
      </c>
      <c r="AF145" s="24">
        <f>IF(AE144&gt;0,ROUND(AF144+ROUND(ROUND(AF144*100,0)*ROUND(AC$7*10000,0)/12000000,0)/100+0.02,2),0)</f>
        <v>0</v>
      </c>
      <c r="AG145" s="24">
        <f>IF(AI144&gt;0,IF(AND(ROUND(AI144+AH145-ROUND(AG$6+IF(AG$5=$C145,$E$5+$E145,0),2),2)&gt;0,ROUND(AI144+AH145-ROUND(AG$6+IF(AG$5=$C145,$E$5+$E145,0),2),2)&lt;=AJ145,ROUND(AI144+AH145-ROUND(AG$6+IF(AG$5=$C145,$E$5+$E145,0),2),2)*10&lt;=ROUND(AG$6+IF(AG$5=$C145,$E$5+$E145,0),2)),ROUND(AI144+AH145,2),MIN(ROUND(AG$6+IF(AG$5=$C145,$E$5+$E145,0),2),ROUND(AI144+AH145,2))),0)</f>
        <v>0</v>
      </c>
      <c r="AH145" s="24">
        <f>IF(AI144&gt;0,ROUND(ROUND(AI144*100,0)*ROUND(AG$7*10000,0)/12000000,0)/100,0)</f>
        <v>0</v>
      </c>
      <c r="AI145" s="24">
        <f>IF(AI144&gt;0,ROUND(AI144+AH145-AG145,2),0)</f>
        <v>0</v>
      </c>
      <c r="AJ145" s="24">
        <f>IF(AI144&gt;0,ROUND(AJ144+ROUND(ROUND(AJ144*100,0)*ROUND(AG$7*10000,0)/12000000,0)/100+0.02,2),0)</f>
        <v>0</v>
      </c>
      <c r="AK145" s="24">
        <f>IF(AM144&gt;0,IF(AND(ROUND(AM144+AL145-ROUND(AK$6+IF(AK$5=$C145,$E$5+$E145,0),2),2)&gt;0,ROUND(AM144+AL145-ROUND(AK$6+IF(AK$5=$C145,$E$5+$E145,0),2),2)&lt;=AN145,ROUND(AM144+AL145-ROUND(AK$6+IF(AK$5=$C145,$E$5+$E145,0),2),2)*10&lt;=ROUND(AK$6+IF(AK$5=$C145,$E$5+$E145,0),2)),ROUND(AM144+AL145,2),MIN(ROUND(AK$6+IF(AK$5=$C145,$E$5+$E145,0),2),ROUND(AM144+AL145,2))),0)</f>
        <v>0</v>
      </c>
      <c r="AL145" s="24">
        <f>IF(AM144&gt;0,ROUND(ROUND(AM144*100,0)*ROUND(AK$7*10000,0)/12000000,0)/100,0)</f>
        <v>0</v>
      </c>
      <c r="AM145" s="24">
        <f>IF(AM144&gt;0,ROUND(AM144+AL145-AK145,2),0)</f>
        <v>0</v>
      </c>
      <c r="AN145" s="24">
        <f>IF(AM144&gt;0,ROUND(AN144+ROUND(ROUND(AN144*100,0)*ROUND(AK$7*10000,0)/12000000,0)/100+0.02,2),0)</f>
        <v>0</v>
      </c>
      <c r="AO145" s="24">
        <f>IF(AQ144&gt;0,IF(AND(ROUND(AQ144+AP145-ROUND(AO$6+IF(AO$5=$C145,$E$5+$E145,0),2),2)&gt;0,ROUND(AQ144+AP145-ROUND(AO$6+IF(AO$5=$C145,$E$5+$E145,0),2),2)&lt;=AR145,ROUND(AQ144+AP145-ROUND(AO$6+IF(AO$5=$C145,$E$5+$E145,0),2),2)*10&lt;=ROUND(AO$6+IF(AO$5=$C145,$E$5+$E145,0),2)),ROUND(AQ144+AP145,2),MIN(ROUND(AO$6+IF(AO$5=$C145,$E$5+$E145,0),2),ROUND(AQ144+AP145,2))),0)</f>
        <v>0</v>
      </c>
      <c r="AP145" s="24">
        <f>IF(AQ144&gt;0,ROUND(ROUND(AQ144*100,0)*ROUND(AO$7*10000,0)/12000000,0)/100,0)</f>
        <v>0</v>
      </c>
      <c r="AQ145" s="24">
        <f>IF(AQ144&gt;0,ROUND(AQ144+AP145-AO145,2),0)</f>
        <v>0</v>
      </c>
      <c r="AR145" s="24">
        <f>IF(AQ144&gt;0,ROUND(AR144+ROUND(ROUND(AR144*100,0)*ROUND(AO$7*10000,0)/12000000,0)/100+0.02,2),0)</f>
        <v>0</v>
      </c>
      <c r="AS145" s="24">
        <f>IF(AU144&gt;0,IF(AND(ROUND(AU144+AT145-ROUND(AS$6+IF(AS$5=$C145,$E$5+$E145,0),2),2)&gt;0,ROUND(AU144+AT145-ROUND(AS$6+IF(AS$5=$C145,$E$5+$E145,0),2),2)&lt;=AV145,ROUND(AU144+AT145-ROUND(AS$6+IF(AS$5=$C145,$E$5+$E145,0),2),2)*10&lt;=ROUND(AS$6+IF(AS$5=$C145,$E$5+$E145,0),2)),ROUND(AU144+AT145,2),MIN(ROUND(AS$6+IF(AS$5=$C145,$E$5+$E145,0),2),ROUND(AU144+AT145,2))),0)</f>
        <v>0</v>
      </c>
      <c r="AT145" s="24">
        <f>IF(AU144&gt;0,ROUND(ROUND(AU144*100,0)*ROUND(AS$7*10000,0)/12000000,0)/100,0)</f>
        <v>0</v>
      </c>
      <c r="AU145" s="24">
        <f>IF(AU144&gt;0,ROUND(AU144+AT145-AS145,2),0)</f>
        <v>0</v>
      </c>
      <c r="AV145" s="24">
        <f>IF(AU144&gt;0,ROUND(AV144+ROUND(ROUND(AV144*100,0)*ROUND(AS$7*10000,0)/12000000,0)/100+0.02,2),0)</f>
        <v>0</v>
      </c>
    </row>
    <row r="146" spans="1:48" x14ac:dyDescent="0.25">
      <c r="A146" s="17" t="str">
        <f>IF(F146&gt;0,136,"")</f>
        <v/>
      </c>
      <c r="B146" s="18" t="str">
        <f>IF(F146&gt;0,EDATE($E$6,136),"")</f>
        <v/>
      </c>
      <c r="C146" s="21">
        <f>IF(H145&gt;0,MIN(IF(K145&gt;0,I$5,99),IF(O145&gt;0,M$5,99),IF(S145&gt;0,Q$5,99),IF(W145&gt;0,U$5,99),IF(AA145&gt;0,Y$5,99),IF(AE145&gt;0,AC$5,99),IF(AI145&gt;0,AG$5,99),IF(AM145&gt;0,AK$5,99),IF(AQ145&gt;0,AO$5,99),IF(AU145&gt;0,AS$5,99)),0)</f>
        <v>0</v>
      </c>
      <c r="D146" t="str">
        <f>IF(C146&gt;0,INDEX($I$4:$AV$4,1,MATCH(C146,$I$5:$AV$5,0)),"")</f>
        <v/>
      </c>
      <c r="E146" s="24">
        <f>ROUND(IF(AND(I$8&gt;0,K145=0),I$6,0)+IF(AND(M$8&gt;0,O145=0),M$6,0)+IF(AND(Q$8&gt;0,S145=0),Q$6,0)+IF(AND(U$8&gt;0,W145=0),U$6,0)+IF(AND(Y$8&gt;0,AA145=0),Y$6,0)+IF(AND(AC$8&gt;0,AE145=0),AC$6,0)+IF(AND(AG$8&gt;0,AI145=0),AG$6,0)+IF(AND(AK$8&gt;0,AM145=0),AK$6,0)+IF(AND(AO$8&gt;0,AQ145=0),AO$6,0)+IF(AND(AS$8&gt;0,AU145=0),AS$6,0),2)</f>
        <v>325</v>
      </c>
      <c r="F146" s="24">
        <f>ROUND(I146+M146+Q146+U146+Y146+AC146+AG146+AK146+AO146+AS146,2)</f>
        <v>0</v>
      </c>
      <c r="G146" s="24">
        <f>ROUND(J146+N146+R146+V146+Z146+AD146+AH146+AL146+AP146+AT146,2)</f>
        <v>0</v>
      </c>
      <c r="H146" s="24">
        <f>ROUND(K146+O146+S146+W146+AA146+AE146+AI146+AM146+AQ146+AU146,2)</f>
        <v>0</v>
      </c>
      <c r="I146" s="24">
        <f>IF(K145&gt;0,IF(AND(ROUND(K145+J146-ROUND(I$6+IF(I$5=$C146,$E$5+$E146,0),2),2)&gt;0,ROUND(K145+J146-ROUND(I$6+IF(I$5=$C146,$E$5+$E146,0),2),2)&lt;=L146,ROUND(K145+J146-ROUND(I$6+IF(I$5=$C146,$E$5+$E146,0),2),2)*10&lt;=ROUND(I$6+IF(I$5=$C146,$E$5+$E146,0),2)),ROUND(K145+J146,2),MIN(ROUND(I$6+IF(I$5=$C146,$E$5+$E146,0),2),ROUND(K145+J146,2))),0)</f>
        <v>0</v>
      </c>
      <c r="J146" s="24">
        <f>IF(K145&gt;0,ROUND(ROUND(K145*100,0)*ROUND(I$7*10000,0)/12000000,0)/100,0)</f>
        <v>0</v>
      </c>
      <c r="K146" s="24">
        <f>IF(K145&gt;0,ROUND(K145+J146-I146,2),0)</f>
        <v>0</v>
      </c>
      <c r="L146" s="24">
        <f>IF(K145&gt;0,ROUND(L145+ROUND(ROUND(L145*100,0)*ROUND(I$7*10000,0)/12000000,0)/100+0.02,2),0)</f>
        <v>0</v>
      </c>
      <c r="M146" s="24">
        <f>IF(O145&gt;0,IF(AND(ROUND(O145+N146-ROUND(M$6+IF(M$5=$C146,$E$5+$E146,0),2),2)&gt;0,ROUND(O145+N146-ROUND(M$6+IF(M$5=$C146,$E$5+$E146,0),2),2)&lt;=P146,ROUND(O145+N146-ROUND(M$6+IF(M$5=$C146,$E$5+$E146,0),2),2)*10&lt;=ROUND(M$6+IF(M$5=$C146,$E$5+$E146,0),2)),ROUND(O145+N146,2),MIN(ROUND(M$6+IF(M$5=$C146,$E$5+$E146,0),2),ROUND(O145+N146,2))),0)</f>
        <v>0</v>
      </c>
      <c r="N146" s="24">
        <f>IF(O145&gt;0,ROUND(ROUND(O145*100,0)*ROUND(M$7*10000,0)/12000000,0)/100,0)</f>
        <v>0</v>
      </c>
      <c r="O146" s="24">
        <f>IF(O145&gt;0,ROUND(O145+N146-M146,2),0)</f>
        <v>0</v>
      </c>
      <c r="P146" s="24">
        <f>IF(O145&gt;0,ROUND(P145+ROUND(ROUND(P145*100,0)*ROUND(M$7*10000,0)/12000000,0)/100+0.02,2),0)</f>
        <v>0</v>
      </c>
      <c r="Q146" s="24">
        <f>IF(S145&gt;0,IF(AND(ROUND(S145+R146-ROUND(Q$6+IF(Q$5=$C146,$E$5+$E146,0),2),2)&gt;0,ROUND(S145+R146-ROUND(Q$6+IF(Q$5=$C146,$E$5+$E146,0),2),2)&lt;=T146,ROUND(S145+R146-ROUND(Q$6+IF(Q$5=$C146,$E$5+$E146,0),2),2)*10&lt;=ROUND(Q$6+IF(Q$5=$C146,$E$5+$E146,0),2)),ROUND(S145+R146,2),MIN(ROUND(Q$6+IF(Q$5=$C146,$E$5+$E146,0),2),ROUND(S145+R146,2))),0)</f>
        <v>0</v>
      </c>
      <c r="R146" s="24">
        <f>IF(S145&gt;0,ROUND(ROUND(S145*100,0)*ROUND(Q$7*10000,0)/12000000,0)/100,0)</f>
        <v>0</v>
      </c>
      <c r="S146" s="24">
        <f>IF(S145&gt;0,ROUND(S145+R146-Q146,2),0)</f>
        <v>0</v>
      </c>
      <c r="T146" s="24">
        <f>IF(S145&gt;0,ROUND(T145+ROUND(ROUND(T145*100,0)*ROUND(Q$7*10000,0)/12000000,0)/100+0.02,2),0)</f>
        <v>0</v>
      </c>
      <c r="U146" s="24">
        <f>IF(W145&gt;0,IF(AND(ROUND(W145+V146-ROUND(U$6+IF(U$5=$C146,$E$5+$E146,0),2),2)&gt;0,ROUND(W145+V146-ROUND(U$6+IF(U$5=$C146,$E$5+$E146,0),2),2)&lt;=X146,ROUND(W145+V146-ROUND(U$6+IF(U$5=$C146,$E$5+$E146,0),2),2)*10&lt;=ROUND(U$6+IF(U$5=$C146,$E$5+$E146,0),2)),ROUND(W145+V146,2),MIN(ROUND(U$6+IF(U$5=$C146,$E$5+$E146,0),2),ROUND(W145+V146,2))),0)</f>
        <v>0</v>
      </c>
      <c r="V146" s="24">
        <f>IF(W145&gt;0,ROUND(ROUND(W145*100,0)*ROUND(U$7*10000,0)/12000000,0)/100,0)</f>
        <v>0</v>
      </c>
      <c r="W146" s="24">
        <f>IF(W145&gt;0,ROUND(W145+V146-U146,2),0)</f>
        <v>0</v>
      </c>
      <c r="X146" s="24">
        <f>IF(W145&gt;0,ROUND(X145+ROUND(ROUND(X145*100,0)*ROUND(U$7*10000,0)/12000000,0)/100+0.02,2),0)</f>
        <v>0</v>
      </c>
      <c r="Y146" s="24">
        <f>IF(AA145&gt;0,IF(AND(ROUND(AA145+Z146-ROUND(Y$6+IF(Y$5=$C146,$E$5+$E146,0),2),2)&gt;0,ROUND(AA145+Z146-ROUND(Y$6+IF(Y$5=$C146,$E$5+$E146,0),2),2)&lt;=AB146,ROUND(AA145+Z146-ROUND(Y$6+IF(Y$5=$C146,$E$5+$E146,0),2),2)*10&lt;=ROUND(Y$6+IF(Y$5=$C146,$E$5+$E146,0),2)),ROUND(AA145+Z146,2),MIN(ROUND(Y$6+IF(Y$5=$C146,$E$5+$E146,0),2),ROUND(AA145+Z146,2))),0)</f>
        <v>0</v>
      </c>
      <c r="Z146" s="24">
        <f>IF(AA145&gt;0,ROUND(ROUND(AA145*100,0)*ROUND(Y$7*10000,0)/12000000,0)/100,0)</f>
        <v>0</v>
      </c>
      <c r="AA146" s="24">
        <f>IF(AA145&gt;0,ROUND(AA145+Z146-Y146,2),0)</f>
        <v>0</v>
      </c>
      <c r="AB146" s="24">
        <f>IF(AA145&gt;0,ROUND(AB145+ROUND(ROUND(AB145*100,0)*ROUND(Y$7*10000,0)/12000000,0)/100+0.02,2),0)</f>
        <v>0</v>
      </c>
      <c r="AC146" s="24">
        <f>IF(AE145&gt;0,IF(AND(ROUND(AE145+AD146-ROUND(AC$6+IF(AC$5=$C146,$E$5+$E146,0),2),2)&gt;0,ROUND(AE145+AD146-ROUND(AC$6+IF(AC$5=$C146,$E$5+$E146,0),2),2)&lt;=AF146,ROUND(AE145+AD146-ROUND(AC$6+IF(AC$5=$C146,$E$5+$E146,0),2),2)*10&lt;=ROUND(AC$6+IF(AC$5=$C146,$E$5+$E146,0),2)),ROUND(AE145+AD146,2),MIN(ROUND(AC$6+IF(AC$5=$C146,$E$5+$E146,0),2),ROUND(AE145+AD146,2))),0)</f>
        <v>0</v>
      </c>
      <c r="AD146" s="24">
        <f>IF(AE145&gt;0,ROUND(ROUND(AE145*100,0)*ROUND(AC$7*10000,0)/12000000,0)/100,0)</f>
        <v>0</v>
      </c>
      <c r="AE146" s="24">
        <f>IF(AE145&gt;0,ROUND(AE145+AD146-AC146,2),0)</f>
        <v>0</v>
      </c>
      <c r="AF146" s="24">
        <f>IF(AE145&gt;0,ROUND(AF145+ROUND(ROUND(AF145*100,0)*ROUND(AC$7*10000,0)/12000000,0)/100+0.02,2),0)</f>
        <v>0</v>
      </c>
      <c r="AG146" s="24">
        <f>IF(AI145&gt;0,IF(AND(ROUND(AI145+AH146-ROUND(AG$6+IF(AG$5=$C146,$E$5+$E146,0),2),2)&gt;0,ROUND(AI145+AH146-ROUND(AG$6+IF(AG$5=$C146,$E$5+$E146,0),2),2)&lt;=AJ146,ROUND(AI145+AH146-ROUND(AG$6+IF(AG$5=$C146,$E$5+$E146,0),2),2)*10&lt;=ROUND(AG$6+IF(AG$5=$C146,$E$5+$E146,0),2)),ROUND(AI145+AH146,2),MIN(ROUND(AG$6+IF(AG$5=$C146,$E$5+$E146,0),2),ROUND(AI145+AH146,2))),0)</f>
        <v>0</v>
      </c>
      <c r="AH146" s="24">
        <f>IF(AI145&gt;0,ROUND(ROUND(AI145*100,0)*ROUND(AG$7*10000,0)/12000000,0)/100,0)</f>
        <v>0</v>
      </c>
      <c r="AI146" s="24">
        <f>IF(AI145&gt;0,ROUND(AI145+AH146-AG146,2),0)</f>
        <v>0</v>
      </c>
      <c r="AJ146" s="24">
        <f>IF(AI145&gt;0,ROUND(AJ145+ROUND(ROUND(AJ145*100,0)*ROUND(AG$7*10000,0)/12000000,0)/100+0.02,2),0)</f>
        <v>0</v>
      </c>
      <c r="AK146" s="24">
        <f>IF(AM145&gt;0,IF(AND(ROUND(AM145+AL146-ROUND(AK$6+IF(AK$5=$C146,$E$5+$E146,0),2),2)&gt;0,ROUND(AM145+AL146-ROUND(AK$6+IF(AK$5=$C146,$E$5+$E146,0),2),2)&lt;=AN146,ROUND(AM145+AL146-ROUND(AK$6+IF(AK$5=$C146,$E$5+$E146,0),2),2)*10&lt;=ROUND(AK$6+IF(AK$5=$C146,$E$5+$E146,0),2)),ROUND(AM145+AL146,2),MIN(ROUND(AK$6+IF(AK$5=$C146,$E$5+$E146,0),2),ROUND(AM145+AL146,2))),0)</f>
        <v>0</v>
      </c>
      <c r="AL146" s="24">
        <f>IF(AM145&gt;0,ROUND(ROUND(AM145*100,0)*ROUND(AK$7*10000,0)/12000000,0)/100,0)</f>
        <v>0</v>
      </c>
      <c r="AM146" s="24">
        <f>IF(AM145&gt;0,ROUND(AM145+AL146-AK146,2),0)</f>
        <v>0</v>
      </c>
      <c r="AN146" s="24">
        <f>IF(AM145&gt;0,ROUND(AN145+ROUND(ROUND(AN145*100,0)*ROUND(AK$7*10000,0)/12000000,0)/100+0.02,2),0)</f>
        <v>0</v>
      </c>
      <c r="AO146" s="24">
        <f>IF(AQ145&gt;0,IF(AND(ROUND(AQ145+AP146-ROUND(AO$6+IF(AO$5=$C146,$E$5+$E146,0),2),2)&gt;0,ROUND(AQ145+AP146-ROUND(AO$6+IF(AO$5=$C146,$E$5+$E146,0),2),2)&lt;=AR146,ROUND(AQ145+AP146-ROUND(AO$6+IF(AO$5=$C146,$E$5+$E146,0),2),2)*10&lt;=ROUND(AO$6+IF(AO$5=$C146,$E$5+$E146,0),2)),ROUND(AQ145+AP146,2),MIN(ROUND(AO$6+IF(AO$5=$C146,$E$5+$E146,0),2),ROUND(AQ145+AP146,2))),0)</f>
        <v>0</v>
      </c>
      <c r="AP146" s="24">
        <f>IF(AQ145&gt;0,ROUND(ROUND(AQ145*100,0)*ROUND(AO$7*10000,0)/12000000,0)/100,0)</f>
        <v>0</v>
      </c>
      <c r="AQ146" s="24">
        <f>IF(AQ145&gt;0,ROUND(AQ145+AP146-AO146,2),0)</f>
        <v>0</v>
      </c>
      <c r="AR146" s="24">
        <f>IF(AQ145&gt;0,ROUND(AR145+ROUND(ROUND(AR145*100,0)*ROUND(AO$7*10000,0)/12000000,0)/100+0.02,2),0)</f>
        <v>0</v>
      </c>
      <c r="AS146" s="24">
        <f>IF(AU145&gt;0,IF(AND(ROUND(AU145+AT146-ROUND(AS$6+IF(AS$5=$C146,$E$5+$E146,0),2),2)&gt;0,ROUND(AU145+AT146-ROUND(AS$6+IF(AS$5=$C146,$E$5+$E146,0),2),2)&lt;=AV146,ROUND(AU145+AT146-ROUND(AS$6+IF(AS$5=$C146,$E$5+$E146,0),2),2)*10&lt;=ROUND(AS$6+IF(AS$5=$C146,$E$5+$E146,0),2)),ROUND(AU145+AT146,2),MIN(ROUND(AS$6+IF(AS$5=$C146,$E$5+$E146,0),2),ROUND(AU145+AT146,2))),0)</f>
        <v>0</v>
      </c>
      <c r="AT146" s="24">
        <f>IF(AU145&gt;0,ROUND(ROUND(AU145*100,0)*ROUND(AS$7*10000,0)/12000000,0)/100,0)</f>
        <v>0</v>
      </c>
      <c r="AU146" s="24">
        <f>IF(AU145&gt;0,ROUND(AU145+AT146-AS146,2),0)</f>
        <v>0</v>
      </c>
      <c r="AV146" s="24">
        <f>IF(AU145&gt;0,ROUND(AV145+ROUND(ROUND(AV145*100,0)*ROUND(AS$7*10000,0)/12000000,0)/100+0.02,2),0)</f>
        <v>0</v>
      </c>
    </row>
    <row r="147" spans="1:48" x14ac:dyDescent="0.25">
      <c r="A147" s="17" t="str">
        <f>IF(F147&gt;0,137,"")</f>
        <v/>
      </c>
      <c r="B147" s="18" t="str">
        <f>IF(F147&gt;0,EDATE($E$6,137),"")</f>
        <v/>
      </c>
      <c r="C147" s="21">
        <f>IF(H146&gt;0,MIN(IF(K146&gt;0,I$5,99),IF(O146&gt;0,M$5,99),IF(S146&gt;0,Q$5,99),IF(W146&gt;0,U$5,99),IF(AA146&gt;0,Y$5,99),IF(AE146&gt;0,AC$5,99),IF(AI146&gt;0,AG$5,99),IF(AM146&gt;0,AK$5,99),IF(AQ146&gt;0,AO$5,99),IF(AU146&gt;0,AS$5,99)),0)</f>
        <v>0</v>
      </c>
      <c r="D147" t="str">
        <f>IF(C147&gt;0,INDEX($I$4:$AV$4,1,MATCH(C147,$I$5:$AV$5,0)),"")</f>
        <v/>
      </c>
      <c r="E147" s="24">
        <f>ROUND(IF(AND(I$8&gt;0,K146=0),I$6,0)+IF(AND(M$8&gt;0,O146=0),M$6,0)+IF(AND(Q$8&gt;0,S146=0),Q$6,0)+IF(AND(U$8&gt;0,W146=0),U$6,0)+IF(AND(Y$8&gt;0,AA146=0),Y$6,0)+IF(AND(AC$8&gt;0,AE146=0),AC$6,0)+IF(AND(AG$8&gt;0,AI146=0),AG$6,0)+IF(AND(AK$8&gt;0,AM146=0),AK$6,0)+IF(AND(AO$8&gt;0,AQ146=0),AO$6,0)+IF(AND(AS$8&gt;0,AU146=0),AS$6,0),2)</f>
        <v>325</v>
      </c>
      <c r="F147" s="24">
        <f>ROUND(I147+M147+Q147+U147+Y147+AC147+AG147+AK147+AO147+AS147,2)</f>
        <v>0</v>
      </c>
      <c r="G147" s="24">
        <f>ROUND(J147+N147+R147+V147+Z147+AD147+AH147+AL147+AP147+AT147,2)</f>
        <v>0</v>
      </c>
      <c r="H147" s="24">
        <f>ROUND(K147+O147+S147+W147+AA147+AE147+AI147+AM147+AQ147+AU147,2)</f>
        <v>0</v>
      </c>
      <c r="I147" s="24">
        <f>IF(K146&gt;0,IF(AND(ROUND(K146+J147-ROUND(I$6+IF(I$5=$C147,$E$5+$E147,0),2),2)&gt;0,ROUND(K146+J147-ROUND(I$6+IF(I$5=$C147,$E$5+$E147,0),2),2)&lt;=L147,ROUND(K146+J147-ROUND(I$6+IF(I$5=$C147,$E$5+$E147,0),2),2)*10&lt;=ROUND(I$6+IF(I$5=$C147,$E$5+$E147,0),2)),ROUND(K146+J147,2),MIN(ROUND(I$6+IF(I$5=$C147,$E$5+$E147,0),2),ROUND(K146+J147,2))),0)</f>
        <v>0</v>
      </c>
      <c r="J147" s="24">
        <f>IF(K146&gt;0,ROUND(ROUND(K146*100,0)*ROUND(I$7*10000,0)/12000000,0)/100,0)</f>
        <v>0</v>
      </c>
      <c r="K147" s="24">
        <f>IF(K146&gt;0,ROUND(K146+J147-I147,2),0)</f>
        <v>0</v>
      </c>
      <c r="L147" s="24">
        <f>IF(K146&gt;0,ROUND(L146+ROUND(ROUND(L146*100,0)*ROUND(I$7*10000,0)/12000000,0)/100+0.02,2),0)</f>
        <v>0</v>
      </c>
      <c r="M147" s="24">
        <f>IF(O146&gt;0,IF(AND(ROUND(O146+N147-ROUND(M$6+IF(M$5=$C147,$E$5+$E147,0),2),2)&gt;0,ROUND(O146+N147-ROUND(M$6+IF(M$5=$C147,$E$5+$E147,0),2),2)&lt;=P147,ROUND(O146+N147-ROUND(M$6+IF(M$5=$C147,$E$5+$E147,0),2),2)*10&lt;=ROUND(M$6+IF(M$5=$C147,$E$5+$E147,0),2)),ROUND(O146+N147,2),MIN(ROUND(M$6+IF(M$5=$C147,$E$5+$E147,0),2),ROUND(O146+N147,2))),0)</f>
        <v>0</v>
      </c>
      <c r="N147" s="24">
        <f>IF(O146&gt;0,ROUND(ROUND(O146*100,0)*ROUND(M$7*10000,0)/12000000,0)/100,0)</f>
        <v>0</v>
      </c>
      <c r="O147" s="24">
        <f>IF(O146&gt;0,ROUND(O146+N147-M147,2),0)</f>
        <v>0</v>
      </c>
      <c r="P147" s="24">
        <f>IF(O146&gt;0,ROUND(P146+ROUND(ROUND(P146*100,0)*ROUND(M$7*10000,0)/12000000,0)/100+0.02,2),0)</f>
        <v>0</v>
      </c>
      <c r="Q147" s="24">
        <f>IF(S146&gt;0,IF(AND(ROUND(S146+R147-ROUND(Q$6+IF(Q$5=$C147,$E$5+$E147,0),2),2)&gt;0,ROUND(S146+R147-ROUND(Q$6+IF(Q$5=$C147,$E$5+$E147,0),2),2)&lt;=T147,ROUND(S146+R147-ROUND(Q$6+IF(Q$5=$C147,$E$5+$E147,0),2),2)*10&lt;=ROUND(Q$6+IF(Q$5=$C147,$E$5+$E147,0),2)),ROUND(S146+R147,2),MIN(ROUND(Q$6+IF(Q$5=$C147,$E$5+$E147,0),2),ROUND(S146+R147,2))),0)</f>
        <v>0</v>
      </c>
      <c r="R147" s="24">
        <f>IF(S146&gt;0,ROUND(ROUND(S146*100,0)*ROUND(Q$7*10000,0)/12000000,0)/100,0)</f>
        <v>0</v>
      </c>
      <c r="S147" s="24">
        <f>IF(S146&gt;0,ROUND(S146+R147-Q147,2),0)</f>
        <v>0</v>
      </c>
      <c r="T147" s="24">
        <f>IF(S146&gt;0,ROUND(T146+ROUND(ROUND(T146*100,0)*ROUND(Q$7*10000,0)/12000000,0)/100+0.02,2),0)</f>
        <v>0</v>
      </c>
      <c r="U147" s="24">
        <f>IF(W146&gt;0,IF(AND(ROUND(W146+V147-ROUND(U$6+IF(U$5=$C147,$E$5+$E147,0),2),2)&gt;0,ROUND(W146+V147-ROUND(U$6+IF(U$5=$C147,$E$5+$E147,0),2),2)&lt;=X147,ROUND(W146+V147-ROUND(U$6+IF(U$5=$C147,$E$5+$E147,0),2),2)*10&lt;=ROUND(U$6+IF(U$5=$C147,$E$5+$E147,0),2)),ROUND(W146+V147,2),MIN(ROUND(U$6+IF(U$5=$C147,$E$5+$E147,0),2),ROUND(W146+V147,2))),0)</f>
        <v>0</v>
      </c>
      <c r="V147" s="24">
        <f>IF(W146&gt;0,ROUND(ROUND(W146*100,0)*ROUND(U$7*10000,0)/12000000,0)/100,0)</f>
        <v>0</v>
      </c>
      <c r="W147" s="24">
        <f>IF(W146&gt;0,ROUND(W146+V147-U147,2),0)</f>
        <v>0</v>
      </c>
      <c r="X147" s="24">
        <f>IF(W146&gt;0,ROUND(X146+ROUND(ROUND(X146*100,0)*ROUND(U$7*10000,0)/12000000,0)/100+0.02,2),0)</f>
        <v>0</v>
      </c>
      <c r="Y147" s="24">
        <f>IF(AA146&gt;0,IF(AND(ROUND(AA146+Z147-ROUND(Y$6+IF(Y$5=$C147,$E$5+$E147,0),2),2)&gt;0,ROUND(AA146+Z147-ROUND(Y$6+IF(Y$5=$C147,$E$5+$E147,0),2),2)&lt;=AB147,ROUND(AA146+Z147-ROUND(Y$6+IF(Y$5=$C147,$E$5+$E147,0),2),2)*10&lt;=ROUND(Y$6+IF(Y$5=$C147,$E$5+$E147,0),2)),ROUND(AA146+Z147,2),MIN(ROUND(Y$6+IF(Y$5=$C147,$E$5+$E147,0),2),ROUND(AA146+Z147,2))),0)</f>
        <v>0</v>
      </c>
      <c r="Z147" s="24">
        <f>IF(AA146&gt;0,ROUND(ROUND(AA146*100,0)*ROUND(Y$7*10000,0)/12000000,0)/100,0)</f>
        <v>0</v>
      </c>
      <c r="AA147" s="24">
        <f>IF(AA146&gt;0,ROUND(AA146+Z147-Y147,2),0)</f>
        <v>0</v>
      </c>
      <c r="AB147" s="24">
        <f>IF(AA146&gt;0,ROUND(AB146+ROUND(ROUND(AB146*100,0)*ROUND(Y$7*10000,0)/12000000,0)/100+0.02,2),0)</f>
        <v>0</v>
      </c>
      <c r="AC147" s="24">
        <f>IF(AE146&gt;0,IF(AND(ROUND(AE146+AD147-ROUND(AC$6+IF(AC$5=$C147,$E$5+$E147,0),2),2)&gt;0,ROUND(AE146+AD147-ROUND(AC$6+IF(AC$5=$C147,$E$5+$E147,0),2),2)&lt;=AF147,ROUND(AE146+AD147-ROUND(AC$6+IF(AC$5=$C147,$E$5+$E147,0),2),2)*10&lt;=ROUND(AC$6+IF(AC$5=$C147,$E$5+$E147,0),2)),ROUND(AE146+AD147,2),MIN(ROUND(AC$6+IF(AC$5=$C147,$E$5+$E147,0),2),ROUND(AE146+AD147,2))),0)</f>
        <v>0</v>
      </c>
      <c r="AD147" s="24">
        <f>IF(AE146&gt;0,ROUND(ROUND(AE146*100,0)*ROUND(AC$7*10000,0)/12000000,0)/100,0)</f>
        <v>0</v>
      </c>
      <c r="AE147" s="24">
        <f>IF(AE146&gt;0,ROUND(AE146+AD147-AC147,2),0)</f>
        <v>0</v>
      </c>
      <c r="AF147" s="24">
        <f>IF(AE146&gt;0,ROUND(AF146+ROUND(ROUND(AF146*100,0)*ROUND(AC$7*10000,0)/12000000,0)/100+0.02,2),0)</f>
        <v>0</v>
      </c>
      <c r="AG147" s="24">
        <f>IF(AI146&gt;0,IF(AND(ROUND(AI146+AH147-ROUND(AG$6+IF(AG$5=$C147,$E$5+$E147,0),2),2)&gt;0,ROUND(AI146+AH147-ROUND(AG$6+IF(AG$5=$C147,$E$5+$E147,0),2),2)&lt;=AJ147,ROUND(AI146+AH147-ROUND(AG$6+IF(AG$5=$C147,$E$5+$E147,0),2),2)*10&lt;=ROUND(AG$6+IF(AG$5=$C147,$E$5+$E147,0),2)),ROUND(AI146+AH147,2),MIN(ROUND(AG$6+IF(AG$5=$C147,$E$5+$E147,0),2),ROUND(AI146+AH147,2))),0)</f>
        <v>0</v>
      </c>
      <c r="AH147" s="24">
        <f>IF(AI146&gt;0,ROUND(ROUND(AI146*100,0)*ROUND(AG$7*10000,0)/12000000,0)/100,0)</f>
        <v>0</v>
      </c>
      <c r="AI147" s="24">
        <f>IF(AI146&gt;0,ROUND(AI146+AH147-AG147,2),0)</f>
        <v>0</v>
      </c>
      <c r="AJ147" s="24">
        <f>IF(AI146&gt;0,ROUND(AJ146+ROUND(ROUND(AJ146*100,0)*ROUND(AG$7*10000,0)/12000000,0)/100+0.02,2),0)</f>
        <v>0</v>
      </c>
      <c r="AK147" s="24">
        <f>IF(AM146&gt;0,IF(AND(ROUND(AM146+AL147-ROUND(AK$6+IF(AK$5=$C147,$E$5+$E147,0),2),2)&gt;0,ROUND(AM146+AL147-ROUND(AK$6+IF(AK$5=$C147,$E$5+$E147,0),2),2)&lt;=AN147,ROUND(AM146+AL147-ROUND(AK$6+IF(AK$5=$C147,$E$5+$E147,0),2),2)*10&lt;=ROUND(AK$6+IF(AK$5=$C147,$E$5+$E147,0),2)),ROUND(AM146+AL147,2),MIN(ROUND(AK$6+IF(AK$5=$C147,$E$5+$E147,0),2),ROUND(AM146+AL147,2))),0)</f>
        <v>0</v>
      </c>
      <c r="AL147" s="24">
        <f>IF(AM146&gt;0,ROUND(ROUND(AM146*100,0)*ROUND(AK$7*10000,0)/12000000,0)/100,0)</f>
        <v>0</v>
      </c>
      <c r="AM147" s="24">
        <f>IF(AM146&gt;0,ROUND(AM146+AL147-AK147,2),0)</f>
        <v>0</v>
      </c>
      <c r="AN147" s="24">
        <f>IF(AM146&gt;0,ROUND(AN146+ROUND(ROUND(AN146*100,0)*ROUND(AK$7*10000,0)/12000000,0)/100+0.02,2),0)</f>
        <v>0</v>
      </c>
      <c r="AO147" s="24">
        <f>IF(AQ146&gt;0,IF(AND(ROUND(AQ146+AP147-ROUND(AO$6+IF(AO$5=$C147,$E$5+$E147,0),2),2)&gt;0,ROUND(AQ146+AP147-ROUND(AO$6+IF(AO$5=$C147,$E$5+$E147,0),2),2)&lt;=AR147,ROUND(AQ146+AP147-ROUND(AO$6+IF(AO$5=$C147,$E$5+$E147,0),2),2)*10&lt;=ROUND(AO$6+IF(AO$5=$C147,$E$5+$E147,0),2)),ROUND(AQ146+AP147,2),MIN(ROUND(AO$6+IF(AO$5=$C147,$E$5+$E147,0),2),ROUND(AQ146+AP147,2))),0)</f>
        <v>0</v>
      </c>
      <c r="AP147" s="24">
        <f>IF(AQ146&gt;0,ROUND(ROUND(AQ146*100,0)*ROUND(AO$7*10000,0)/12000000,0)/100,0)</f>
        <v>0</v>
      </c>
      <c r="AQ147" s="24">
        <f>IF(AQ146&gt;0,ROUND(AQ146+AP147-AO147,2),0)</f>
        <v>0</v>
      </c>
      <c r="AR147" s="24">
        <f>IF(AQ146&gt;0,ROUND(AR146+ROUND(ROUND(AR146*100,0)*ROUND(AO$7*10000,0)/12000000,0)/100+0.02,2),0)</f>
        <v>0</v>
      </c>
      <c r="AS147" s="24">
        <f>IF(AU146&gt;0,IF(AND(ROUND(AU146+AT147-ROUND(AS$6+IF(AS$5=$C147,$E$5+$E147,0),2),2)&gt;0,ROUND(AU146+AT147-ROUND(AS$6+IF(AS$5=$C147,$E$5+$E147,0),2),2)&lt;=AV147,ROUND(AU146+AT147-ROUND(AS$6+IF(AS$5=$C147,$E$5+$E147,0),2),2)*10&lt;=ROUND(AS$6+IF(AS$5=$C147,$E$5+$E147,0),2)),ROUND(AU146+AT147,2),MIN(ROUND(AS$6+IF(AS$5=$C147,$E$5+$E147,0),2),ROUND(AU146+AT147,2))),0)</f>
        <v>0</v>
      </c>
      <c r="AT147" s="24">
        <f>IF(AU146&gt;0,ROUND(ROUND(AU146*100,0)*ROUND(AS$7*10000,0)/12000000,0)/100,0)</f>
        <v>0</v>
      </c>
      <c r="AU147" s="24">
        <f>IF(AU146&gt;0,ROUND(AU146+AT147-AS147,2),0)</f>
        <v>0</v>
      </c>
      <c r="AV147" s="24">
        <f>IF(AU146&gt;0,ROUND(AV146+ROUND(ROUND(AV146*100,0)*ROUND(AS$7*10000,0)/12000000,0)/100+0.02,2),0)</f>
        <v>0</v>
      </c>
    </row>
    <row r="148" spans="1:48" x14ac:dyDescent="0.25">
      <c r="A148" s="17" t="str">
        <f>IF(F148&gt;0,138,"")</f>
        <v/>
      </c>
      <c r="B148" s="18" t="str">
        <f>IF(F148&gt;0,EDATE($E$6,138),"")</f>
        <v/>
      </c>
      <c r="C148" s="21">
        <f>IF(H147&gt;0,MIN(IF(K147&gt;0,I$5,99),IF(O147&gt;0,M$5,99),IF(S147&gt;0,Q$5,99),IF(W147&gt;0,U$5,99),IF(AA147&gt;0,Y$5,99),IF(AE147&gt;0,AC$5,99),IF(AI147&gt;0,AG$5,99),IF(AM147&gt;0,AK$5,99),IF(AQ147&gt;0,AO$5,99),IF(AU147&gt;0,AS$5,99)),0)</f>
        <v>0</v>
      </c>
      <c r="D148" t="str">
        <f>IF(C148&gt;0,INDEX($I$4:$AV$4,1,MATCH(C148,$I$5:$AV$5,0)),"")</f>
        <v/>
      </c>
      <c r="E148" s="24">
        <f>ROUND(IF(AND(I$8&gt;0,K147=0),I$6,0)+IF(AND(M$8&gt;0,O147=0),M$6,0)+IF(AND(Q$8&gt;0,S147=0),Q$6,0)+IF(AND(U$8&gt;0,W147=0),U$6,0)+IF(AND(Y$8&gt;0,AA147=0),Y$6,0)+IF(AND(AC$8&gt;0,AE147=0),AC$6,0)+IF(AND(AG$8&gt;0,AI147=0),AG$6,0)+IF(AND(AK$8&gt;0,AM147=0),AK$6,0)+IF(AND(AO$8&gt;0,AQ147=0),AO$6,0)+IF(AND(AS$8&gt;0,AU147=0),AS$6,0),2)</f>
        <v>325</v>
      </c>
      <c r="F148" s="24">
        <f>ROUND(I148+M148+Q148+U148+Y148+AC148+AG148+AK148+AO148+AS148,2)</f>
        <v>0</v>
      </c>
      <c r="G148" s="24">
        <f>ROUND(J148+N148+R148+V148+Z148+AD148+AH148+AL148+AP148+AT148,2)</f>
        <v>0</v>
      </c>
      <c r="H148" s="24">
        <f>ROUND(K148+O148+S148+W148+AA148+AE148+AI148+AM148+AQ148+AU148,2)</f>
        <v>0</v>
      </c>
      <c r="I148" s="24">
        <f>IF(K147&gt;0,IF(AND(ROUND(K147+J148-ROUND(I$6+IF(I$5=$C148,$E$5+$E148,0),2),2)&gt;0,ROUND(K147+J148-ROUND(I$6+IF(I$5=$C148,$E$5+$E148,0),2),2)&lt;=L148,ROUND(K147+J148-ROUND(I$6+IF(I$5=$C148,$E$5+$E148,0),2),2)*10&lt;=ROUND(I$6+IF(I$5=$C148,$E$5+$E148,0),2)),ROUND(K147+J148,2),MIN(ROUND(I$6+IF(I$5=$C148,$E$5+$E148,0),2),ROUND(K147+J148,2))),0)</f>
        <v>0</v>
      </c>
      <c r="J148" s="24">
        <f>IF(K147&gt;0,ROUND(ROUND(K147*100,0)*ROUND(I$7*10000,0)/12000000,0)/100,0)</f>
        <v>0</v>
      </c>
      <c r="K148" s="24">
        <f>IF(K147&gt;0,ROUND(K147+J148-I148,2),0)</f>
        <v>0</v>
      </c>
      <c r="L148" s="24">
        <f>IF(K147&gt;0,ROUND(L147+ROUND(ROUND(L147*100,0)*ROUND(I$7*10000,0)/12000000,0)/100+0.02,2),0)</f>
        <v>0</v>
      </c>
      <c r="M148" s="24">
        <f>IF(O147&gt;0,IF(AND(ROUND(O147+N148-ROUND(M$6+IF(M$5=$C148,$E$5+$E148,0),2),2)&gt;0,ROUND(O147+N148-ROUND(M$6+IF(M$5=$C148,$E$5+$E148,0),2),2)&lt;=P148,ROUND(O147+N148-ROUND(M$6+IF(M$5=$C148,$E$5+$E148,0),2),2)*10&lt;=ROUND(M$6+IF(M$5=$C148,$E$5+$E148,0),2)),ROUND(O147+N148,2),MIN(ROUND(M$6+IF(M$5=$C148,$E$5+$E148,0),2),ROUND(O147+N148,2))),0)</f>
        <v>0</v>
      </c>
      <c r="N148" s="24">
        <f>IF(O147&gt;0,ROUND(ROUND(O147*100,0)*ROUND(M$7*10000,0)/12000000,0)/100,0)</f>
        <v>0</v>
      </c>
      <c r="O148" s="24">
        <f>IF(O147&gt;0,ROUND(O147+N148-M148,2),0)</f>
        <v>0</v>
      </c>
      <c r="P148" s="24">
        <f>IF(O147&gt;0,ROUND(P147+ROUND(ROUND(P147*100,0)*ROUND(M$7*10000,0)/12000000,0)/100+0.02,2),0)</f>
        <v>0</v>
      </c>
      <c r="Q148" s="24">
        <f>IF(S147&gt;0,IF(AND(ROUND(S147+R148-ROUND(Q$6+IF(Q$5=$C148,$E$5+$E148,0),2),2)&gt;0,ROUND(S147+R148-ROUND(Q$6+IF(Q$5=$C148,$E$5+$E148,0),2),2)&lt;=T148,ROUND(S147+R148-ROUND(Q$6+IF(Q$5=$C148,$E$5+$E148,0),2),2)*10&lt;=ROUND(Q$6+IF(Q$5=$C148,$E$5+$E148,0),2)),ROUND(S147+R148,2),MIN(ROUND(Q$6+IF(Q$5=$C148,$E$5+$E148,0),2),ROUND(S147+R148,2))),0)</f>
        <v>0</v>
      </c>
      <c r="R148" s="24">
        <f>IF(S147&gt;0,ROUND(ROUND(S147*100,0)*ROUND(Q$7*10000,0)/12000000,0)/100,0)</f>
        <v>0</v>
      </c>
      <c r="S148" s="24">
        <f>IF(S147&gt;0,ROUND(S147+R148-Q148,2),0)</f>
        <v>0</v>
      </c>
      <c r="T148" s="24">
        <f>IF(S147&gt;0,ROUND(T147+ROUND(ROUND(T147*100,0)*ROUND(Q$7*10000,0)/12000000,0)/100+0.02,2),0)</f>
        <v>0</v>
      </c>
      <c r="U148" s="24">
        <f>IF(W147&gt;0,IF(AND(ROUND(W147+V148-ROUND(U$6+IF(U$5=$C148,$E$5+$E148,0),2),2)&gt;0,ROUND(W147+V148-ROUND(U$6+IF(U$5=$C148,$E$5+$E148,0),2),2)&lt;=X148,ROUND(W147+V148-ROUND(U$6+IF(U$5=$C148,$E$5+$E148,0),2),2)*10&lt;=ROUND(U$6+IF(U$5=$C148,$E$5+$E148,0),2)),ROUND(W147+V148,2),MIN(ROUND(U$6+IF(U$5=$C148,$E$5+$E148,0),2),ROUND(W147+V148,2))),0)</f>
        <v>0</v>
      </c>
      <c r="V148" s="24">
        <f>IF(W147&gt;0,ROUND(ROUND(W147*100,0)*ROUND(U$7*10000,0)/12000000,0)/100,0)</f>
        <v>0</v>
      </c>
      <c r="W148" s="24">
        <f>IF(W147&gt;0,ROUND(W147+V148-U148,2),0)</f>
        <v>0</v>
      </c>
      <c r="X148" s="24">
        <f>IF(W147&gt;0,ROUND(X147+ROUND(ROUND(X147*100,0)*ROUND(U$7*10000,0)/12000000,0)/100+0.02,2),0)</f>
        <v>0</v>
      </c>
      <c r="Y148" s="24">
        <f>IF(AA147&gt;0,IF(AND(ROUND(AA147+Z148-ROUND(Y$6+IF(Y$5=$C148,$E$5+$E148,0),2),2)&gt;0,ROUND(AA147+Z148-ROUND(Y$6+IF(Y$5=$C148,$E$5+$E148,0),2),2)&lt;=AB148,ROUND(AA147+Z148-ROUND(Y$6+IF(Y$5=$C148,$E$5+$E148,0),2),2)*10&lt;=ROUND(Y$6+IF(Y$5=$C148,$E$5+$E148,0),2)),ROUND(AA147+Z148,2),MIN(ROUND(Y$6+IF(Y$5=$C148,$E$5+$E148,0),2),ROUND(AA147+Z148,2))),0)</f>
        <v>0</v>
      </c>
      <c r="Z148" s="24">
        <f>IF(AA147&gt;0,ROUND(ROUND(AA147*100,0)*ROUND(Y$7*10000,0)/12000000,0)/100,0)</f>
        <v>0</v>
      </c>
      <c r="AA148" s="24">
        <f>IF(AA147&gt;0,ROUND(AA147+Z148-Y148,2),0)</f>
        <v>0</v>
      </c>
      <c r="AB148" s="24">
        <f>IF(AA147&gt;0,ROUND(AB147+ROUND(ROUND(AB147*100,0)*ROUND(Y$7*10000,0)/12000000,0)/100+0.02,2),0)</f>
        <v>0</v>
      </c>
      <c r="AC148" s="24">
        <f>IF(AE147&gt;0,IF(AND(ROUND(AE147+AD148-ROUND(AC$6+IF(AC$5=$C148,$E$5+$E148,0),2),2)&gt;0,ROUND(AE147+AD148-ROUND(AC$6+IF(AC$5=$C148,$E$5+$E148,0),2),2)&lt;=AF148,ROUND(AE147+AD148-ROUND(AC$6+IF(AC$5=$C148,$E$5+$E148,0),2),2)*10&lt;=ROUND(AC$6+IF(AC$5=$C148,$E$5+$E148,0),2)),ROUND(AE147+AD148,2),MIN(ROUND(AC$6+IF(AC$5=$C148,$E$5+$E148,0),2),ROUND(AE147+AD148,2))),0)</f>
        <v>0</v>
      </c>
      <c r="AD148" s="24">
        <f>IF(AE147&gt;0,ROUND(ROUND(AE147*100,0)*ROUND(AC$7*10000,0)/12000000,0)/100,0)</f>
        <v>0</v>
      </c>
      <c r="AE148" s="24">
        <f>IF(AE147&gt;0,ROUND(AE147+AD148-AC148,2),0)</f>
        <v>0</v>
      </c>
      <c r="AF148" s="24">
        <f>IF(AE147&gt;0,ROUND(AF147+ROUND(ROUND(AF147*100,0)*ROUND(AC$7*10000,0)/12000000,0)/100+0.02,2),0)</f>
        <v>0</v>
      </c>
      <c r="AG148" s="24">
        <f>IF(AI147&gt;0,IF(AND(ROUND(AI147+AH148-ROUND(AG$6+IF(AG$5=$C148,$E$5+$E148,0),2),2)&gt;0,ROUND(AI147+AH148-ROUND(AG$6+IF(AG$5=$C148,$E$5+$E148,0),2),2)&lt;=AJ148,ROUND(AI147+AH148-ROUND(AG$6+IF(AG$5=$C148,$E$5+$E148,0),2),2)*10&lt;=ROUND(AG$6+IF(AG$5=$C148,$E$5+$E148,0),2)),ROUND(AI147+AH148,2),MIN(ROUND(AG$6+IF(AG$5=$C148,$E$5+$E148,0),2),ROUND(AI147+AH148,2))),0)</f>
        <v>0</v>
      </c>
      <c r="AH148" s="24">
        <f>IF(AI147&gt;0,ROUND(ROUND(AI147*100,0)*ROUND(AG$7*10000,0)/12000000,0)/100,0)</f>
        <v>0</v>
      </c>
      <c r="AI148" s="24">
        <f>IF(AI147&gt;0,ROUND(AI147+AH148-AG148,2),0)</f>
        <v>0</v>
      </c>
      <c r="AJ148" s="24">
        <f>IF(AI147&gt;0,ROUND(AJ147+ROUND(ROUND(AJ147*100,0)*ROUND(AG$7*10000,0)/12000000,0)/100+0.02,2),0)</f>
        <v>0</v>
      </c>
      <c r="AK148" s="24">
        <f>IF(AM147&gt;0,IF(AND(ROUND(AM147+AL148-ROUND(AK$6+IF(AK$5=$C148,$E$5+$E148,0),2),2)&gt;0,ROUND(AM147+AL148-ROUND(AK$6+IF(AK$5=$C148,$E$5+$E148,0),2),2)&lt;=AN148,ROUND(AM147+AL148-ROUND(AK$6+IF(AK$5=$C148,$E$5+$E148,0),2),2)*10&lt;=ROUND(AK$6+IF(AK$5=$C148,$E$5+$E148,0),2)),ROUND(AM147+AL148,2),MIN(ROUND(AK$6+IF(AK$5=$C148,$E$5+$E148,0),2),ROUND(AM147+AL148,2))),0)</f>
        <v>0</v>
      </c>
      <c r="AL148" s="24">
        <f>IF(AM147&gt;0,ROUND(ROUND(AM147*100,0)*ROUND(AK$7*10000,0)/12000000,0)/100,0)</f>
        <v>0</v>
      </c>
      <c r="AM148" s="24">
        <f>IF(AM147&gt;0,ROUND(AM147+AL148-AK148,2),0)</f>
        <v>0</v>
      </c>
      <c r="AN148" s="24">
        <f>IF(AM147&gt;0,ROUND(AN147+ROUND(ROUND(AN147*100,0)*ROUND(AK$7*10000,0)/12000000,0)/100+0.02,2),0)</f>
        <v>0</v>
      </c>
      <c r="AO148" s="24">
        <f>IF(AQ147&gt;0,IF(AND(ROUND(AQ147+AP148-ROUND(AO$6+IF(AO$5=$C148,$E$5+$E148,0),2),2)&gt;0,ROUND(AQ147+AP148-ROUND(AO$6+IF(AO$5=$C148,$E$5+$E148,0),2),2)&lt;=AR148,ROUND(AQ147+AP148-ROUND(AO$6+IF(AO$5=$C148,$E$5+$E148,0),2),2)*10&lt;=ROUND(AO$6+IF(AO$5=$C148,$E$5+$E148,0),2)),ROUND(AQ147+AP148,2),MIN(ROUND(AO$6+IF(AO$5=$C148,$E$5+$E148,0),2),ROUND(AQ147+AP148,2))),0)</f>
        <v>0</v>
      </c>
      <c r="AP148" s="24">
        <f>IF(AQ147&gt;0,ROUND(ROUND(AQ147*100,0)*ROUND(AO$7*10000,0)/12000000,0)/100,0)</f>
        <v>0</v>
      </c>
      <c r="AQ148" s="24">
        <f>IF(AQ147&gt;0,ROUND(AQ147+AP148-AO148,2),0)</f>
        <v>0</v>
      </c>
      <c r="AR148" s="24">
        <f>IF(AQ147&gt;0,ROUND(AR147+ROUND(ROUND(AR147*100,0)*ROUND(AO$7*10000,0)/12000000,0)/100+0.02,2),0)</f>
        <v>0</v>
      </c>
      <c r="AS148" s="24">
        <f>IF(AU147&gt;0,IF(AND(ROUND(AU147+AT148-ROUND(AS$6+IF(AS$5=$C148,$E$5+$E148,0),2),2)&gt;0,ROUND(AU147+AT148-ROUND(AS$6+IF(AS$5=$C148,$E$5+$E148,0),2),2)&lt;=AV148,ROUND(AU147+AT148-ROUND(AS$6+IF(AS$5=$C148,$E$5+$E148,0),2),2)*10&lt;=ROUND(AS$6+IF(AS$5=$C148,$E$5+$E148,0),2)),ROUND(AU147+AT148,2),MIN(ROUND(AS$6+IF(AS$5=$C148,$E$5+$E148,0),2),ROUND(AU147+AT148,2))),0)</f>
        <v>0</v>
      </c>
      <c r="AT148" s="24">
        <f>IF(AU147&gt;0,ROUND(ROUND(AU147*100,0)*ROUND(AS$7*10000,0)/12000000,0)/100,0)</f>
        <v>0</v>
      </c>
      <c r="AU148" s="24">
        <f>IF(AU147&gt;0,ROUND(AU147+AT148-AS148,2),0)</f>
        <v>0</v>
      </c>
      <c r="AV148" s="24">
        <f>IF(AU147&gt;0,ROUND(AV147+ROUND(ROUND(AV147*100,0)*ROUND(AS$7*10000,0)/12000000,0)/100+0.02,2),0)</f>
        <v>0</v>
      </c>
    </row>
    <row r="149" spans="1:48" x14ac:dyDescent="0.25">
      <c r="A149" s="17" t="str">
        <f>IF(F149&gt;0,139,"")</f>
        <v/>
      </c>
      <c r="B149" s="18" t="str">
        <f>IF(F149&gt;0,EDATE($E$6,139),"")</f>
        <v/>
      </c>
      <c r="C149" s="21">
        <f>IF(H148&gt;0,MIN(IF(K148&gt;0,I$5,99),IF(O148&gt;0,M$5,99),IF(S148&gt;0,Q$5,99),IF(W148&gt;0,U$5,99),IF(AA148&gt;0,Y$5,99),IF(AE148&gt;0,AC$5,99),IF(AI148&gt;0,AG$5,99),IF(AM148&gt;0,AK$5,99),IF(AQ148&gt;0,AO$5,99),IF(AU148&gt;0,AS$5,99)),0)</f>
        <v>0</v>
      </c>
      <c r="D149" t="str">
        <f>IF(C149&gt;0,INDEX($I$4:$AV$4,1,MATCH(C149,$I$5:$AV$5,0)),"")</f>
        <v/>
      </c>
      <c r="E149" s="24">
        <f>ROUND(IF(AND(I$8&gt;0,K148=0),I$6,0)+IF(AND(M$8&gt;0,O148=0),M$6,0)+IF(AND(Q$8&gt;0,S148=0),Q$6,0)+IF(AND(U$8&gt;0,W148=0),U$6,0)+IF(AND(Y$8&gt;0,AA148=0),Y$6,0)+IF(AND(AC$8&gt;0,AE148=0),AC$6,0)+IF(AND(AG$8&gt;0,AI148=0),AG$6,0)+IF(AND(AK$8&gt;0,AM148=0),AK$6,0)+IF(AND(AO$8&gt;0,AQ148=0),AO$6,0)+IF(AND(AS$8&gt;0,AU148=0),AS$6,0),2)</f>
        <v>325</v>
      </c>
      <c r="F149" s="24">
        <f>ROUND(I149+M149+Q149+U149+Y149+AC149+AG149+AK149+AO149+AS149,2)</f>
        <v>0</v>
      </c>
      <c r="G149" s="24">
        <f>ROUND(J149+N149+R149+V149+Z149+AD149+AH149+AL149+AP149+AT149,2)</f>
        <v>0</v>
      </c>
      <c r="H149" s="24">
        <f>ROUND(K149+O149+S149+W149+AA149+AE149+AI149+AM149+AQ149+AU149,2)</f>
        <v>0</v>
      </c>
      <c r="I149" s="24">
        <f>IF(K148&gt;0,IF(AND(ROUND(K148+J149-ROUND(I$6+IF(I$5=$C149,$E$5+$E149,0),2),2)&gt;0,ROUND(K148+J149-ROUND(I$6+IF(I$5=$C149,$E$5+$E149,0),2),2)&lt;=L149,ROUND(K148+J149-ROUND(I$6+IF(I$5=$C149,$E$5+$E149,0),2),2)*10&lt;=ROUND(I$6+IF(I$5=$C149,$E$5+$E149,0),2)),ROUND(K148+J149,2),MIN(ROUND(I$6+IF(I$5=$C149,$E$5+$E149,0),2),ROUND(K148+J149,2))),0)</f>
        <v>0</v>
      </c>
      <c r="J149" s="24">
        <f>IF(K148&gt;0,ROUND(ROUND(K148*100,0)*ROUND(I$7*10000,0)/12000000,0)/100,0)</f>
        <v>0</v>
      </c>
      <c r="K149" s="24">
        <f>IF(K148&gt;0,ROUND(K148+J149-I149,2),0)</f>
        <v>0</v>
      </c>
      <c r="L149" s="24">
        <f>IF(K148&gt;0,ROUND(L148+ROUND(ROUND(L148*100,0)*ROUND(I$7*10000,0)/12000000,0)/100+0.02,2),0)</f>
        <v>0</v>
      </c>
      <c r="M149" s="24">
        <f>IF(O148&gt;0,IF(AND(ROUND(O148+N149-ROUND(M$6+IF(M$5=$C149,$E$5+$E149,0),2),2)&gt;0,ROUND(O148+N149-ROUND(M$6+IF(M$5=$C149,$E$5+$E149,0),2),2)&lt;=P149,ROUND(O148+N149-ROUND(M$6+IF(M$5=$C149,$E$5+$E149,0),2),2)*10&lt;=ROUND(M$6+IF(M$5=$C149,$E$5+$E149,0),2)),ROUND(O148+N149,2),MIN(ROUND(M$6+IF(M$5=$C149,$E$5+$E149,0),2),ROUND(O148+N149,2))),0)</f>
        <v>0</v>
      </c>
      <c r="N149" s="24">
        <f>IF(O148&gt;0,ROUND(ROUND(O148*100,0)*ROUND(M$7*10000,0)/12000000,0)/100,0)</f>
        <v>0</v>
      </c>
      <c r="O149" s="24">
        <f>IF(O148&gt;0,ROUND(O148+N149-M149,2),0)</f>
        <v>0</v>
      </c>
      <c r="P149" s="24">
        <f>IF(O148&gt;0,ROUND(P148+ROUND(ROUND(P148*100,0)*ROUND(M$7*10000,0)/12000000,0)/100+0.02,2),0)</f>
        <v>0</v>
      </c>
      <c r="Q149" s="24">
        <f>IF(S148&gt;0,IF(AND(ROUND(S148+R149-ROUND(Q$6+IF(Q$5=$C149,$E$5+$E149,0),2),2)&gt;0,ROUND(S148+R149-ROUND(Q$6+IF(Q$5=$C149,$E$5+$E149,0),2),2)&lt;=T149,ROUND(S148+R149-ROUND(Q$6+IF(Q$5=$C149,$E$5+$E149,0),2),2)*10&lt;=ROUND(Q$6+IF(Q$5=$C149,$E$5+$E149,0),2)),ROUND(S148+R149,2),MIN(ROUND(Q$6+IF(Q$5=$C149,$E$5+$E149,0),2),ROUND(S148+R149,2))),0)</f>
        <v>0</v>
      </c>
      <c r="R149" s="24">
        <f>IF(S148&gt;0,ROUND(ROUND(S148*100,0)*ROUND(Q$7*10000,0)/12000000,0)/100,0)</f>
        <v>0</v>
      </c>
      <c r="S149" s="24">
        <f>IF(S148&gt;0,ROUND(S148+R149-Q149,2),0)</f>
        <v>0</v>
      </c>
      <c r="T149" s="24">
        <f>IF(S148&gt;0,ROUND(T148+ROUND(ROUND(T148*100,0)*ROUND(Q$7*10000,0)/12000000,0)/100+0.02,2),0)</f>
        <v>0</v>
      </c>
      <c r="U149" s="24">
        <f>IF(W148&gt;0,IF(AND(ROUND(W148+V149-ROUND(U$6+IF(U$5=$C149,$E$5+$E149,0),2),2)&gt;0,ROUND(W148+V149-ROUND(U$6+IF(U$5=$C149,$E$5+$E149,0),2),2)&lt;=X149,ROUND(W148+V149-ROUND(U$6+IF(U$5=$C149,$E$5+$E149,0),2),2)*10&lt;=ROUND(U$6+IF(U$5=$C149,$E$5+$E149,0),2)),ROUND(W148+V149,2),MIN(ROUND(U$6+IF(U$5=$C149,$E$5+$E149,0),2),ROUND(W148+V149,2))),0)</f>
        <v>0</v>
      </c>
      <c r="V149" s="24">
        <f>IF(W148&gt;0,ROUND(ROUND(W148*100,0)*ROUND(U$7*10000,0)/12000000,0)/100,0)</f>
        <v>0</v>
      </c>
      <c r="W149" s="24">
        <f>IF(W148&gt;0,ROUND(W148+V149-U149,2),0)</f>
        <v>0</v>
      </c>
      <c r="X149" s="24">
        <f>IF(W148&gt;0,ROUND(X148+ROUND(ROUND(X148*100,0)*ROUND(U$7*10000,0)/12000000,0)/100+0.02,2),0)</f>
        <v>0</v>
      </c>
      <c r="Y149" s="24">
        <f>IF(AA148&gt;0,IF(AND(ROUND(AA148+Z149-ROUND(Y$6+IF(Y$5=$C149,$E$5+$E149,0),2),2)&gt;0,ROUND(AA148+Z149-ROUND(Y$6+IF(Y$5=$C149,$E$5+$E149,0),2),2)&lt;=AB149,ROUND(AA148+Z149-ROUND(Y$6+IF(Y$5=$C149,$E$5+$E149,0),2),2)*10&lt;=ROUND(Y$6+IF(Y$5=$C149,$E$5+$E149,0),2)),ROUND(AA148+Z149,2),MIN(ROUND(Y$6+IF(Y$5=$C149,$E$5+$E149,0),2),ROUND(AA148+Z149,2))),0)</f>
        <v>0</v>
      </c>
      <c r="Z149" s="24">
        <f>IF(AA148&gt;0,ROUND(ROUND(AA148*100,0)*ROUND(Y$7*10000,0)/12000000,0)/100,0)</f>
        <v>0</v>
      </c>
      <c r="AA149" s="24">
        <f>IF(AA148&gt;0,ROUND(AA148+Z149-Y149,2),0)</f>
        <v>0</v>
      </c>
      <c r="AB149" s="24">
        <f>IF(AA148&gt;0,ROUND(AB148+ROUND(ROUND(AB148*100,0)*ROUND(Y$7*10000,0)/12000000,0)/100+0.02,2),0)</f>
        <v>0</v>
      </c>
      <c r="AC149" s="24">
        <f>IF(AE148&gt;0,IF(AND(ROUND(AE148+AD149-ROUND(AC$6+IF(AC$5=$C149,$E$5+$E149,0),2),2)&gt;0,ROUND(AE148+AD149-ROUND(AC$6+IF(AC$5=$C149,$E$5+$E149,0),2),2)&lt;=AF149,ROUND(AE148+AD149-ROUND(AC$6+IF(AC$5=$C149,$E$5+$E149,0),2),2)*10&lt;=ROUND(AC$6+IF(AC$5=$C149,$E$5+$E149,0),2)),ROUND(AE148+AD149,2),MIN(ROUND(AC$6+IF(AC$5=$C149,$E$5+$E149,0),2),ROUND(AE148+AD149,2))),0)</f>
        <v>0</v>
      </c>
      <c r="AD149" s="24">
        <f>IF(AE148&gt;0,ROUND(ROUND(AE148*100,0)*ROUND(AC$7*10000,0)/12000000,0)/100,0)</f>
        <v>0</v>
      </c>
      <c r="AE149" s="24">
        <f>IF(AE148&gt;0,ROUND(AE148+AD149-AC149,2),0)</f>
        <v>0</v>
      </c>
      <c r="AF149" s="24">
        <f>IF(AE148&gt;0,ROUND(AF148+ROUND(ROUND(AF148*100,0)*ROUND(AC$7*10000,0)/12000000,0)/100+0.02,2),0)</f>
        <v>0</v>
      </c>
      <c r="AG149" s="24">
        <f>IF(AI148&gt;0,IF(AND(ROUND(AI148+AH149-ROUND(AG$6+IF(AG$5=$C149,$E$5+$E149,0),2),2)&gt;0,ROUND(AI148+AH149-ROUND(AG$6+IF(AG$5=$C149,$E$5+$E149,0),2),2)&lt;=AJ149,ROUND(AI148+AH149-ROUND(AG$6+IF(AG$5=$C149,$E$5+$E149,0),2),2)*10&lt;=ROUND(AG$6+IF(AG$5=$C149,$E$5+$E149,0),2)),ROUND(AI148+AH149,2),MIN(ROUND(AG$6+IF(AG$5=$C149,$E$5+$E149,0),2),ROUND(AI148+AH149,2))),0)</f>
        <v>0</v>
      </c>
      <c r="AH149" s="24">
        <f>IF(AI148&gt;0,ROUND(ROUND(AI148*100,0)*ROUND(AG$7*10000,0)/12000000,0)/100,0)</f>
        <v>0</v>
      </c>
      <c r="AI149" s="24">
        <f>IF(AI148&gt;0,ROUND(AI148+AH149-AG149,2),0)</f>
        <v>0</v>
      </c>
      <c r="AJ149" s="24">
        <f>IF(AI148&gt;0,ROUND(AJ148+ROUND(ROUND(AJ148*100,0)*ROUND(AG$7*10000,0)/12000000,0)/100+0.02,2),0)</f>
        <v>0</v>
      </c>
      <c r="AK149" s="24">
        <f>IF(AM148&gt;0,IF(AND(ROUND(AM148+AL149-ROUND(AK$6+IF(AK$5=$C149,$E$5+$E149,0),2),2)&gt;0,ROUND(AM148+AL149-ROUND(AK$6+IF(AK$5=$C149,$E$5+$E149,0),2),2)&lt;=AN149,ROUND(AM148+AL149-ROUND(AK$6+IF(AK$5=$C149,$E$5+$E149,0),2),2)*10&lt;=ROUND(AK$6+IF(AK$5=$C149,$E$5+$E149,0),2)),ROUND(AM148+AL149,2),MIN(ROUND(AK$6+IF(AK$5=$C149,$E$5+$E149,0),2),ROUND(AM148+AL149,2))),0)</f>
        <v>0</v>
      </c>
      <c r="AL149" s="24">
        <f>IF(AM148&gt;0,ROUND(ROUND(AM148*100,0)*ROUND(AK$7*10000,0)/12000000,0)/100,0)</f>
        <v>0</v>
      </c>
      <c r="AM149" s="24">
        <f>IF(AM148&gt;0,ROUND(AM148+AL149-AK149,2),0)</f>
        <v>0</v>
      </c>
      <c r="AN149" s="24">
        <f>IF(AM148&gt;0,ROUND(AN148+ROUND(ROUND(AN148*100,0)*ROUND(AK$7*10000,0)/12000000,0)/100+0.02,2),0)</f>
        <v>0</v>
      </c>
      <c r="AO149" s="24">
        <f>IF(AQ148&gt;0,IF(AND(ROUND(AQ148+AP149-ROUND(AO$6+IF(AO$5=$C149,$E$5+$E149,0),2),2)&gt;0,ROUND(AQ148+AP149-ROUND(AO$6+IF(AO$5=$C149,$E$5+$E149,0),2),2)&lt;=AR149,ROUND(AQ148+AP149-ROUND(AO$6+IF(AO$5=$C149,$E$5+$E149,0),2),2)*10&lt;=ROUND(AO$6+IF(AO$5=$C149,$E$5+$E149,0),2)),ROUND(AQ148+AP149,2),MIN(ROUND(AO$6+IF(AO$5=$C149,$E$5+$E149,0),2),ROUND(AQ148+AP149,2))),0)</f>
        <v>0</v>
      </c>
      <c r="AP149" s="24">
        <f>IF(AQ148&gt;0,ROUND(ROUND(AQ148*100,0)*ROUND(AO$7*10000,0)/12000000,0)/100,0)</f>
        <v>0</v>
      </c>
      <c r="AQ149" s="24">
        <f>IF(AQ148&gt;0,ROUND(AQ148+AP149-AO149,2),0)</f>
        <v>0</v>
      </c>
      <c r="AR149" s="24">
        <f>IF(AQ148&gt;0,ROUND(AR148+ROUND(ROUND(AR148*100,0)*ROUND(AO$7*10000,0)/12000000,0)/100+0.02,2),0)</f>
        <v>0</v>
      </c>
      <c r="AS149" s="24">
        <f>IF(AU148&gt;0,IF(AND(ROUND(AU148+AT149-ROUND(AS$6+IF(AS$5=$C149,$E$5+$E149,0),2),2)&gt;0,ROUND(AU148+AT149-ROUND(AS$6+IF(AS$5=$C149,$E$5+$E149,0),2),2)&lt;=AV149,ROUND(AU148+AT149-ROUND(AS$6+IF(AS$5=$C149,$E$5+$E149,0),2),2)*10&lt;=ROUND(AS$6+IF(AS$5=$C149,$E$5+$E149,0),2)),ROUND(AU148+AT149,2),MIN(ROUND(AS$6+IF(AS$5=$C149,$E$5+$E149,0),2),ROUND(AU148+AT149,2))),0)</f>
        <v>0</v>
      </c>
      <c r="AT149" s="24">
        <f>IF(AU148&gt;0,ROUND(ROUND(AU148*100,0)*ROUND(AS$7*10000,0)/12000000,0)/100,0)</f>
        <v>0</v>
      </c>
      <c r="AU149" s="24">
        <f>IF(AU148&gt;0,ROUND(AU148+AT149-AS149,2),0)</f>
        <v>0</v>
      </c>
      <c r="AV149" s="24">
        <f>IF(AU148&gt;0,ROUND(AV148+ROUND(ROUND(AV148*100,0)*ROUND(AS$7*10000,0)/12000000,0)/100+0.02,2),0)</f>
        <v>0</v>
      </c>
    </row>
    <row r="150" spans="1:48" x14ac:dyDescent="0.25">
      <c r="A150" s="17" t="str">
        <f>IF(F150&gt;0,140,"")</f>
        <v/>
      </c>
      <c r="B150" s="18" t="str">
        <f>IF(F150&gt;0,EDATE($E$6,140),"")</f>
        <v/>
      </c>
      <c r="C150" s="21">
        <f>IF(H149&gt;0,MIN(IF(K149&gt;0,I$5,99),IF(O149&gt;0,M$5,99),IF(S149&gt;0,Q$5,99),IF(W149&gt;0,U$5,99),IF(AA149&gt;0,Y$5,99),IF(AE149&gt;0,AC$5,99),IF(AI149&gt;0,AG$5,99),IF(AM149&gt;0,AK$5,99),IF(AQ149&gt;0,AO$5,99),IF(AU149&gt;0,AS$5,99)),0)</f>
        <v>0</v>
      </c>
      <c r="D150" t="str">
        <f>IF(C150&gt;0,INDEX($I$4:$AV$4,1,MATCH(C150,$I$5:$AV$5,0)),"")</f>
        <v/>
      </c>
      <c r="E150" s="24">
        <f>ROUND(IF(AND(I$8&gt;0,K149=0),I$6,0)+IF(AND(M$8&gt;0,O149=0),M$6,0)+IF(AND(Q$8&gt;0,S149=0),Q$6,0)+IF(AND(U$8&gt;0,W149=0),U$6,0)+IF(AND(Y$8&gt;0,AA149=0),Y$6,0)+IF(AND(AC$8&gt;0,AE149=0),AC$6,0)+IF(AND(AG$8&gt;0,AI149=0),AG$6,0)+IF(AND(AK$8&gt;0,AM149=0),AK$6,0)+IF(AND(AO$8&gt;0,AQ149=0),AO$6,0)+IF(AND(AS$8&gt;0,AU149=0),AS$6,0),2)</f>
        <v>325</v>
      </c>
      <c r="F150" s="24">
        <f>ROUND(I150+M150+Q150+U150+Y150+AC150+AG150+AK150+AO150+AS150,2)</f>
        <v>0</v>
      </c>
      <c r="G150" s="24">
        <f>ROUND(J150+N150+R150+V150+Z150+AD150+AH150+AL150+AP150+AT150,2)</f>
        <v>0</v>
      </c>
      <c r="H150" s="24">
        <f>ROUND(K150+O150+S150+W150+AA150+AE150+AI150+AM150+AQ150+AU150,2)</f>
        <v>0</v>
      </c>
      <c r="I150" s="24">
        <f>IF(K149&gt;0,IF(AND(ROUND(K149+J150-ROUND(I$6+IF(I$5=$C150,$E$5+$E150,0),2),2)&gt;0,ROUND(K149+J150-ROUND(I$6+IF(I$5=$C150,$E$5+$E150,0),2),2)&lt;=L150,ROUND(K149+J150-ROUND(I$6+IF(I$5=$C150,$E$5+$E150,0),2),2)*10&lt;=ROUND(I$6+IF(I$5=$C150,$E$5+$E150,0),2)),ROUND(K149+J150,2),MIN(ROUND(I$6+IF(I$5=$C150,$E$5+$E150,0),2),ROUND(K149+J150,2))),0)</f>
        <v>0</v>
      </c>
      <c r="J150" s="24">
        <f>IF(K149&gt;0,ROUND(ROUND(K149*100,0)*ROUND(I$7*10000,0)/12000000,0)/100,0)</f>
        <v>0</v>
      </c>
      <c r="K150" s="24">
        <f>IF(K149&gt;0,ROUND(K149+J150-I150,2),0)</f>
        <v>0</v>
      </c>
      <c r="L150" s="24">
        <f>IF(K149&gt;0,ROUND(L149+ROUND(ROUND(L149*100,0)*ROUND(I$7*10000,0)/12000000,0)/100+0.02,2),0)</f>
        <v>0</v>
      </c>
      <c r="M150" s="24">
        <f>IF(O149&gt;0,IF(AND(ROUND(O149+N150-ROUND(M$6+IF(M$5=$C150,$E$5+$E150,0),2),2)&gt;0,ROUND(O149+N150-ROUND(M$6+IF(M$5=$C150,$E$5+$E150,0),2),2)&lt;=P150,ROUND(O149+N150-ROUND(M$6+IF(M$5=$C150,$E$5+$E150,0),2),2)*10&lt;=ROUND(M$6+IF(M$5=$C150,$E$5+$E150,0),2)),ROUND(O149+N150,2),MIN(ROUND(M$6+IF(M$5=$C150,$E$5+$E150,0),2),ROUND(O149+N150,2))),0)</f>
        <v>0</v>
      </c>
      <c r="N150" s="24">
        <f>IF(O149&gt;0,ROUND(ROUND(O149*100,0)*ROUND(M$7*10000,0)/12000000,0)/100,0)</f>
        <v>0</v>
      </c>
      <c r="O150" s="24">
        <f>IF(O149&gt;0,ROUND(O149+N150-M150,2),0)</f>
        <v>0</v>
      </c>
      <c r="P150" s="24">
        <f>IF(O149&gt;0,ROUND(P149+ROUND(ROUND(P149*100,0)*ROUND(M$7*10000,0)/12000000,0)/100+0.02,2),0)</f>
        <v>0</v>
      </c>
      <c r="Q150" s="24">
        <f>IF(S149&gt;0,IF(AND(ROUND(S149+R150-ROUND(Q$6+IF(Q$5=$C150,$E$5+$E150,0),2),2)&gt;0,ROUND(S149+R150-ROUND(Q$6+IF(Q$5=$C150,$E$5+$E150,0),2),2)&lt;=T150,ROUND(S149+R150-ROUND(Q$6+IF(Q$5=$C150,$E$5+$E150,0),2),2)*10&lt;=ROUND(Q$6+IF(Q$5=$C150,$E$5+$E150,0),2)),ROUND(S149+R150,2),MIN(ROUND(Q$6+IF(Q$5=$C150,$E$5+$E150,0),2),ROUND(S149+R150,2))),0)</f>
        <v>0</v>
      </c>
      <c r="R150" s="24">
        <f>IF(S149&gt;0,ROUND(ROUND(S149*100,0)*ROUND(Q$7*10000,0)/12000000,0)/100,0)</f>
        <v>0</v>
      </c>
      <c r="S150" s="24">
        <f>IF(S149&gt;0,ROUND(S149+R150-Q150,2),0)</f>
        <v>0</v>
      </c>
      <c r="T150" s="24">
        <f>IF(S149&gt;0,ROUND(T149+ROUND(ROUND(T149*100,0)*ROUND(Q$7*10000,0)/12000000,0)/100+0.02,2),0)</f>
        <v>0</v>
      </c>
      <c r="U150" s="24">
        <f>IF(W149&gt;0,IF(AND(ROUND(W149+V150-ROUND(U$6+IF(U$5=$C150,$E$5+$E150,0),2),2)&gt;0,ROUND(W149+V150-ROUND(U$6+IF(U$5=$C150,$E$5+$E150,0),2),2)&lt;=X150,ROUND(W149+V150-ROUND(U$6+IF(U$5=$C150,$E$5+$E150,0),2),2)*10&lt;=ROUND(U$6+IF(U$5=$C150,$E$5+$E150,0),2)),ROUND(W149+V150,2),MIN(ROUND(U$6+IF(U$5=$C150,$E$5+$E150,0),2),ROUND(W149+V150,2))),0)</f>
        <v>0</v>
      </c>
      <c r="V150" s="24">
        <f>IF(W149&gt;0,ROUND(ROUND(W149*100,0)*ROUND(U$7*10000,0)/12000000,0)/100,0)</f>
        <v>0</v>
      </c>
      <c r="W150" s="24">
        <f>IF(W149&gt;0,ROUND(W149+V150-U150,2),0)</f>
        <v>0</v>
      </c>
      <c r="X150" s="24">
        <f>IF(W149&gt;0,ROUND(X149+ROUND(ROUND(X149*100,0)*ROUND(U$7*10000,0)/12000000,0)/100+0.02,2),0)</f>
        <v>0</v>
      </c>
      <c r="Y150" s="24">
        <f>IF(AA149&gt;0,IF(AND(ROUND(AA149+Z150-ROUND(Y$6+IF(Y$5=$C150,$E$5+$E150,0),2),2)&gt;0,ROUND(AA149+Z150-ROUND(Y$6+IF(Y$5=$C150,$E$5+$E150,0),2),2)&lt;=AB150,ROUND(AA149+Z150-ROUND(Y$6+IF(Y$5=$C150,$E$5+$E150,0),2),2)*10&lt;=ROUND(Y$6+IF(Y$5=$C150,$E$5+$E150,0),2)),ROUND(AA149+Z150,2),MIN(ROUND(Y$6+IF(Y$5=$C150,$E$5+$E150,0),2),ROUND(AA149+Z150,2))),0)</f>
        <v>0</v>
      </c>
      <c r="Z150" s="24">
        <f>IF(AA149&gt;0,ROUND(ROUND(AA149*100,0)*ROUND(Y$7*10000,0)/12000000,0)/100,0)</f>
        <v>0</v>
      </c>
      <c r="AA150" s="24">
        <f>IF(AA149&gt;0,ROUND(AA149+Z150-Y150,2),0)</f>
        <v>0</v>
      </c>
      <c r="AB150" s="24">
        <f>IF(AA149&gt;0,ROUND(AB149+ROUND(ROUND(AB149*100,0)*ROUND(Y$7*10000,0)/12000000,0)/100+0.02,2),0)</f>
        <v>0</v>
      </c>
      <c r="AC150" s="24">
        <f>IF(AE149&gt;0,IF(AND(ROUND(AE149+AD150-ROUND(AC$6+IF(AC$5=$C150,$E$5+$E150,0),2),2)&gt;0,ROUND(AE149+AD150-ROUND(AC$6+IF(AC$5=$C150,$E$5+$E150,0),2),2)&lt;=AF150,ROUND(AE149+AD150-ROUND(AC$6+IF(AC$5=$C150,$E$5+$E150,0),2),2)*10&lt;=ROUND(AC$6+IF(AC$5=$C150,$E$5+$E150,0),2)),ROUND(AE149+AD150,2),MIN(ROUND(AC$6+IF(AC$5=$C150,$E$5+$E150,0),2),ROUND(AE149+AD150,2))),0)</f>
        <v>0</v>
      </c>
      <c r="AD150" s="24">
        <f>IF(AE149&gt;0,ROUND(ROUND(AE149*100,0)*ROUND(AC$7*10000,0)/12000000,0)/100,0)</f>
        <v>0</v>
      </c>
      <c r="AE150" s="24">
        <f>IF(AE149&gt;0,ROUND(AE149+AD150-AC150,2),0)</f>
        <v>0</v>
      </c>
      <c r="AF150" s="24">
        <f>IF(AE149&gt;0,ROUND(AF149+ROUND(ROUND(AF149*100,0)*ROUND(AC$7*10000,0)/12000000,0)/100+0.02,2),0)</f>
        <v>0</v>
      </c>
      <c r="AG150" s="24">
        <f>IF(AI149&gt;0,IF(AND(ROUND(AI149+AH150-ROUND(AG$6+IF(AG$5=$C150,$E$5+$E150,0),2),2)&gt;0,ROUND(AI149+AH150-ROUND(AG$6+IF(AG$5=$C150,$E$5+$E150,0),2),2)&lt;=AJ150,ROUND(AI149+AH150-ROUND(AG$6+IF(AG$5=$C150,$E$5+$E150,0),2),2)*10&lt;=ROUND(AG$6+IF(AG$5=$C150,$E$5+$E150,0),2)),ROUND(AI149+AH150,2),MIN(ROUND(AG$6+IF(AG$5=$C150,$E$5+$E150,0),2),ROUND(AI149+AH150,2))),0)</f>
        <v>0</v>
      </c>
      <c r="AH150" s="24">
        <f>IF(AI149&gt;0,ROUND(ROUND(AI149*100,0)*ROUND(AG$7*10000,0)/12000000,0)/100,0)</f>
        <v>0</v>
      </c>
      <c r="AI150" s="24">
        <f>IF(AI149&gt;0,ROUND(AI149+AH150-AG150,2),0)</f>
        <v>0</v>
      </c>
      <c r="AJ150" s="24">
        <f>IF(AI149&gt;0,ROUND(AJ149+ROUND(ROUND(AJ149*100,0)*ROUND(AG$7*10000,0)/12000000,0)/100+0.02,2),0)</f>
        <v>0</v>
      </c>
      <c r="AK150" s="24">
        <f>IF(AM149&gt;0,IF(AND(ROUND(AM149+AL150-ROUND(AK$6+IF(AK$5=$C150,$E$5+$E150,0),2),2)&gt;0,ROUND(AM149+AL150-ROUND(AK$6+IF(AK$5=$C150,$E$5+$E150,0),2),2)&lt;=AN150,ROUND(AM149+AL150-ROUND(AK$6+IF(AK$5=$C150,$E$5+$E150,0),2),2)*10&lt;=ROUND(AK$6+IF(AK$5=$C150,$E$5+$E150,0),2)),ROUND(AM149+AL150,2),MIN(ROUND(AK$6+IF(AK$5=$C150,$E$5+$E150,0),2),ROUND(AM149+AL150,2))),0)</f>
        <v>0</v>
      </c>
      <c r="AL150" s="24">
        <f>IF(AM149&gt;0,ROUND(ROUND(AM149*100,0)*ROUND(AK$7*10000,0)/12000000,0)/100,0)</f>
        <v>0</v>
      </c>
      <c r="AM150" s="24">
        <f>IF(AM149&gt;0,ROUND(AM149+AL150-AK150,2),0)</f>
        <v>0</v>
      </c>
      <c r="AN150" s="24">
        <f>IF(AM149&gt;0,ROUND(AN149+ROUND(ROUND(AN149*100,0)*ROUND(AK$7*10000,0)/12000000,0)/100+0.02,2),0)</f>
        <v>0</v>
      </c>
      <c r="AO150" s="24">
        <f>IF(AQ149&gt;0,IF(AND(ROUND(AQ149+AP150-ROUND(AO$6+IF(AO$5=$C150,$E$5+$E150,0),2),2)&gt;0,ROUND(AQ149+AP150-ROUND(AO$6+IF(AO$5=$C150,$E$5+$E150,0),2),2)&lt;=AR150,ROUND(AQ149+AP150-ROUND(AO$6+IF(AO$5=$C150,$E$5+$E150,0),2),2)*10&lt;=ROUND(AO$6+IF(AO$5=$C150,$E$5+$E150,0),2)),ROUND(AQ149+AP150,2),MIN(ROUND(AO$6+IF(AO$5=$C150,$E$5+$E150,0),2),ROUND(AQ149+AP150,2))),0)</f>
        <v>0</v>
      </c>
      <c r="AP150" s="24">
        <f>IF(AQ149&gt;0,ROUND(ROUND(AQ149*100,0)*ROUND(AO$7*10000,0)/12000000,0)/100,0)</f>
        <v>0</v>
      </c>
      <c r="AQ150" s="24">
        <f>IF(AQ149&gt;0,ROUND(AQ149+AP150-AO150,2),0)</f>
        <v>0</v>
      </c>
      <c r="AR150" s="24">
        <f>IF(AQ149&gt;0,ROUND(AR149+ROUND(ROUND(AR149*100,0)*ROUND(AO$7*10000,0)/12000000,0)/100+0.02,2),0)</f>
        <v>0</v>
      </c>
      <c r="AS150" s="24">
        <f>IF(AU149&gt;0,IF(AND(ROUND(AU149+AT150-ROUND(AS$6+IF(AS$5=$C150,$E$5+$E150,0),2),2)&gt;0,ROUND(AU149+AT150-ROUND(AS$6+IF(AS$5=$C150,$E$5+$E150,0),2),2)&lt;=AV150,ROUND(AU149+AT150-ROUND(AS$6+IF(AS$5=$C150,$E$5+$E150,0),2),2)*10&lt;=ROUND(AS$6+IF(AS$5=$C150,$E$5+$E150,0),2)),ROUND(AU149+AT150,2),MIN(ROUND(AS$6+IF(AS$5=$C150,$E$5+$E150,0),2),ROUND(AU149+AT150,2))),0)</f>
        <v>0</v>
      </c>
      <c r="AT150" s="24">
        <f>IF(AU149&gt;0,ROUND(ROUND(AU149*100,0)*ROUND(AS$7*10000,0)/12000000,0)/100,0)</f>
        <v>0</v>
      </c>
      <c r="AU150" s="24">
        <f>IF(AU149&gt;0,ROUND(AU149+AT150-AS150,2),0)</f>
        <v>0</v>
      </c>
      <c r="AV150" s="24">
        <f>IF(AU149&gt;0,ROUND(AV149+ROUND(ROUND(AV149*100,0)*ROUND(AS$7*10000,0)/12000000,0)/100+0.02,2),0)</f>
        <v>0</v>
      </c>
    </row>
    <row r="151" spans="1:48" x14ac:dyDescent="0.25">
      <c r="A151" s="17" t="str">
        <f>IF(F151&gt;0,141,"")</f>
        <v/>
      </c>
      <c r="B151" s="18" t="str">
        <f>IF(F151&gt;0,EDATE($E$6,141),"")</f>
        <v/>
      </c>
      <c r="C151" s="21">
        <f>IF(H150&gt;0,MIN(IF(K150&gt;0,I$5,99),IF(O150&gt;0,M$5,99),IF(S150&gt;0,Q$5,99),IF(W150&gt;0,U$5,99),IF(AA150&gt;0,Y$5,99),IF(AE150&gt;0,AC$5,99),IF(AI150&gt;0,AG$5,99),IF(AM150&gt;0,AK$5,99),IF(AQ150&gt;0,AO$5,99),IF(AU150&gt;0,AS$5,99)),0)</f>
        <v>0</v>
      </c>
      <c r="D151" t="str">
        <f>IF(C151&gt;0,INDEX($I$4:$AV$4,1,MATCH(C151,$I$5:$AV$5,0)),"")</f>
        <v/>
      </c>
      <c r="E151" s="24">
        <f>ROUND(IF(AND(I$8&gt;0,K150=0),I$6,0)+IF(AND(M$8&gt;0,O150=0),M$6,0)+IF(AND(Q$8&gt;0,S150=0),Q$6,0)+IF(AND(U$8&gt;0,W150=0),U$6,0)+IF(AND(Y$8&gt;0,AA150=0),Y$6,0)+IF(AND(AC$8&gt;0,AE150=0),AC$6,0)+IF(AND(AG$8&gt;0,AI150=0),AG$6,0)+IF(AND(AK$8&gt;0,AM150=0),AK$6,0)+IF(AND(AO$8&gt;0,AQ150=0),AO$6,0)+IF(AND(AS$8&gt;0,AU150=0),AS$6,0),2)</f>
        <v>325</v>
      </c>
      <c r="F151" s="24">
        <f>ROUND(I151+M151+Q151+U151+Y151+AC151+AG151+AK151+AO151+AS151,2)</f>
        <v>0</v>
      </c>
      <c r="G151" s="24">
        <f>ROUND(J151+N151+R151+V151+Z151+AD151+AH151+AL151+AP151+AT151,2)</f>
        <v>0</v>
      </c>
      <c r="H151" s="24">
        <f>ROUND(K151+O151+S151+W151+AA151+AE151+AI151+AM151+AQ151+AU151,2)</f>
        <v>0</v>
      </c>
      <c r="I151" s="24">
        <f>IF(K150&gt;0,IF(AND(ROUND(K150+J151-ROUND(I$6+IF(I$5=$C151,$E$5+$E151,0),2),2)&gt;0,ROUND(K150+J151-ROUND(I$6+IF(I$5=$C151,$E$5+$E151,0),2),2)&lt;=L151,ROUND(K150+J151-ROUND(I$6+IF(I$5=$C151,$E$5+$E151,0),2),2)*10&lt;=ROUND(I$6+IF(I$5=$C151,$E$5+$E151,0),2)),ROUND(K150+J151,2),MIN(ROUND(I$6+IF(I$5=$C151,$E$5+$E151,0),2),ROUND(K150+J151,2))),0)</f>
        <v>0</v>
      </c>
      <c r="J151" s="24">
        <f>IF(K150&gt;0,ROUND(ROUND(K150*100,0)*ROUND(I$7*10000,0)/12000000,0)/100,0)</f>
        <v>0</v>
      </c>
      <c r="K151" s="24">
        <f>IF(K150&gt;0,ROUND(K150+J151-I151,2),0)</f>
        <v>0</v>
      </c>
      <c r="L151" s="24">
        <f>IF(K150&gt;0,ROUND(L150+ROUND(ROUND(L150*100,0)*ROUND(I$7*10000,0)/12000000,0)/100+0.02,2),0)</f>
        <v>0</v>
      </c>
      <c r="M151" s="24">
        <f>IF(O150&gt;0,IF(AND(ROUND(O150+N151-ROUND(M$6+IF(M$5=$C151,$E$5+$E151,0),2),2)&gt;0,ROUND(O150+N151-ROUND(M$6+IF(M$5=$C151,$E$5+$E151,0),2),2)&lt;=P151,ROUND(O150+N151-ROUND(M$6+IF(M$5=$C151,$E$5+$E151,0),2),2)*10&lt;=ROUND(M$6+IF(M$5=$C151,$E$5+$E151,0),2)),ROUND(O150+N151,2),MIN(ROUND(M$6+IF(M$5=$C151,$E$5+$E151,0),2),ROUND(O150+N151,2))),0)</f>
        <v>0</v>
      </c>
      <c r="N151" s="24">
        <f>IF(O150&gt;0,ROUND(ROUND(O150*100,0)*ROUND(M$7*10000,0)/12000000,0)/100,0)</f>
        <v>0</v>
      </c>
      <c r="O151" s="24">
        <f>IF(O150&gt;0,ROUND(O150+N151-M151,2),0)</f>
        <v>0</v>
      </c>
      <c r="P151" s="24">
        <f>IF(O150&gt;0,ROUND(P150+ROUND(ROUND(P150*100,0)*ROUND(M$7*10000,0)/12000000,0)/100+0.02,2),0)</f>
        <v>0</v>
      </c>
      <c r="Q151" s="24">
        <f>IF(S150&gt;0,IF(AND(ROUND(S150+R151-ROUND(Q$6+IF(Q$5=$C151,$E$5+$E151,0),2),2)&gt;0,ROUND(S150+R151-ROUND(Q$6+IF(Q$5=$C151,$E$5+$E151,0),2),2)&lt;=T151,ROUND(S150+R151-ROUND(Q$6+IF(Q$5=$C151,$E$5+$E151,0),2),2)*10&lt;=ROUND(Q$6+IF(Q$5=$C151,$E$5+$E151,0),2)),ROUND(S150+R151,2),MIN(ROUND(Q$6+IF(Q$5=$C151,$E$5+$E151,0),2),ROUND(S150+R151,2))),0)</f>
        <v>0</v>
      </c>
      <c r="R151" s="24">
        <f>IF(S150&gt;0,ROUND(ROUND(S150*100,0)*ROUND(Q$7*10000,0)/12000000,0)/100,0)</f>
        <v>0</v>
      </c>
      <c r="S151" s="24">
        <f>IF(S150&gt;0,ROUND(S150+R151-Q151,2),0)</f>
        <v>0</v>
      </c>
      <c r="T151" s="24">
        <f>IF(S150&gt;0,ROUND(T150+ROUND(ROUND(T150*100,0)*ROUND(Q$7*10000,0)/12000000,0)/100+0.02,2),0)</f>
        <v>0</v>
      </c>
      <c r="U151" s="24">
        <f>IF(W150&gt;0,IF(AND(ROUND(W150+V151-ROUND(U$6+IF(U$5=$C151,$E$5+$E151,0),2),2)&gt;0,ROUND(W150+V151-ROUND(U$6+IF(U$5=$C151,$E$5+$E151,0),2),2)&lt;=X151,ROUND(W150+V151-ROUND(U$6+IF(U$5=$C151,$E$5+$E151,0),2),2)*10&lt;=ROUND(U$6+IF(U$5=$C151,$E$5+$E151,0),2)),ROUND(W150+V151,2),MIN(ROUND(U$6+IF(U$5=$C151,$E$5+$E151,0),2),ROUND(W150+V151,2))),0)</f>
        <v>0</v>
      </c>
      <c r="V151" s="24">
        <f>IF(W150&gt;0,ROUND(ROUND(W150*100,0)*ROUND(U$7*10000,0)/12000000,0)/100,0)</f>
        <v>0</v>
      </c>
      <c r="W151" s="24">
        <f>IF(W150&gt;0,ROUND(W150+V151-U151,2),0)</f>
        <v>0</v>
      </c>
      <c r="X151" s="24">
        <f>IF(W150&gt;0,ROUND(X150+ROUND(ROUND(X150*100,0)*ROUND(U$7*10000,0)/12000000,0)/100+0.02,2),0)</f>
        <v>0</v>
      </c>
      <c r="Y151" s="24">
        <f>IF(AA150&gt;0,IF(AND(ROUND(AA150+Z151-ROUND(Y$6+IF(Y$5=$C151,$E$5+$E151,0),2),2)&gt;0,ROUND(AA150+Z151-ROUND(Y$6+IF(Y$5=$C151,$E$5+$E151,0),2),2)&lt;=AB151,ROUND(AA150+Z151-ROUND(Y$6+IF(Y$5=$C151,$E$5+$E151,0),2),2)*10&lt;=ROUND(Y$6+IF(Y$5=$C151,$E$5+$E151,0),2)),ROUND(AA150+Z151,2),MIN(ROUND(Y$6+IF(Y$5=$C151,$E$5+$E151,0),2),ROUND(AA150+Z151,2))),0)</f>
        <v>0</v>
      </c>
      <c r="Z151" s="24">
        <f>IF(AA150&gt;0,ROUND(ROUND(AA150*100,0)*ROUND(Y$7*10000,0)/12000000,0)/100,0)</f>
        <v>0</v>
      </c>
      <c r="AA151" s="24">
        <f>IF(AA150&gt;0,ROUND(AA150+Z151-Y151,2),0)</f>
        <v>0</v>
      </c>
      <c r="AB151" s="24">
        <f>IF(AA150&gt;0,ROUND(AB150+ROUND(ROUND(AB150*100,0)*ROUND(Y$7*10000,0)/12000000,0)/100+0.02,2),0)</f>
        <v>0</v>
      </c>
      <c r="AC151" s="24">
        <f>IF(AE150&gt;0,IF(AND(ROUND(AE150+AD151-ROUND(AC$6+IF(AC$5=$C151,$E$5+$E151,0),2),2)&gt;0,ROUND(AE150+AD151-ROUND(AC$6+IF(AC$5=$C151,$E$5+$E151,0),2),2)&lt;=AF151,ROUND(AE150+AD151-ROUND(AC$6+IF(AC$5=$C151,$E$5+$E151,0),2),2)*10&lt;=ROUND(AC$6+IF(AC$5=$C151,$E$5+$E151,0),2)),ROUND(AE150+AD151,2),MIN(ROUND(AC$6+IF(AC$5=$C151,$E$5+$E151,0),2),ROUND(AE150+AD151,2))),0)</f>
        <v>0</v>
      </c>
      <c r="AD151" s="24">
        <f>IF(AE150&gt;0,ROUND(ROUND(AE150*100,0)*ROUND(AC$7*10000,0)/12000000,0)/100,0)</f>
        <v>0</v>
      </c>
      <c r="AE151" s="24">
        <f>IF(AE150&gt;0,ROUND(AE150+AD151-AC151,2),0)</f>
        <v>0</v>
      </c>
      <c r="AF151" s="24">
        <f>IF(AE150&gt;0,ROUND(AF150+ROUND(ROUND(AF150*100,0)*ROUND(AC$7*10000,0)/12000000,0)/100+0.02,2),0)</f>
        <v>0</v>
      </c>
      <c r="AG151" s="24">
        <f>IF(AI150&gt;0,IF(AND(ROUND(AI150+AH151-ROUND(AG$6+IF(AG$5=$C151,$E$5+$E151,0),2),2)&gt;0,ROUND(AI150+AH151-ROUND(AG$6+IF(AG$5=$C151,$E$5+$E151,0),2),2)&lt;=AJ151,ROUND(AI150+AH151-ROUND(AG$6+IF(AG$5=$C151,$E$5+$E151,0),2),2)*10&lt;=ROUND(AG$6+IF(AG$5=$C151,$E$5+$E151,0),2)),ROUND(AI150+AH151,2),MIN(ROUND(AG$6+IF(AG$5=$C151,$E$5+$E151,0),2),ROUND(AI150+AH151,2))),0)</f>
        <v>0</v>
      </c>
      <c r="AH151" s="24">
        <f>IF(AI150&gt;0,ROUND(ROUND(AI150*100,0)*ROUND(AG$7*10000,0)/12000000,0)/100,0)</f>
        <v>0</v>
      </c>
      <c r="AI151" s="24">
        <f>IF(AI150&gt;0,ROUND(AI150+AH151-AG151,2),0)</f>
        <v>0</v>
      </c>
      <c r="AJ151" s="24">
        <f>IF(AI150&gt;0,ROUND(AJ150+ROUND(ROUND(AJ150*100,0)*ROUND(AG$7*10000,0)/12000000,0)/100+0.02,2),0)</f>
        <v>0</v>
      </c>
      <c r="AK151" s="24">
        <f>IF(AM150&gt;0,IF(AND(ROUND(AM150+AL151-ROUND(AK$6+IF(AK$5=$C151,$E$5+$E151,0),2),2)&gt;0,ROUND(AM150+AL151-ROUND(AK$6+IF(AK$5=$C151,$E$5+$E151,0),2),2)&lt;=AN151,ROUND(AM150+AL151-ROUND(AK$6+IF(AK$5=$C151,$E$5+$E151,0),2),2)*10&lt;=ROUND(AK$6+IF(AK$5=$C151,$E$5+$E151,0),2)),ROUND(AM150+AL151,2),MIN(ROUND(AK$6+IF(AK$5=$C151,$E$5+$E151,0),2),ROUND(AM150+AL151,2))),0)</f>
        <v>0</v>
      </c>
      <c r="AL151" s="24">
        <f>IF(AM150&gt;0,ROUND(ROUND(AM150*100,0)*ROUND(AK$7*10000,0)/12000000,0)/100,0)</f>
        <v>0</v>
      </c>
      <c r="AM151" s="24">
        <f>IF(AM150&gt;0,ROUND(AM150+AL151-AK151,2),0)</f>
        <v>0</v>
      </c>
      <c r="AN151" s="24">
        <f>IF(AM150&gt;0,ROUND(AN150+ROUND(ROUND(AN150*100,0)*ROUND(AK$7*10000,0)/12000000,0)/100+0.02,2),0)</f>
        <v>0</v>
      </c>
      <c r="AO151" s="24">
        <f>IF(AQ150&gt;0,IF(AND(ROUND(AQ150+AP151-ROUND(AO$6+IF(AO$5=$C151,$E$5+$E151,0),2),2)&gt;0,ROUND(AQ150+AP151-ROUND(AO$6+IF(AO$5=$C151,$E$5+$E151,0),2),2)&lt;=AR151,ROUND(AQ150+AP151-ROUND(AO$6+IF(AO$5=$C151,$E$5+$E151,0),2),2)*10&lt;=ROUND(AO$6+IF(AO$5=$C151,$E$5+$E151,0),2)),ROUND(AQ150+AP151,2),MIN(ROUND(AO$6+IF(AO$5=$C151,$E$5+$E151,0),2),ROUND(AQ150+AP151,2))),0)</f>
        <v>0</v>
      </c>
      <c r="AP151" s="24">
        <f>IF(AQ150&gt;0,ROUND(ROUND(AQ150*100,0)*ROUND(AO$7*10000,0)/12000000,0)/100,0)</f>
        <v>0</v>
      </c>
      <c r="AQ151" s="24">
        <f>IF(AQ150&gt;0,ROUND(AQ150+AP151-AO151,2),0)</f>
        <v>0</v>
      </c>
      <c r="AR151" s="24">
        <f>IF(AQ150&gt;0,ROUND(AR150+ROUND(ROUND(AR150*100,0)*ROUND(AO$7*10000,0)/12000000,0)/100+0.02,2),0)</f>
        <v>0</v>
      </c>
      <c r="AS151" s="24">
        <f>IF(AU150&gt;0,IF(AND(ROUND(AU150+AT151-ROUND(AS$6+IF(AS$5=$C151,$E$5+$E151,0),2),2)&gt;0,ROUND(AU150+AT151-ROUND(AS$6+IF(AS$5=$C151,$E$5+$E151,0),2),2)&lt;=AV151,ROUND(AU150+AT151-ROUND(AS$6+IF(AS$5=$C151,$E$5+$E151,0),2),2)*10&lt;=ROUND(AS$6+IF(AS$5=$C151,$E$5+$E151,0),2)),ROUND(AU150+AT151,2),MIN(ROUND(AS$6+IF(AS$5=$C151,$E$5+$E151,0),2),ROUND(AU150+AT151,2))),0)</f>
        <v>0</v>
      </c>
      <c r="AT151" s="24">
        <f>IF(AU150&gt;0,ROUND(ROUND(AU150*100,0)*ROUND(AS$7*10000,0)/12000000,0)/100,0)</f>
        <v>0</v>
      </c>
      <c r="AU151" s="24">
        <f>IF(AU150&gt;0,ROUND(AU150+AT151-AS151,2),0)</f>
        <v>0</v>
      </c>
      <c r="AV151" s="24">
        <f>IF(AU150&gt;0,ROUND(AV150+ROUND(ROUND(AV150*100,0)*ROUND(AS$7*10000,0)/12000000,0)/100+0.02,2),0)</f>
        <v>0</v>
      </c>
    </row>
    <row r="152" spans="1:48" x14ac:dyDescent="0.25">
      <c r="A152" s="17" t="str">
        <f>IF(F152&gt;0,142,"")</f>
        <v/>
      </c>
      <c r="B152" s="18" t="str">
        <f>IF(F152&gt;0,EDATE($E$6,142),"")</f>
        <v/>
      </c>
      <c r="C152" s="21">
        <f>IF(H151&gt;0,MIN(IF(K151&gt;0,I$5,99),IF(O151&gt;0,M$5,99),IF(S151&gt;0,Q$5,99),IF(W151&gt;0,U$5,99),IF(AA151&gt;0,Y$5,99),IF(AE151&gt;0,AC$5,99),IF(AI151&gt;0,AG$5,99),IF(AM151&gt;0,AK$5,99),IF(AQ151&gt;0,AO$5,99),IF(AU151&gt;0,AS$5,99)),0)</f>
        <v>0</v>
      </c>
      <c r="D152" t="str">
        <f>IF(C152&gt;0,INDEX($I$4:$AV$4,1,MATCH(C152,$I$5:$AV$5,0)),"")</f>
        <v/>
      </c>
      <c r="E152" s="24">
        <f>ROUND(IF(AND(I$8&gt;0,K151=0),I$6,0)+IF(AND(M$8&gt;0,O151=0),M$6,0)+IF(AND(Q$8&gt;0,S151=0),Q$6,0)+IF(AND(U$8&gt;0,W151=0),U$6,0)+IF(AND(Y$8&gt;0,AA151=0),Y$6,0)+IF(AND(AC$8&gt;0,AE151=0),AC$6,0)+IF(AND(AG$8&gt;0,AI151=0),AG$6,0)+IF(AND(AK$8&gt;0,AM151=0),AK$6,0)+IF(AND(AO$8&gt;0,AQ151=0),AO$6,0)+IF(AND(AS$8&gt;0,AU151=0),AS$6,0),2)</f>
        <v>325</v>
      </c>
      <c r="F152" s="24">
        <f>ROUND(I152+M152+Q152+U152+Y152+AC152+AG152+AK152+AO152+AS152,2)</f>
        <v>0</v>
      </c>
      <c r="G152" s="24">
        <f>ROUND(J152+N152+R152+V152+Z152+AD152+AH152+AL152+AP152+AT152,2)</f>
        <v>0</v>
      </c>
      <c r="H152" s="24">
        <f>ROUND(K152+O152+S152+W152+AA152+AE152+AI152+AM152+AQ152+AU152,2)</f>
        <v>0</v>
      </c>
      <c r="I152" s="24">
        <f>IF(K151&gt;0,IF(AND(ROUND(K151+J152-ROUND(I$6+IF(I$5=$C152,$E$5+$E152,0),2),2)&gt;0,ROUND(K151+J152-ROUND(I$6+IF(I$5=$C152,$E$5+$E152,0),2),2)&lt;=L152,ROUND(K151+J152-ROUND(I$6+IF(I$5=$C152,$E$5+$E152,0),2),2)*10&lt;=ROUND(I$6+IF(I$5=$C152,$E$5+$E152,0),2)),ROUND(K151+J152,2),MIN(ROUND(I$6+IF(I$5=$C152,$E$5+$E152,0),2),ROUND(K151+J152,2))),0)</f>
        <v>0</v>
      </c>
      <c r="J152" s="24">
        <f>IF(K151&gt;0,ROUND(ROUND(K151*100,0)*ROUND(I$7*10000,0)/12000000,0)/100,0)</f>
        <v>0</v>
      </c>
      <c r="K152" s="24">
        <f>IF(K151&gt;0,ROUND(K151+J152-I152,2),0)</f>
        <v>0</v>
      </c>
      <c r="L152" s="24">
        <f>IF(K151&gt;0,ROUND(L151+ROUND(ROUND(L151*100,0)*ROUND(I$7*10000,0)/12000000,0)/100+0.02,2),0)</f>
        <v>0</v>
      </c>
      <c r="M152" s="24">
        <f>IF(O151&gt;0,IF(AND(ROUND(O151+N152-ROUND(M$6+IF(M$5=$C152,$E$5+$E152,0),2),2)&gt;0,ROUND(O151+N152-ROUND(M$6+IF(M$5=$C152,$E$5+$E152,0),2),2)&lt;=P152,ROUND(O151+N152-ROUND(M$6+IF(M$5=$C152,$E$5+$E152,0),2),2)*10&lt;=ROUND(M$6+IF(M$5=$C152,$E$5+$E152,0),2)),ROUND(O151+N152,2),MIN(ROUND(M$6+IF(M$5=$C152,$E$5+$E152,0),2),ROUND(O151+N152,2))),0)</f>
        <v>0</v>
      </c>
      <c r="N152" s="24">
        <f>IF(O151&gt;0,ROUND(ROUND(O151*100,0)*ROUND(M$7*10000,0)/12000000,0)/100,0)</f>
        <v>0</v>
      </c>
      <c r="O152" s="24">
        <f>IF(O151&gt;0,ROUND(O151+N152-M152,2),0)</f>
        <v>0</v>
      </c>
      <c r="P152" s="24">
        <f>IF(O151&gt;0,ROUND(P151+ROUND(ROUND(P151*100,0)*ROUND(M$7*10000,0)/12000000,0)/100+0.02,2),0)</f>
        <v>0</v>
      </c>
      <c r="Q152" s="24">
        <f>IF(S151&gt;0,IF(AND(ROUND(S151+R152-ROUND(Q$6+IF(Q$5=$C152,$E$5+$E152,0),2),2)&gt;0,ROUND(S151+R152-ROUND(Q$6+IF(Q$5=$C152,$E$5+$E152,0),2),2)&lt;=T152,ROUND(S151+R152-ROUND(Q$6+IF(Q$5=$C152,$E$5+$E152,0),2),2)*10&lt;=ROUND(Q$6+IF(Q$5=$C152,$E$5+$E152,0),2)),ROUND(S151+R152,2),MIN(ROUND(Q$6+IF(Q$5=$C152,$E$5+$E152,0),2),ROUND(S151+R152,2))),0)</f>
        <v>0</v>
      </c>
      <c r="R152" s="24">
        <f>IF(S151&gt;0,ROUND(ROUND(S151*100,0)*ROUND(Q$7*10000,0)/12000000,0)/100,0)</f>
        <v>0</v>
      </c>
      <c r="S152" s="24">
        <f>IF(S151&gt;0,ROUND(S151+R152-Q152,2),0)</f>
        <v>0</v>
      </c>
      <c r="T152" s="24">
        <f>IF(S151&gt;0,ROUND(T151+ROUND(ROUND(T151*100,0)*ROUND(Q$7*10000,0)/12000000,0)/100+0.02,2),0)</f>
        <v>0</v>
      </c>
      <c r="U152" s="24">
        <f>IF(W151&gt;0,IF(AND(ROUND(W151+V152-ROUND(U$6+IF(U$5=$C152,$E$5+$E152,0),2),2)&gt;0,ROUND(W151+V152-ROUND(U$6+IF(U$5=$C152,$E$5+$E152,0),2),2)&lt;=X152,ROUND(W151+V152-ROUND(U$6+IF(U$5=$C152,$E$5+$E152,0),2),2)*10&lt;=ROUND(U$6+IF(U$5=$C152,$E$5+$E152,0),2)),ROUND(W151+V152,2),MIN(ROUND(U$6+IF(U$5=$C152,$E$5+$E152,0),2),ROUND(W151+V152,2))),0)</f>
        <v>0</v>
      </c>
      <c r="V152" s="24">
        <f>IF(W151&gt;0,ROUND(ROUND(W151*100,0)*ROUND(U$7*10000,0)/12000000,0)/100,0)</f>
        <v>0</v>
      </c>
      <c r="W152" s="24">
        <f>IF(W151&gt;0,ROUND(W151+V152-U152,2),0)</f>
        <v>0</v>
      </c>
      <c r="X152" s="24">
        <f>IF(W151&gt;0,ROUND(X151+ROUND(ROUND(X151*100,0)*ROUND(U$7*10000,0)/12000000,0)/100+0.02,2),0)</f>
        <v>0</v>
      </c>
      <c r="Y152" s="24">
        <f>IF(AA151&gt;0,IF(AND(ROUND(AA151+Z152-ROUND(Y$6+IF(Y$5=$C152,$E$5+$E152,0),2),2)&gt;0,ROUND(AA151+Z152-ROUND(Y$6+IF(Y$5=$C152,$E$5+$E152,0),2),2)&lt;=AB152,ROUND(AA151+Z152-ROUND(Y$6+IF(Y$5=$C152,$E$5+$E152,0),2),2)*10&lt;=ROUND(Y$6+IF(Y$5=$C152,$E$5+$E152,0),2)),ROUND(AA151+Z152,2),MIN(ROUND(Y$6+IF(Y$5=$C152,$E$5+$E152,0),2),ROUND(AA151+Z152,2))),0)</f>
        <v>0</v>
      </c>
      <c r="Z152" s="24">
        <f>IF(AA151&gt;0,ROUND(ROUND(AA151*100,0)*ROUND(Y$7*10000,0)/12000000,0)/100,0)</f>
        <v>0</v>
      </c>
      <c r="AA152" s="24">
        <f>IF(AA151&gt;0,ROUND(AA151+Z152-Y152,2),0)</f>
        <v>0</v>
      </c>
      <c r="AB152" s="24">
        <f>IF(AA151&gt;0,ROUND(AB151+ROUND(ROUND(AB151*100,0)*ROUND(Y$7*10000,0)/12000000,0)/100+0.02,2),0)</f>
        <v>0</v>
      </c>
      <c r="AC152" s="24">
        <f>IF(AE151&gt;0,IF(AND(ROUND(AE151+AD152-ROUND(AC$6+IF(AC$5=$C152,$E$5+$E152,0),2),2)&gt;0,ROUND(AE151+AD152-ROUND(AC$6+IF(AC$5=$C152,$E$5+$E152,0),2),2)&lt;=AF152,ROUND(AE151+AD152-ROUND(AC$6+IF(AC$5=$C152,$E$5+$E152,0),2),2)*10&lt;=ROUND(AC$6+IF(AC$5=$C152,$E$5+$E152,0),2)),ROUND(AE151+AD152,2),MIN(ROUND(AC$6+IF(AC$5=$C152,$E$5+$E152,0),2),ROUND(AE151+AD152,2))),0)</f>
        <v>0</v>
      </c>
      <c r="AD152" s="24">
        <f>IF(AE151&gt;0,ROUND(ROUND(AE151*100,0)*ROUND(AC$7*10000,0)/12000000,0)/100,0)</f>
        <v>0</v>
      </c>
      <c r="AE152" s="24">
        <f>IF(AE151&gt;0,ROUND(AE151+AD152-AC152,2),0)</f>
        <v>0</v>
      </c>
      <c r="AF152" s="24">
        <f>IF(AE151&gt;0,ROUND(AF151+ROUND(ROUND(AF151*100,0)*ROUND(AC$7*10000,0)/12000000,0)/100+0.02,2),0)</f>
        <v>0</v>
      </c>
      <c r="AG152" s="24">
        <f>IF(AI151&gt;0,IF(AND(ROUND(AI151+AH152-ROUND(AG$6+IF(AG$5=$C152,$E$5+$E152,0),2),2)&gt;0,ROUND(AI151+AH152-ROUND(AG$6+IF(AG$5=$C152,$E$5+$E152,0),2),2)&lt;=AJ152,ROUND(AI151+AH152-ROUND(AG$6+IF(AG$5=$C152,$E$5+$E152,0),2),2)*10&lt;=ROUND(AG$6+IF(AG$5=$C152,$E$5+$E152,0),2)),ROUND(AI151+AH152,2),MIN(ROUND(AG$6+IF(AG$5=$C152,$E$5+$E152,0),2),ROUND(AI151+AH152,2))),0)</f>
        <v>0</v>
      </c>
      <c r="AH152" s="24">
        <f>IF(AI151&gt;0,ROUND(ROUND(AI151*100,0)*ROUND(AG$7*10000,0)/12000000,0)/100,0)</f>
        <v>0</v>
      </c>
      <c r="AI152" s="24">
        <f>IF(AI151&gt;0,ROUND(AI151+AH152-AG152,2),0)</f>
        <v>0</v>
      </c>
      <c r="AJ152" s="24">
        <f>IF(AI151&gt;0,ROUND(AJ151+ROUND(ROUND(AJ151*100,0)*ROUND(AG$7*10000,0)/12000000,0)/100+0.02,2),0)</f>
        <v>0</v>
      </c>
      <c r="AK152" s="24">
        <f>IF(AM151&gt;0,IF(AND(ROUND(AM151+AL152-ROUND(AK$6+IF(AK$5=$C152,$E$5+$E152,0),2),2)&gt;0,ROUND(AM151+AL152-ROUND(AK$6+IF(AK$5=$C152,$E$5+$E152,0),2),2)&lt;=AN152,ROUND(AM151+AL152-ROUND(AK$6+IF(AK$5=$C152,$E$5+$E152,0),2),2)*10&lt;=ROUND(AK$6+IF(AK$5=$C152,$E$5+$E152,0),2)),ROUND(AM151+AL152,2),MIN(ROUND(AK$6+IF(AK$5=$C152,$E$5+$E152,0),2),ROUND(AM151+AL152,2))),0)</f>
        <v>0</v>
      </c>
      <c r="AL152" s="24">
        <f>IF(AM151&gt;0,ROUND(ROUND(AM151*100,0)*ROUND(AK$7*10000,0)/12000000,0)/100,0)</f>
        <v>0</v>
      </c>
      <c r="AM152" s="24">
        <f>IF(AM151&gt;0,ROUND(AM151+AL152-AK152,2),0)</f>
        <v>0</v>
      </c>
      <c r="AN152" s="24">
        <f>IF(AM151&gt;0,ROUND(AN151+ROUND(ROUND(AN151*100,0)*ROUND(AK$7*10000,0)/12000000,0)/100+0.02,2),0)</f>
        <v>0</v>
      </c>
      <c r="AO152" s="24">
        <f>IF(AQ151&gt;0,IF(AND(ROUND(AQ151+AP152-ROUND(AO$6+IF(AO$5=$C152,$E$5+$E152,0),2),2)&gt;0,ROUND(AQ151+AP152-ROUND(AO$6+IF(AO$5=$C152,$E$5+$E152,0),2),2)&lt;=AR152,ROUND(AQ151+AP152-ROUND(AO$6+IF(AO$5=$C152,$E$5+$E152,0),2),2)*10&lt;=ROUND(AO$6+IF(AO$5=$C152,$E$5+$E152,0),2)),ROUND(AQ151+AP152,2),MIN(ROUND(AO$6+IF(AO$5=$C152,$E$5+$E152,0),2),ROUND(AQ151+AP152,2))),0)</f>
        <v>0</v>
      </c>
      <c r="AP152" s="24">
        <f>IF(AQ151&gt;0,ROUND(ROUND(AQ151*100,0)*ROUND(AO$7*10000,0)/12000000,0)/100,0)</f>
        <v>0</v>
      </c>
      <c r="AQ152" s="24">
        <f>IF(AQ151&gt;0,ROUND(AQ151+AP152-AO152,2),0)</f>
        <v>0</v>
      </c>
      <c r="AR152" s="24">
        <f>IF(AQ151&gt;0,ROUND(AR151+ROUND(ROUND(AR151*100,0)*ROUND(AO$7*10000,0)/12000000,0)/100+0.02,2),0)</f>
        <v>0</v>
      </c>
      <c r="AS152" s="24">
        <f>IF(AU151&gt;0,IF(AND(ROUND(AU151+AT152-ROUND(AS$6+IF(AS$5=$C152,$E$5+$E152,0),2),2)&gt;0,ROUND(AU151+AT152-ROUND(AS$6+IF(AS$5=$C152,$E$5+$E152,0),2),2)&lt;=AV152,ROUND(AU151+AT152-ROUND(AS$6+IF(AS$5=$C152,$E$5+$E152,0),2),2)*10&lt;=ROUND(AS$6+IF(AS$5=$C152,$E$5+$E152,0),2)),ROUND(AU151+AT152,2),MIN(ROUND(AS$6+IF(AS$5=$C152,$E$5+$E152,0),2),ROUND(AU151+AT152,2))),0)</f>
        <v>0</v>
      </c>
      <c r="AT152" s="24">
        <f>IF(AU151&gt;0,ROUND(ROUND(AU151*100,0)*ROUND(AS$7*10000,0)/12000000,0)/100,0)</f>
        <v>0</v>
      </c>
      <c r="AU152" s="24">
        <f>IF(AU151&gt;0,ROUND(AU151+AT152-AS152,2),0)</f>
        <v>0</v>
      </c>
      <c r="AV152" s="24">
        <f>IF(AU151&gt;0,ROUND(AV151+ROUND(ROUND(AV151*100,0)*ROUND(AS$7*10000,0)/12000000,0)/100+0.02,2),0)</f>
        <v>0</v>
      </c>
    </row>
    <row r="153" spans="1:48" x14ac:dyDescent="0.25">
      <c r="A153" s="17" t="str">
        <f>IF(F153&gt;0,143,"")</f>
        <v/>
      </c>
      <c r="B153" s="18" t="str">
        <f>IF(F153&gt;0,EDATE($E$6,143),"")</f>
        <v/>
      </c>
      <c r="C153" s="21">
        <f>IF(H152&gt;0,MIN(IF(K152&gt;0,I$5,99),IF(O152&gt;0,M$5,99),IF(S152&gt;0,Q$5,99),IF(W152&gt;0,U$5,99),IF(AA152&gt;0,Y$5,99),IF(AE152&gt;0,AC$5,99),IF(AI152&gt;0,AG$5,99),IF(AM152&gt;0,AK$5,99),IF(AQ152&gt;0,AO$5,99),IF(AU152&gt;0,AS$5,99)),0)</f>
        <v>0</v>
      </c>
      <c r="D153" t="str">
        <f>IF(C153&gt;0,INDEX($I$4:$AV$4,1,MATCH(C153,$I$5:$AV$5,0)),"")</f>
        <v/>
      </c>
      <c r="E153" s="24">
        <f>ROUND(IF(AND(I$8&gt;0,K152=0),I$6,0)+IF(AND(M$8&gt;0,O152=0),M$6,0)+IF(AND(Q$8&gt;0,S152=0),Q$6,0)+IF(AND(U$8&gt;0,W152=0),U$6,0)+IF(AND(Y$8&gt;0,AA152=0),Y$6,0)+IF(AND(AC$8&gt;0,AE152=0),AC$6,0)+IF(AND(AG$8&gt;0,AI152=0),AG$6,0)+IF(AND(AK$8&gt;0,AM152=0),AK$6,0)+IF(AND(AO$8&gt;0,AQ152=0),AO$6,0)+IF(AND(AS$8&gt;0,AU152=0),AS$6,0),2)</f>
        <v>325</v>
      </c>
      <c r="F153" s="24">
        <f>ROUND(I153+M153+Q153+U153+Y153+AC153+AG153+AK153+AO153+AS153,2)</f>
        <v>0</v>
      </c>
      <c r="G153" s="24">
        <f>ROUND(J153+N153+R153+V153+Z153+AD153+AH153+AL153+AP153+AT153,2)</f>
        <v>0</v>
      </c>
      <c r="H153" s="24">
        <f>ROUND(K153+O153+S153+W153+AA153+AE153+AI153+AM153+AQ153+AU153,2)</f>
        <v>0</v>
      </c>
      <c r="I153" s="24">
        <f>IF(K152&gt;0,IF(AND(ROUND(K152+J153-ROUND(I$6+IF(I$5=$C153,$E$5+$E153,0),2),2)&gt;0,ROUND(K152+J153-ROUND(I$6+IF(I$5=$C153,$E$5+$E153,0),2),2)&lt;=L153,ROUND(K152+J153-ROUND(I$6+IF(I$5=$C153,$E$5+$E153,0),2),2)*10&lt;=ROUND(I$6+IF(I$5=$C153,$E$5+$E153,0),2)),ROUND(K152+J153,2),MIN(ROUND(I$6+IF(I$5=$C153,$E$5+$E153,0),2),ROUND(K152+J153,2))),0)</f>
        <v>0</v>
      </c>
      <c r="J153" s="24">
        <f>IF(K152&gt;0,ROUND(ROUND(K152*100,0)*ROUND(I$7*10000,0)/12000000,0)/100,0)</f>
        <v>0</v>
      </c>
      <c r="K153" s="24">
        <f>IF(K152&gt;0,ROUND(K152+J153-I153,2),0)</f>
        <v>0</v>
      </c>
      <c r="L153" s="24">
        <f>IF(K152&gt;0,ROUND(L152+ROUND(ROUND(L152*100,0)*ROUND(I$7*10000,0)/12000000,0)/100+0.02,2),0)</f>
        <v>0</v>
      </c>
      <c r="M153" s="24">
        <f>IF(O152&gt;0,IF(AND(ROUND(O152+N153-ROUND(M$6+IF(M$5=$C153,$E$5+$E153,0),2),2)&gt;0,ROUND(O152+N153-ROUND(M$6+IF(M$5=$C153,$E$5+$E153,0),2),2)&lt;=P153,ROUND(O152+N153-ROUND(M$6+IF(M$5=$C153,$E$5+$E153,0),2),2)*10&lt;=ROUND(M$6+IF(M$5=$C153,$E$5+$E153,0),2)),ROUND(O152+N153,2),MIN(ROUND(M$6+IF(M$5=$C153,$E$5+$E153,0),2),ROUND(O152+N153,2))),0)</f>
        <v>0</v>
      </c>
      <c r="N153" s="24">
        <f>IF(O152&gt;0,ROUND(ROUND(O152*100,0)*ROUND(M$7*10000,0)/12000000,0)/100,0)</f>
        <v>0</v>
      </c>
      <c r="O153" s="24">
        <f>IF(O152&gt;0,ROUND(O152+N153-M153,2),0)</f>
        <v>0</v>
      </c>
      <c r="P153" s="24">
        <f>IF(O152&gt;0,ROUND(P152+ROUND(ROUND(P152*100,0)*ROUND(M$7*10000,0)/12000000,0)/100+0.02,2),0)</f>
        <v>0</v>
      </c>
      <c r="Q153" s="24">
        <f>IF(S152&gt;0,IF(AND(ROUND(S152+R153-ROUND(Q$6+IF(Q$5=$C153,$E$5+$E153,0),2),2)&gt;0,ROUND(S152+R153-ROUND(Q$6+IF(Q$5=$C153,$E$5+$E153,0),2),2)&lt;=T153,ROUND(S152+R153-ROUND(Q$6+IF(Q$5=$C153,$E$5+$E153,0),2),2)*10&lt;=ROUND(Q$6+IF(Q$5=$C153,$E$5+$E153,0),2)),ROUND(S152+R153,2),MIN(ROUND(Q$6+IF(Q$5=$C153,$E$5+$E153,0),2),ROUND(S152+R153,2))),0)</f>
        <v>0</v>
      </c>
      <c r="R153" s="24">
        <f>IF(S152&gt;0,ROUND(ROUND(S152*100,0)*ROUND(Q$7*10000,0)/12000000,0)/100,0)</f>
        <v>0</v>
      </c>
      <c r="S153" s="24">
        <f>IF(S152&gt;0,ROUND(S152+R153-Q153,2),0)</f>
        <v>0</v>
      </c>
      <c r="T153" s="24">
        <f>IF(S152&gt;0,ROUND(T152+ROUND(ROUND(T152*100,0)*ROUND(Q$7*10000,0)/12000000,0)/100+0.02,2),0)</f>
        <v>0</v>
      </c>
      <c r="U153" s="24">
        <f>IF(W152&gt;0,IF(AND(ROUND(W152+V153-ROUND(U$6+IF(U$5=$C153,$E$5+$E153,0),2),2)&gt;0,ROUND(W152+V153-ROUND(U$6+IF(U$5=$C153,$E$5+$E153,0),2),2)&lt;=X153,ROUND(W152+V153-ROUND(U$6+IF(U$5=$C153,$E$5+$E153,0),2),2)*10&lt;=ROUND(U$6+IF(U$5=$C153,$E$5+$E153,0),2)),ROUND(W152+V153,2),MIN(ROUND(U$6+IF(U$5=$C153,$E$5+$E153,0),2),ROUND(W152+V153,2))),0)</f>
        <v>0</v>
      </c>
      <c r="V153" s="24">
        <f>IF(W152&gt;0,ROUND(ROUND(W152*100,0)*ROUND(U$7*10000,0)/12000000,0)/100,0)</f>
        <v>0</v>
      </c>
      <c r="W153" s="24">
        <f>IF(W152&gt;0,ROUND(W152+V153-U153,2),0)</f>
        <v>0</v>
      </c>
      <c r="X153" s="24">
        <f>IF(W152&gt;0,ROUND(X152+ROUND(ROUND(X152*100,0)*ROUND(U$7*10000,0)/12000000,0)/100+0.02,2),0)</f>
        <v>0</v>
      </c>
      <c r="Y153" s="24">
        <f>IF(AA152&gt;0,IF(AND(ROUND(AA152+Z153-ROUND(Y$6+IF(Y$5=$C153,$E$5+$E153,0),2),2)&gt;0,ROUND(AA152+Z153-ROUND(Y$6+IF(Y$5=$C153,$E$5+$E153,0),2),2)&lt;=AB153,ROUND(AA152+Z153-ROUND(Y$6+IF(Y$5=$C153,$E$5+$E153,0),2),2)*10&lt;=ROUND(Y$6+IF(Y$5=$C153,$E$5+$E153,0),2)),ROUND(AA152+Z153,2),MIN(ROUND(Y$6+IF(Y$5=$C153,$E$5+$E153,0),2),ROUND(AA152+Z153,2))),0)</f>
        <v>0</v>
      </c>
      <c r="Z153" s="24">
        <f>IF(AA152&gt;0,ROUND(ROUND(AA152*100,0)*ROUND(Y$7*10000,0)/12000000,0)/100,0)</f>
        <v>0</v>
      </c>
      <c r="AA153" s="24">
        <f>IF(AA152&gt;0,ROUND(AA152+Z153-Y153,2),0)</f>
        <v>0</v>
      </c>
      <c r="AB153" s="24">
        <f>IF(AA152&gt;0,ROUND(AB152+ROUND(ROUND(AB152*100,0)*ROUND(Y$7*10000,0)/12000000,0)/100+0.02,2),0)</f>
        <v>0</v>
      </c>
      <c r="AC153" s="24">
        <f>IF(AE152&gt;0,IF(AND(ROUND(AE152+AD153-ROUND(AC$6+IF(AC$5=$C153,$E$5+$E153,0),2),2)&gt;0,ROUND(AE152+AD153-ROUND(AC$6+IF(AC$5=$C153,$E$5+$E153,0),2),2)&lt;=AF153,ROUND(AE152+AD153-ROUND(AC$6+IF(AC$5=$C153,$E$5+$E153,0),2),2)*10&lt;=ROUND(AC$6+IF(AC$5=$C153,$E$5+$E153,0),2)),ROUND(AE152+AD153,2),MIN(ROUND(AC$6+IF(AC$5=$C153,$E$5+$E153,0),2),ROUND(AE152+AD153,2))),0)</f>
        <v>0</v>
      </c>
      <c r="AD153" s="24">
        <f>IF(AE152&gt;0,ROUND(ROUND(AE152*100,0)*ROUND(AC$7*10000,0)/12000000,0)/100,0)</f>
        <v>0</v>
      </c>
      <c r="AE153" s="24">
        <f>IF(AE152&gt;0,ROUND(AE152+AD153-AC153,2),0)</f>
        <v>0</v>
      </c>
      <c r="AF153" s="24">
        <f>IF(AE152&gt;0,ROUND(AF152+ROUND(ROUND(AF152*100,0)*ROUND(AC$7*10000,0)/12000000,0)/100+0.02,2),0)</f>
        <v>0</v>
      </c>
      <c r="AG153" s="24">
        <f>IF(AI152&gt;0,IF(AND(ROUND(AI152+AH153-ROUND(AG$6+IF(AG$5=$C153,$E$5+$E153,0),2),2)&gt;0,ROUND(AI152+AH153-ROUND(AG$6+IF(AG$5=$C153,$E$5+$E153,0),2),2)&lt;=AJ153,ROUND(AI152+AH153-ROUND(AG$6+IF(AG$5=$C153,$E$5+$E153,0),2),2)*10&lt;=ROUND(AG$6+IF(AG$5=$C153,$E$5+$E153,0),2)),ROUND(AI152+AH153,2),MIN(ROUND(AG$6+IF(AG$5=$C153,$E$5+$E153,0),2),ROUND(AI152+AH153,2))),0)</f>
        <v>0</v>
      </c>
      <c r="AH153" s="24">
        <f>IF(AI152&gt;0,ROUND(ROUND(AI152*100,0)*ROUND(AG$7*10000,0)/12000000,0)/100,0)</f>
        <v>0</v>
      </c>
      <c r="AI153" s="24">
        <f>IF(AI152&gt;0,ROUND(AI152+AH153-AG153,2),0)</f>
        <v>0</v>
      </c>
      <c r="AJ153" s="24">
        <f>IF(AI152&gt;0,ROUND(AJ152+ROUND(ROUND(AJ152*100,0)*ROUND(AG$7*10000,0)/12000000,0)/100+0.02,2),0)</f>
        <v>0</v>
      </c>
      <c r="AK153" s="24">
        <f>IF(AM152&gt;0,IF(AND(ROUND(AM152+AL153-ROUND(AK$6+IF(AK$5=$C153,$E$5+$E153,0),2),2)&gt;0,ROUND(AM152+AL153-ROUND(AK$6+IF(AK$5=$C153,$E$5+$E153,0),2),2)&lt;=AN153,ROUND(AM152+AL153-ROUND(AK$6+IF(AK$5=$C153,$E$5+$E153,0),2),2)*10&lt;=ROUND(AK$6+IF(AK$5=$C153,$E$5+$E153,0),2)),ROUND(AM152+AL153,2),MIN(ROUND(AK$6+IF(AK$5=$C153,$E$5+$E153,0),2),ROUND(AM152+AL153,2))),0)</f>
        <v>0</v>
      </c>
      <c r="AL153" s="24">
        <f>IF(AM152&gt;0,ROUND(ROUND(AM152*100,0)*ROUND(AK$7*10000,0)/12000000,0)/100,0)</f>
        <v>0</v>
      </c>
      <c r="AM153" s="24">
        <f>IF(AM152&gt;0,ROUND(AM152+AL153-AK153,2),0)</f>
        <v>0</v>
      </c>
      <c r="AN153" s="24">
        <f>IF(AM152&gt;0,ROUND(AN152+ROUND(ROUND(AN152*100,0)*ROUND(AK$7*10000,0)/12000000,0)/100+0.02,2),0)</f>
        <v>0</v>
      </c>
      <c r="AO153" s="24">
        <f>IF(AQ152&gt;0,IF(AND(ROUND(AQ152+AP153-ROUND(AO$6+IF(AO$5=$C153,$E$5+$E153,0),2),2)&gt;0,ROUND(AQ152+AP153-ROUND(AO$6+IF(AO$5=$C153,$E$5+$E153,0),2),2)&lt;=AR153,ROUND(AQ152+AP153-ROUND(AO$6+IF(AO$5=$C153,$E$5+$E153,0),2),2)*10&lt;=ROUND(AO$6+IF(AO$5=$C153,$E$5+$E153,0),2)),ROUND(AQ152+AP153,2),MIN(ROUND(AO$6+IF(AO$5=$C153,$E$5+$E153,0),2),ROUND(AQ152+AP153,2))),0)</f>
        <v>0</v>
      </c>
      <c r="AP153" s="24">
        <f>IF(AQ152&gt;0,ROUND(ROUND(AQ152*100,0)*ROUND(AO$7*10000,0)/12000000,0)/100,0)</f>
        <v>0</v>
      </c>
      <c r="AQ153" s="24">
        <f>IF(AQ152&gt;0,ROUND(AQ152+AP153-AO153,2),0)</f>
        <v>0</v>
      </c>
      <c r="AR153" s="24">
        <f>IF(AQ152&gt;0,ROUND(AR152+ROUND(ROUND(AR152*100,0)*ROUND(AO$7*10000,0)/12000000,0)/100+0.02,2),0)</f>
        <v>0</v>
      </c>
      <c r="AS153" s="24">
        <f>IF(AU152&gt;0,IF(AND(ROUND(AU152+AT153-ROUND(AS$6+IF(AS$5=$C153,$E$5+$E153,0),2),2)&gt;0,ROUND(AU152+AT153-ROUND(AS$6+IF(AS$5=$C153,$E$5+$E153,0),2),2)&lt;=AV153,ROUND(AU152+AT153-ROUND(AS$6+IF(AS$5=$C153,$E$5+$E153,0),2),2)*10&lt;=ROUND(AS$6+IF(AS$5=$C153,$E$5+$E153,0),2)),ROUND(AU152+AT153,2),MIN(ROUND(AS$6+IF(AS$5=$C153,$E$5+$E153,0),2),ROUND(AU152+AT153,2))),0)</f>
        <v>0</v>
      </c>
      <c r="AT153" s="24">
        <f>IF(AU152&gt;0,ROUND(ROUND(AU152*100,0)*ROUND(AS$7*10000,0)/12000000,0)/100,0)</f>
        <v>0</v>
      </c>
      <c r="AU153" s="24">
        <f>IF(AU152&gt;0,ROUND(AU152+AT153-AS153,2),0)</f>
        <v>0</v>
      </c>
      <c r="AV153" s="24">
        <f>IF(AU152&gt;0,ROUND(AV152+ROUND(ROUND(AV152*100,0)*ROUND(AS$7*10000,0)/12000000,0)/100+0.02,2),0)</f>
        <v>0</v>
      </c>
    </row>
    <row r="154" spans="1:48" x14ac:dyDescent="0.25">
      <c r="A154" s="17" t="str">
        <f>IF(F154&gt;0,144,"")</f>
        <v/>
      </c>
      <c r="B154" s="18" t="str">
        <f>IF(F154&gt;0,EDATE($E$6,144),"")</f>
        <v/>
      </c>
      <c r="C154" s="21">
        <f>IF(H153&gt;0,MIN(IF(K153&gt;0,I$5,99),IF(O153&gt;0,M$5,99),IF(S153&gt;0,Q$5,99),IF(W153&gt;0,U$5,99),IF(AA153&gt;0,Y$5,99),IF(AE153&gt;0,AC$5,99),IF(AI153&gt;0,AG$5,99),IF(AM153&gt;0,AK$5,99),IF(AQ153&gt;0,AO$5,99),IF(AU153&gt;0,AS$5,99)),0)</f>
        <v>0</v>
      </c>
      <c r="D154" t="str">
        <f>IF(C154&gt;0,INDEX($I$4:$AV$4,1,MATCH(C154,$I$5:$AV$5,0)),"")</f>
        <v/>
      </c>
      <c r="E154" s="24">
        <f>ROUND(IF(AND(I$8&gt;0,K153=0),I$6,0)+IF(AND(M$8&gt;0,O153=0),M$6,0)+IF(AND(Q$8&gt;0,S153=0),Q$6,0)+IF(AND(U$8&gt;0,W153=0),U$6,0)+IF(AND(Y$8&gt;0,AA153=0),Y$6,0)+IF(AND(AC$8&gt;0,AE153=0),AC$6,0)+IF(AND(AG$8&gt;0,AI153=0),AG$6,0)+IF(AND(AK$8&gt;0,AM153=0),AK$6,0)+IF(AND(AO$8&gt;0,AQ153=0),AO$6,0)+IF(AND(AS$8&gt;0,AU153=0),AS$6,0),2)</f>
        <v>325</v>
      </c>
      <c r="F154" s="24">
        <f>ROUND(I154+M154+Q154+U154+Y154+AC154+AG154+AK154+AO154+AS154,2)</f>
        <v>0</v>
      </c>
      <c r="G154" s="24">
        <f>ROUND(J154+N154+R154+V154+Z154+AD154+AH154+AL154+AP154+AT154,2)</f>
        <v>0</v>
      </c>
      <c r="H154" s="24">
        <f>ROUND(K154+O154+S154+W154+AA154+AE154+AI154+AM154+AQ154+AU154,2)</f>
        <v>0</v>
      </c>
      <c r="I154" s="24">
        <f>IF(K153&gt;0,IF(AND(ROUND(K153+J154-ROUND(I$6+IF(I$5=$C154,$E$5+$E154,0),2),2)&gt;0,ROUND(K153+J154-ROUND(I$6+IF(I$5=$C154,$E$5+$E154,0),2),2)&lt;=L154,ROUND(K153+J154-ROUND(I$6+IF(I$5=$C154,$E$5+$E154,0),2),2)*10&lt;=ROUND(I$6+IF(I$5=$C154,$E$5+$E154,0),2)),ROUND(K153+J154,2),MIN(ROUND(I$6+IF(I$5=$C154,$E$5+$E154,0),2),ROUND(K153+J154,2))),0)</f>
        <v>0</v>
      </c>
      <c r="J154" s="24">
        <f>IF(K153&gt;0,ROUND(ROUND(K153*100,0)*ROUND(I$7*10000,0)/12000000,0)/100,0)</f>
        <v>0</v>
      </c>
      <c r="K154" s="24">
        <f>IF(K153&gt;0,ROUND(K153+J154-I154,2),0)</f>
        <v>0</v>
      </c>
      <c r="L154" s="24">
        <f>IF(K153&gt;0,ROUND(L153+ROUND(ROUND(L153*100,0)*ROUND(I$7*10000,0)/12000000,0)/100+0.02,2),0)</f>
        <v>0</v>
      </c>
      <c r="M154" s="24">
        <f>IF(O153&gt;0,IF(AND(ROUND(O153+N154-ROUND(M$6+IF(M$5=$C154,$E$5+$E154,0),2),2)&gt;0,ROUND(O153+N154-ROUND(M$6+IF(M$5=$C154,$E$5+$E154,0),2),2)&lt;=P154,ROUND(O153+N154-ROUND(M$6+IF(M$5=$C154,$E$5+$E154,0),2),2)*10&lt;=ROUND(M$6+IF(M$5=$C154,$E$5+$E154,0),2)),ROUND(O153+N154,2),MIN(ROUND(M$6+IF(M$5=$C154,$E$5+$E154,0),2),ROUND(O153+N154,2))),0)</f>
        <v>0</v>
      </c>
      <c r="N154" s="24">
        <f>IF(O153&gt;0,ROUND(ROUND(O153*100,0)*ROUND(M$7*10000,0)/12000000,0)/100,0)</f>
        <v>0</v>
      </c>
      <c r="O154" s="24">
        <f>IF(O153&gt;0,ROUND(O153+N154-M154,2),0)</f>
        <v>0</v>
      </c>
      <c r="P154" s="24">
        <f>IF(O153&gt;0,ROUND(P153+ROUND(ROUND(P153*100,0)*ROUND(M$7*10000,0)/12000000,0)/100+0.02,2),0)</f>
        <v>0</v>
      </c>
      <c r="Q154" s="24">
        <f>IF(S153&gt;0,IF(AND(ROUND(S153+R154-ROUND(Q$6+IF(Q$5=$C154,$E$5+$E154,0),2),2)&gt;0,ROUND(S153+R154-ROUND(Q$6+IF(Q$5=$C154,$E$5+$E154,0),2),2)&lt;=T154,ROUND(S153+R154-ROUND(Q$6+IF(Q$5=$C154,$E$5+$E154,0),2),2)*10&lt;=ROUND(Q$6+IF(Q$5=$C154,$E$5+$E154,0),2)),ROUND(S153+R154,2),MIN(ROUND(Q$6+IF(Q$5=$C154,$E$5+$E154,0),2),ROUND(S153+R154,2))),0)</f>
        <v>0</v>
      </c>
      <c r="R154" s="24">
        <f>IF(S153&gt;0,ROUND(ROUND(S153*100,0)*ROUND(Q$7*10000,0)/12000000,0)/100,0)</f>
        <v>0</v>
      </c>
      <c r="S154" s="24">
        <f>IF(S153&gt;0,ROUND(S153+R154-Q154,2),0)</f>
        <v>0</v>
      </c>
      <c r="T154" s="24">
        <f>IF(S153&gt;0,ROUND(T153+ROUND(ROUND(T153*100,0)*ROUND(Q$7*10000,0)/12000000,0)/100+0.02,2),0)</f>
        <v>0</v>
      </c>
      <c r="U154" s="24">
        <f>IF(W153&gt;0,IF(AND(ROUND(W153+V154-ROUND(U$6+IF(U$5=$C154,$E$5+$E154,0),2),2)&gt;0,ROUND(W153+V154-ROUND(U$6+IF(U$5=$C154,$E$5+$E154,0),2),2)&lt;=X154,ROUND(W153+V154-ROUND(U$6+IF(U$5=$C154,$E$5+$E154,0),2),2)*10&lt;=ROUND(U$6+IF(U$5=$C154,$E$5+$E154,0),2)),ROUND(W153+V154,2),MIN(ROUND(U$6+IF(U$5=$C154,$E$5+$E154,0),2),ROUND(W153+V154,2))),0)</f>
        <v>0</v>
      </c>
      <c r="V154" s="24">
        <f>IF(W153&gt;0,ROUND(ROUND(W153*100,0)*ROUND(U$7*10000,0)/12000000,0)/100,0)</f>
        <v>0</v>
      </c>
      <c r="W154" s="24">
        <f>IF(W153&gt;0,ROUND(W153+V154-U154,2),0)</f>
        <v>0</v>
      </c>
      <c r="X154" s="24">
        <f>IF(W153&gt;0,ROUND(X153+ROUND(ROUND(X153*100,0)*ROUND(U$7*10000,0)/12000000,0)/100+0.02,2),0)</f>
        <v>0</v>
      </c>
      <c r="Y154" s="24">
        <f>IF(AA153&gt;0,IF(AND(ROUND(AA153+Z154-ROUND(Y$6+IF(Y$5=$C154,$E$5+$E154,0),2),2)&gt;0,ROUND(AA153+Z154-ROUND(Y$6+IF(Y$5=$C154,$E$5+$E154,0),2),2)&lt;=AB154,ROUND(AA153+Z154-ROUND(Y$6+IF(Y$5=$C154,$E$5+$E154,0),2),2)*10&lt;=ROUND(Y$6+IF(Y$5=$C154,$E$5+$E154,0),2)),ROUND(AA153+Z154,2),MIN(ROUND(Y$6+IF(Y$5=$C154,$E$5+$E154,0),2),ROUND(AA153+Z154,2))),0)</f>
        <v>0</v>
      </c>
      <c r="Z154" s="24">
        <f>IF(AA153&gt;0,ROUND(ROUND(AA153*100,0)*ROUND(Y$7*10000,0)/12000000,0)/100,0)</f>
        <v>0</v>
      </c>
      <c r="AA154" s="24">
        <f>IF(AA153&gt;0,ROUND(AA153+Z154-Y154,2),0)</f>
        <v>0</v>
      </c>
      <c r="AB154" s="24">
        <f>IF(AA153&gt;0,ROUND(AB153+ROUND(ROUND(AB153*100,0)*ROUND(Y$7*10000,0)/12000000,0)/100+0.02,2),0)</f>
        <v>0</v>
      </c>
      <c r="AC154" s="24">
        <f>IF(AE153&gt;0,IF(AND(ROUND(AE153+AD154-ROUND(AC$6+IF(AC$5=$C154,$E$5+$E154,0),2),2)&gt;0,ROUND(AE153+AD154-ROUND(AC$6+IF(AC$5=$C154,$E$5+$E154,0),2),2)&lt;=AF154,ROUND(AE153+AD154-ROUND(AC$6+IF(AC$5=$C154,$E$5+$E154,0),2),2)*10&lt;=ROUND(AC$6+IF(AC$5=$C154,$E$5+$E154,0),2)),ROUND(AE153+AD154,2),MIN(ROUND(AC$6+IF(AC$5=$C154,$E$5+$E154,0),2),ROUND(AE153+AD154,2))),0)</f>
        <v>0</v>
      </c>
      <c r="AD154" s="24">
        <f>IF(AE153&gt;0,ROUND(ROUND(AE153*100,0)*ROUND(AC$7*10000,0)/12000000,0)/100,0)</f>
        <v>0</v>
      </c>
      <c r="AE154" s="24">
        <f>IF(AE153&gt;0,ROUND(AE153+AD154-AC154,2),0)</f>
        <v>0</v>
      </c>
      <c r="AF154" s="24">
        <f>IF(AE153&gt;0,ROUND(AF153+ROUND(ROUND(AF153*100,0)*ROUND(AC$7*10000,0)/12000000,0)/100+0.02,2),0)</f>
        <v>0</v>
      </c>
      <c r="AG154" s="24">
        <f>IF(AI153&gt;0,IF(AND(ROUND(AI153+AH154-ROUND(AG$6+IF(AG$5=$C154,$E$5+$E154,0),2),2)&gt;0,ROUND(AI153+AH154-ROUND(AG$6+IF(AG$5=$C154,$E$5+$E154,0),2),2)&lt;=AJ154,ROUND(AI153+AH154-ROUND(AG$6+IF(AG$5=$C154,$E$5+$E154,0),2),2)*10&lt;=ROUND(AG$6+IF(AG$5=$C154,$E$5+$E154,0),2)),ROUND(AI153+AH154,2),MIN(ROUND(AG$6+IF(AG$5=$C154,$E$5+$E154,0),2),ROUND(AI153+AH154,2))),0)</f>
        <v>0</v>
      </c>
      <c r="AH154" s="24">
        <f>IF(AI153&gt;0,ROUND(ROUND(AI153*100,0)*ROUND(AG$7*10000,0)/12000000,0)/100,0)</f>
        <v>0</v>
      </c>
      <c r="AI154" s="24">
        <f>IF(AI153&gt;0,ROUND(AI153+AH154-AG154,2),0)</f>
        <v>0</v>
      </c>
      <c r="AJ154" s="24">
        <f>IF(AI153&gt;0,ROUND(AJ153+ROUND(ROUND(AJ153*100,0)*ROUND(AG$7*10000,0)/12000000,0)/100+0.02,2),0)</f>
        <v>0</v>
      </c>
      <c r="AK154" s="24">
        <f>IF(AM153&gt;0,IF(AND(ROUND(AM153+AL154-ROUND(AK$6+IF(AK$5=$C154,$E$5+$E154,0),2),2)&gt;0,ROUND(AM153+AL154-ROUND(AK$6+IF(AK$5=$C154,$E$5+$E154,0),2),2)&lt;=AN154,ROUND(AM153+AL154-ROUND(AK$6+IF(AK$5=$C154,$E$5+$E154,0),2),2)*10&lt;=ROUND(AK$6+IF(AK$5=$C154,$E$5+$E154,0),2)),ROUND(AM153+AL154,2),MIN(ROUND(AK$6+IF(AK$5=$C154,$E$5+$E154,0),2),ROUND(AM153+AL154,2))),0)</f>
        <v>0</v>
      </c>
      <c r="AL154" s="24">
        <f>IF(AM153&gt;0,ROUND(ROUND(AM153*100,0)*ROUND(AK$7*10000,0)/12000000,0)/100,0)</f>
        <v>0</v>
      </c>
      <c r="AM154" s="24">
        <f>IF(AM153&gt;0,ROUND(AM153+AL154-AK154,2),0)</f>
        <v>0</v>
      </c>
      <c r="AN154" s="24">
        <f>IF(AM153&gt;0,ROUND(AN153+ROUND(ROUND(AN153*100,0)*ROUND(AK$7*10000,0)/12000000,0)/100+0.02,2),0)</f>
        <v>0</v>
      </c>
      <c r="AO154" s="24">
        <f>IF(AQ153&gt;0,IF(AND(ROUND(AQ153+AP154-ROUND(AO$6+IF(AO$5=$C154,$E$5+$E154,0),2),2)&gt;0,ROUND(AQ153+AP154-ROUND(AO$6+IF(AO$5=$C154,$E$5+$E154,0),2),2)&lt;=AR154,ROUND(AQ153+AP154-ROUND(AO$6+IF(AO$5=$C154,$E$5+$E154,0),2),2)*10&lt;=ROUND(AO$6+IF(AO$5=$C154,$E$5+$E154,0),2)),ROUND(AQ153+AP154,2),MIN(ROUND(AO$6+IF(AO$5=$C154,$E$5+$E154,0),2),ROUND(AQ153+AP154,2))),0)</f>
        <v>0</v>
      </c>
      <c r="AP154" s="24">
        <f>IF(AQ153&gt;0,ROUND(ROUND(AQ153*100,0)*ROUND(AO$7*10000,0)/12000000,0)/100,0)</f>
        <v>0</v>
      </c>
      <c r="AQ154" s="24">
        <f>IF(AQ153&gt;0,ROUND(AQ153+AP154-AO154,2),0)</f>
        <v>0</v>
      </c>
      <c r="AR154" s="24">
        <f>IF(AQ153&gt;0,ROUND(AR153+ROUND(ROUND(AR153*100,0)*ROUND(AO$7*10000,0)/12000000,0)/100+0.02,2),0)</f>
        <v>0</v>
      </c>
      <c r="AS154" s="24">
        <f>IF(AU153&gt;0,IF(AND(ROUND(AU153+AT154-ROUND(AS$6+IF(AS$5=$C154,$E$5+$E154,0),2),2)&gt;0,ROUND(AU153+AT154-ROUND(AS$6+IF(AS$5=$C154,$E$5+$E154,0),2),2)&lt;=AV154,ROUND(AU153+AT154-ROUND(AS$6+IF(AS$5=$C154,$E$5+$E154,0),2),2)*10&lt;=ROUND(AS$6+IF(AS$5=$C154,$E$5+$E154,0),2)),ROUND(AU153+AT154,2),MIN(ROUND(AS$6+IF(AS$5=$C154,$E$5+$E154,0),2),ROUND(AU153+AT154,2))),0)</f>
        <v>0</v>
      </c>
      <c r="AT154" s="24">
        <f>IF(AU153&gt;0,ROUND(ROUND(AU153*100,0)*ROUND(AS$7*10000,0)/12000000,0)/100,0)</f>
        <v>0</v>
      </c>
      <c r="AU154" s="24">
        <f>IF(AU153&gt;0,ROUND(AU153+AT154-AS154,2),0)</f>
        <v>0</v>
      </c>
      <c r="AV154" s="24">
        <f>IF(AU153&gt;0,ROUND(AV153+ROUND(ROUND(AV153*100,0)*ROUND(AS$7*10000,0)/12000000,0)/100+0.02,2),0)</f>
        <v>0</v>
      </c>
    </row>
    <row r="155" spans="1:48" x14ac:dyDescent="0.25">
      <c r="A155" s="17" t="str">
        <f>IF(F155&gt;0,145,"")</f>
        <v/>
      </c>
      <c r="B155" s="18" t="str">
        <f>IF(F155&gt;0,EDATE($E$6,145),"")</f>
        <v/>
      </c>
      <c r="C155" s="21">
        <f>IF(H154&gt;0,MIN(IF(K154&gt;0,I$5,99),IF(O154&gt;0,M$5,99),IF(S154&gt;0,Q$5,99),IF(W154&gt;0,U$5,99),IF(AA154&gt;0,Y$5,99),IF(AE154&gt;0,AC$5,99),IF(AI154&gt;0,AG$5,99),IF(AM154&gt;0,AK$5,99),IF(AQ154&gt;0,AO$5,99),IF(AU154&gt;0,AS$5,99)),0)</f>
        <v>0</v>
      </c>
      <c r="D155" t="str">
        <f>IF(C155&gt;0,INDEX($I$4:$AV$4,1,MATCH(C155,$I$5:$AV$5,0)),"")</f>
        <v/>
      </c>
      <c r="E155" s="24">
        <f>ROUND(IF(AND(I$8&gt;0,K154=0),I$6,0)+IF(AND(M$8&gt;0,O154=0),M$6,0)+IF(AND(Q$8&gt;0,S154=0),Q$6,0)+IF(AND(U$8&gt;0,W154=0),U$6,0)+IF(AND(Y$8&gt;0,AA154=0),Y$6,0)+IF(AND(AC$8&gt;0,AE154=0),AC$6,0)+IF(AND(AG$8&gt;0,AI154=0),AG$6,0)+IF(AND(AK$8&gt;0,AM154=0),AK$6,0)+IF(AND(AO$8&gt;0,AQ154=0),AO$6,0)+IF(AND(AS$8&gt;0,AU154=0),AS$6,0),2)</f>
        <v>325</v>
      </c>
      <c r="F155" s="24">
        <f>ROUND(I155+M155+Q155+U155+Y155+AC155+AG155+AK155+AO155+AS155,2)</f>
        <v>0</v>
      </c>
      <c r="G155" s="24">
        <f>ROUND(J155+N155+R155+V155+Z155+AD155+AH155+AL155+AP155+AT155,2)</f>
        <v>0</v>
      </c>
      <c r="H155" s="24">
        <f>ROUND(K155+O155+S155+W155+AA155+AE155+AI155+AM155+AQ155+AU155,2)</f>
        <v>0</v>
      </c>
      <c r="I155" s="24">
        <f>IF(K154&gt;0,IF(AND(ROUND(K154+J155-ROUND(I$6+IF(I$5=$C155,$E$5+$E155,0),2),2)&gt;0,ROUND(K154+J155-ROUND(I$6+IF(I$5=$C155,$E$5+$E155,0),2),2)&lt;=L155,ROUND(K154+J155-ROUND(I$6+IF(I$5=$C155,$E$5+$E155,0),2),2)*10&lt;=ROUND(I$6+IF(I$5=$C155,$E$5+$E155,0),2)),ROUND(K154+J155,2),MIN(ROUND(I$6+IF(I$5=$C155,$E$5+$E155,0),2),ROUND(K154+J155,2))),0)</f>
        <v>0</v>
      </c>
      <c r="J155" s="24">
        <f>IF(K154&gt;0,ROUND(ROUND(K154*100,0)*ROUND(I$7*10000,0)/12000000,0)/100,0)</f>
        <v>0</v>
      </c>
      <c r="K155" s="24">
        <f>IF(K154&gt;0,ROUND(K154+J155-I155,2),0)</f>
        <v>0</v>
      </c>
      <c r="L155" s="24">
        <f>IF(K154&gt;0,ROUND(L154+ROUND(ROUND(L154*100,0)*ROUND(I$7*10000,0)/12000000,0)/100+0.02,2),0)</f>
        <v>0</v>
      </c>
      <c r="M155" s="24">
        <f>IF(O154&gt;0,IF(AND(ROUND(O154+N155-ROUND(M$6+IF(M$5=$C155,$E$5+$E155,0),2),2)&gt;0,ROUND(O154+N155-ROUND(M$6+IF(M$5=$C155,$E$5+$E155,0),2),2)&lt;=P155,ROUND(O154+N155-ROUND(M$6+IF(M$5=$C155,$E$5+$E155,0),2),2)*10&lt;=ROUND(M$6+IF(M$5=$C155,$E$5+$E155,0),2)),ROUND(O154+N155,2),MIN(ROUND(M$6+IF(M$5=$C155,$E$5+$E155,0),2),ROUND(O154+N155,2))),0)</f>
        <v>0</v>
      </c>
      <c r="N155" s="24">
        <f>IF(O154&gt;0,ROUND(ROUND(O154*100,0)*ROUND(M$7*10000,0)/12000000,0)/100,0)</f>
        <v>0</v>
      </c>
      <c r="O155" s="24">
        <f>IF(O154&gt;0,ROUND(O154+N155-M155,2),0)</f>
        <v>0</v>
      </c>
      <c r="P155" s="24">
        <f>IF(O154&gt;0,ROUND(P154+ROUND(ROUND(P154*100,0)*ROUND(M$7*10000,0)/12000000,0)/100+0.02,2),0)</f>
        <v>0</v>
      </c>
      <c r="Q155" s="24">
        <f>IF(S154&gt;0,IF(AND(ROUND(S154+R155-ROUND(Q$6+IF(Q$5=$C155,$E$5+$E155,0),2),2)&gt;0,ROUND(S154+R155-ROUND(Q$6+IF(Q$5=$C155,$E$5+$E155,0),2),2)&lt;=T155,ROUND(S154+R155-ROUND(Q$6+IF(Q$5=$C155,$E$5+$E155,0),2),2)*10&lt;=ROUND(Q$6+IF(Q$5=$C155,$E$5+$E155,0),2)),ROUND(S154+R155,2),MIN(ROUND(Q$6+IF(Q$5=$C155,$E$5+$E155,0),2),ROUND(S154+R155,2))),0)</f>
        <v>0</v>
      </c>
      <c r="R155" s="24">
        <f>IF(S154&gt;0,ROUND(ROUND(S154*100,0)*ROUND(Q$7*10000,0)/12000000,0)/100,0)</f>
        <v>0</v>
      </c>
      <c r="S155" s="24">
        <f>IF(S154&gt;0,ROUND(S154+R155-Q155,2),0)</f>
        <v>0</v>
      </c>
      <c r="T155" s="24">
        <f>IF(S154&gt;0,ROUND(T154+ROUND(ROUND(T154*100,0)*ROUND(Q$7*10000,0)/12000000,0)/100+0.02,2),0)</f>
        <v>0</v>
      </c>
      <c r="U155" s="24">
        <f>IF(W154&gt;0,IF(AND(ROUND(W154+V155-ROUND(U$6+IF(U$5=$C155,$E$5+$E155,0),2),2)&gt;0,ROUND(W154+V155-ROUND(U$6+IF(U$5=$C155,$E$5+$E155,0),2),2)&lt;=X155,ROUND(W154+V155-ROUND(U$6+IF(U$5=$C155,$E$5+$E155,0),2),2)*10&lt;=ROUND(U$6+IF(U$5=$C155,$E$5+$E155,0),2)),ROUND(W154+V155,2),MIN(ROUND(U$6+IF(U$5=$C155,$E$5+$E155,0),2),ROUND(W154+V155,2))),0)</f>
        <v>0</v>
      </c>
      <c r="V155" s="24">
        <f>IF(W154&gt;0,ROUND(ROUND(W154*100,0)*ROUND(U$7*10000,0)/12000000,0)/100,0)</f>
        <v>0</v>
      </c>
      <c r="W155" s="24">
        <f>IF(W154&gt;0,ROUND(W154+V155-U155,2),0)</f>
        <v>0</v>
      </c>
      <c r="X155" s="24">
        <f>IF(W154&gt;0,ROUND(X154+ROUND(ROUND(X154*100,0)*ROUND(U$7*10000,0)/12000000,0)/100+0.02,2),0)</f>
        <v>0</v>
      </c>
      <c r="Y155" s="24">
        <f>IF(AA154&gt;0,IF(AND(ROUND(AA154+Z155-ROUND(Y$6+IF(Y$5=$C155,$E$5+$E155,0),2),2)&gt;0,ROUND(AA154+Z155-ROUND(Y$6+IF(Y$5=$C155,$E$5+$E155,0),2),2)&lt;=AB155,ROUND(AA154+Z155-ROUND(Y$6+IF(Y$5=$C155,$E$5+$E155,0),2),2)*10&lt;=ROUND(Y$6+IF(Y$5=$C155,$E$5+$E155,0),2)),ROUND(AA154+Z155,2),MIN(ROUND(Y$6+IF(Y$5=$C155,$E$5+$E155,0),2),ROUND(AA154+Z155,2))),0)</f>
        <v>0</v>
      </c>
      <c r="Z155" s="24">
        <f>IF(AA154&gt;0,ROUND(ROUND(AA154*100,0)*ROUND(Y$7*10000,0)/12000000,0)/100,0)</f>
        <v>0</v>
      </c>
      <c r="AA155" s="24">
        <f>IF(AA154&gt;0,ROUND(AA154+Z155-Y155,2),0)</f>
        <v>0</v>
      </c>
      <c r="AB155" s="24">
        <f>IF(AA154&gt;0,ROUND(AB154+ROUND(ROUND(AB154*100,0)*ROUND(Y$7*10000,0)/12000000,0)/100+0.02,2),0)</f>
        <v>0</v>
      </c>
      <c r="AC155" s="24">
        <f>IF(AE154&gt;0,IF(AND(ROUND(AE154+AD155-ROUND(AC$6+IF(AC$5=$C155,$E$5+$E155,0),2),2)&gt;0,ROUND(AE154+AD155-ROUND(AC$6+IF(AC$5=$C155,$E$5+$E155,0),2),2)&lt;=AF155,ROUND(AE154+AD155-ROUND(AC$6+IF(AC$5=$C155,$E$5+$E155,0),2),2)*10&lt;=ROUND(AC$6+IF(AC$5=$C155,$E$5+$E155,0),2)),ROUND(AE154+AD155,2),MIN(ROUND(AC$6+IF(AC$5=$C155,$E$5+$E155,0),2),ROUND(AE154+AD155,2))),0)</f>
        <v>0</v>
      </c>
      <c r="AD155" s="24">
        <f>IF(AE154&gt;0,ROUND(ROUND(AE154*100,0)*ROUND(AC$7*10000,0)/12000000,0)/100,0)</f>
        <v>0</v>
      </c>
      <c r="AE155" s="24">
        <f>IF(AE154&gt;0,ROUND(AE154+AD155-AC155,2),0)</f>
        <v>0</v>
      </c>
      <c r="AF155" s="24">
        <f>IF(AE154&gt;0,ROUND(AF154+ROUND(ROUND(AF154*100,0)*ROUND(AC$7*10000,0)/12000000,0)/100+0.02,2),0)</f>
        <v>0</v>
      </c>
      <c r="AG155" s="24">
        <f>IF(AI154&gt;0,IF(AND(ROUND(AI154+AH155-ROUND(AG$6+IF(AG$5=$C155,$E$5+$E155,0),2),2)&gt;0,ROUND(AI154+AH155-ROUND(AG$6+IF(AG$5=$C155,$E$5+$E155,0),2),2)&lt;=AJ155,ROUND(AI154+AH155-ROUND(AG$6+IF(AG$5=$C155,$E$5+$E155,0),2),2)*10&lt;=ROUND(AG$6+IF(AG$5=$C155,$E$5+$E155,0),2)),ROUND(AI154+AH155,2),MIN(ROUND(AG$6+IF(AG$5=$C155,$E$5+$E155,0),2),ROUND(AI154+AH155,2))),0)</f>
        <v>0</v>
      </c>
      <c r="AH155" s="24">
        <f>IF(AI154&gt;0,ROUND(ROUND(AI154*100,0)*ROUND(AG$7*10000,0)/12000000,0)/100,0)</f>
        <v>0</v>
      </c>
      <c r="AI155" s="24">
        <f>IF(AI154&gt;0,ROUND(AI154+AH155-AG155,2),0)</f>
        <v>0</v>
      </c>
      <c r="AJ155" s="24">
        <f>IF(AI154&gt;0,ROUND(AJ154+ROUND(ROUND(AJ154*100,0)*ROUND(AG$7*10000,0)/12000000,0)/100+0.02,2),0)</f>
        <v>0</v>
      </c>
      <c r="AK155" s="24">
        <f>IF(AM154&gt;0,IF(AND(ROUND(AM154+AL155-ROUND(AK$6+IF(AK$5=$C155,$E$5+$E155,0),2),2)&gt;0,ROUND(AM154+AL155-ROUND(AK$6+IF(AK$5=$C155,$E$5+$E155,0),2),2)&lt;=AN155,ROUND(AM154+AL155-ROUND(AK$6+IF(AK$5=$C155,$E$5+$E155,0),2),2)*10&lt;=ROUND(AK$6+IF(AK$5=$C155,$E$5+$E155,0),2)),ROUND(AM154+AL155,2),MIN(ROUND(AK$6+IF(AK$5=$C155,$E$5+$E155,0),2),ROUND(AM154+AL155,2))),0)</f>
        <v>0</v>
      </c>
      <c r="AL155" s="24">
        <f>IF(AM154&gt;0,ROUND(ROUND(AM154*100,0)*ROUND(AK$7*10000,0)/12000000,0)/100,0)</f>
        <v>0</v>
      </c>
      <c r="AM155" s="24">
        <f>IF(AM154&gt;0,ROUND(AM154+AL155-AK155,2),0)</f>
        <v>0</v>
      </c>
      <c r="AN155" s="24">
        <f>IF(AM154&gt;0,ROUND(AN154+ROUND(ROUND(AN154*100,0)*ROUND(AK$7*10000,0)/12000000,0)/100+0.02,2),0)</f>
        <v>0</v>
      </c>
      <c r="AO155" s="24">
        <f>IF(AQ154&gt;0,IF(AND(ROUND(AQ154+AP155-ROUND(AO$6+IF(AO$5=$C155,$E$5+$E155,0),2),2)&gt;0,ROUND(AQ154+AP155-ROUND(AO$6+IF(AO$5=$C155,$E$5+$E155,0),2),2)&lt;=AR155,ROUND(AQ154+AP155-ROUND(AO$6+IF(AO$5=$C155,$E$5+$E155,0),2),2)*10&lt;=ROUND(AO$6+IF(AO$5=$C155,$E$5+$E155,0),2)),ROUND(AQ154+AP155,2),MIN(ROUND(AO$6+IF(AO$5=$C155,$E$5+$E155,0),2),ROUND(AQ154+AP155,2))),0)</f>
        <v>0</v>
      </c>
      <c r="AP155" s="24">
        <f>IF(AQ154&gt;0,ROUND(ROUND(AQ154*100,0)*ROUND(AO$7*10000,0)/12000000,0)/100,0)</f>
        <v>0</v>
      </c>
      <c r="AQ155" s="24">
        <f>IF(AQ154&gt;0,ROUND(AQ154+AP155-AO155,2),0)</f>
        <v>0</v>
      </c>
      <c r="AR155" s="24">
        <f>IF(AQ154&gt;0,ROUND(AR154+ROUND(ROUND(AR154*100,0)*ROUND(AO$7*10000,0)/12000000,0)/100+0.02,2),0)</f>
        <v>0</v>
      </c>
      <c r="AS155" s="24">
        <f>IF(AU154&gt;0,IF(AND(ROUND(AU154+AT155-ROUND(AS$6+IF(AS$5=$C155,$E$5+$E155,0),2),2)&gt;0,ROUND(AU154+AT155-ROUND(AS$6+IF(AS$5=$C155,$E$5+$E155,0),2),2)&lt;=AV155,ROUND(AU154+AT155-ROUND(AS$6+IF(AS$5=$C155,$E$5+$E155,0),2),2)*10&lt;=ROUND(AS$6+IF(AS$5=$C155,$E$5+$E155,0),2)),ROUND(AU154+AT155,2),MIN(ROUND(AS$6+IF(AS$5=$C155,$E$5+$E155,0),2),ROUND(AU154+AT155,2))),0)</f>
        <v>0</v>
      </c>
      <c r="AT155" s="24">
        <f>IF(AU154&gt;0,ROUND(ROUND(AU154*100,0)*ROUND(AS$7*10000,0)/12000000,0)/100,0)</f>
        <v>0</v>
      </c>
      <c r="AU155" s="24">
        <f>IF(AU154&gt;0,ROUND(AU154+AT155-AS155,2),0)</f>
        <v>0</v>
      </c>
      <c r="AV155" s="24">
        <f>IF(AU154&gt;0,ROUND(AV154+ROUND(ROUND(AV154*100,0)*ROUND(AS$7*10000,0)/12000000,0)/100+0.02,2),0)</f>
        <v>0</v>
      </c>
    </row>
    <row r="156" spans="1:48" x14ac:dyDescent="0.25">
      <c r="A156" s="17" t="str">
        <f>IF(F156&gt;0,146,"")</f>
        <v/>
      </c>
      <c r="B156" s="18" t="str">
        <f>IF(F156&gt;0,EDATE($E$6,146),"")</f>
        <v/>
      </c>
      <c r="C156" s="21">
        <f>IF(H155&gt;0,MIN(IF(K155&gt;0,I$5,99),IF(O155&gt;0,M$5,99),IF(S155&gt;0,Q$5,99),IF(W155&gt;0,U$5,99),IF(AA155&gt;0,Y$5,99),IF(AE155&gt;0,AC$5,99),IF(AI155&gt;0,AG$5,99),IF(AM155&gt;0,AK$5,99),IF(AQ155&gt;0,AO$5,99),IF(AU155&gt;0,AS$5,99)),0)</f>
        <v>0</v>
      </c>
      <c r="D156" t="str">
        <f>IF(C156&gt;0,INDEX($I$4:$AV$4,1,MATCH(C156,$I$5:$AV$5,0)),"")</f>
        <v/>
      </c>
      <c r="E156" s="24">
        <f>ROUND(IF(AND(I$8&gt;0,K155=0),I$6,0)+IF(AND(M$8&gt;0,O155=0),M$6,0)+IF(AND(Q$8&gt;0,S155=0),Q$6,0)+IF(AND(U$8&gt;0,W155=0),U$6,0)+IF(AND(Y$8&gt;0,AA155=0),Y$6,0)+IF(AND(AC$8&gt;0,AE155=0),AC$6,0)+IF(AND(AG$8&gt;0,AI155=0),AG$6,0)+IF(AND(AK$8&gt;0,AM155=0),AK$6,0)+IF(AND(AO$8&gt;0,AQ155=0),AO$6,0)+IF(AND(AS$8&gt;0,AU155=0),AS$6,0),2)</f>
        <v>325</v>
      </c>
      <c r="F156" s="24">
        <f>ROUND(I156+M156+Q156+U156+Y156+AC156+AG156+AK156+AO156+AS156,2)</f>
        <v>0</v>
      </c>
      <c r="G156" s="24">
        <f>ROUND(J156+N156+R156+V156+Z156+AD156+AH156+AL156+AP156+AT156,2)</f>
        <v>0</v>
      </c>
      <c r="H156" s="24">
        <f>ROUND(K156+O156+S156+W156+AA156+AE156+AI156+AM156+AQ156+AU156,2)</f>
        <v>0</v>
      </c>
      <c r="I156" s="24">
        <f>IF(K155&gt;0,IF(AND(ROUND(K155+J156-ROUND(I$6+IF(I$5=$C156,$E$5+$E156,0),2),2)&gt;0,ROUND(K155+J156-ROUND(I$6+IF(I$5=$C156,$E$5+$E156,0),2),2)&lt;=L156,ROUND(K155+J156-ROUND(I$6+IF(I$5=$C156,$E$5+$E156,0),2),2)*10&lt;=ROUND(I$6+IF(I$5=$C156,$E$5+$E156,0),2)),ROUND(K155+J156,2),MIN(ROUND(I$6+IF(I$5=$C156,$E$5+$E156,0),2),ROUND(K155+J156,2))),0)</f>
        <v>0</v>
      </c>
      <c r="J156" s="24">
        <f>IF(K155&gt;0,ROUND(ROUND(K155*100,0)*ROUND(I$7*10000,0)/12000000,0)/100,0)</f>
        <v>0</v>
      </c>
      <c r="K156" s="24">
        <f>IF(K155&gt;0,ROUND(K155+J156-I156,2),0)</f>
        <v>0</v>
      </c>
      <c r="L156" s="24">
        <f>IF(K155&gt;0,ROUND(L155+ROUND(ROUND(L155*100,0)*ROUND(I$7*10000,0)/12000000,0)/100+0.02,2),0)</f>
        <v>0</v>
      </c>
      <c r="M156" s="24">
        <f>IF(O155&gt;0,IF(AND(ROUND(O155+N156-ROUND(M$6+IF(M$5=$C156,$E$5+$E156,0),2),2)&gt;0,ROUND(O155+N156-ROUND(M$6+IF(M$5=$C156,$E$5+$E156,0),2),2)&lt;=P156,ROUND(O155+N156-ROUND(M$6+IF(M$5=$C156,$E$5+$E156,0),2),2)*10&lt;=ROUND(M$6+IF(M$5=$C156,$E$5+$E156,0),2)),ROUND(O155+N156,2),MIN(ROUND(M$6+IF(M$5=$C156,$E$5+$E156,0),2),ROUND(O155+N156,2))),0)</f>
        <v>0</v>
      </c>
      <c r="N156" s="24">
        <f>IF(O155&gt;0,ROUND(ROUND(O155*100,0)*ROUND(M$7*10000,0)/12000000,0)/100,0)</f>
        <v>0</v>
      </c>
      <c r="O156" s="24">
        <f>IF(O155&gt;0,ROUND(O155+N156-M156,2),0)</f>
        <v>0</v>
      </c>
      <c r="P156" s="24">
        <f>IF(O155&gt;0,ROUND(P155+ROUND(ROUND(P155*100,0)*ROUND(M$7*10000,0)/12000000,0)/100+0.02,2),0)</f>
        <v>0</v>
      </c>
      <c r="Q156" s="24">
        <f>IF(S155&gt;0,IF(AND(ROUND(S155+R156-ROUND(Q$6+IF(Q$5=$C156,$E$5+$E156,0),2),2)&gt;0,ROUND(S155+R156-ROUND(Q$6+IF(Q$5=$C156,$E$5+$E156,0),2),2)&lt;=T156,ROUND(S155+R156-ROUND(Q$6+IF(Q$5=$C156,$E$5+$E156,0),2),2)*10&lt;=ROUND(Q$6+IF(Q$5=$C156,$E$5+$E156,0),2)),ROUND(S155+R156,2),MIN(ROUND(Q$6+IF(Q$5=$C156,$E$5+$E156,0),2),ROUND(S155+R156,2))),0)</f>
        <v>0</v>
      </c>
      <c r="R156" s="24">
        <f>IF(S155&gt;0,ROUND(ROUND(S155*100,0)*ROUND(Q$7*10000,0)/12000000,0)/100,0)</f>
        <v>0</v>
      </c>
      <c r="S156" s="24">
        <f>IF(S155&gt;0,ROUND(S155+R156-Q156,2),0)</f>
        <v>0</v>
      </c>
      <c r="T156" s="24">
        <f>IF(S155&gt;0,ROUND(T155+ROUND(ROUND(T155*100,0)*ROUND(Q$7*10000,0)/12000000,0)/100+0.02,2),0)</f>
        <v>0</v>
      </c>
      <c r="U156" s="24">
        <f>IF(W155&gt;0,IF(AND(ROUND(W155+V156-ROUND(U$6+IF(U$5=$C156,$E$5+$E156,0),2),2)&gt;0,ROUND(W155+V156-ROUND(U$6+IF(U$5=$C156,$E$5+$E156,0),2),2)&lt;=X156,ROUND(W155+V156-ROUND(U$6+IF(U$5=$C156,$E$5+$E156,0),2),2)*10&lt;=ROUND(U$6+IF(U$5=$C156,$E$5+$E156,0),2)),ROUND(W155+V156,2),MIN(ROUND(U$6+IF(U$5=$C156,$E$5+$E156,0),2),ROUND(W155+V156,2))),0)</f>
        <v>0</v>
      </c>
      <c r="V156" s="24">
        <f>IF(W155&gt;0,ROUND(ROUND(W155*100,0)*ROUND(U$7*10000,0)/12000000,0)/100,0)</f>
        <v>0</v>
      </c>
      <c r="W156" s="24">
        <f>IF(W155&gt;0,ROUND(W155+V156-U156,2),0)</f>
        <v>0</v>
      </c>
      <c r="X156" s="24">
        <f>IF(W155&gt;0,ROUND(X155+ROUND(ROUND(X155*100,0)*ROUND(U$7*10000,0)/12000000,0)/100+0.02,2),0)</f>
        <v>0</v>
      </c>
      <c r="Y156" s="24">
        <f>IF(AA155&gt;0,IF(AND(ROUND(AA155+Z156-ROUND(Y$6+IF(Y$5=$C156,$E$5+$E156,0),2),2)&gt;0,ROUND(AA155+Z156-ROUND(Y$6+IF(Y$5=$C156,$E$5+$E156,0),2),2)&lt;=AB156,ROUND(AA155+Z156-ROUND(Y$6+IF(Y$5=$C156,$E$5+$E156,0),2),2)*10&lt;=ROUND(Y$6+IF(Y$5=$C156,$E$5+$E156,0),2)),ROUND(AA155+Z156,2),MIN(ROUND(Y$6+IF(Y$5=$C156,$E$5+$E156,0),2),ROUND(AA155+Z156,2))),0)</f>
        <v>0</v>
      </c>
      <c r="Z156" s="24">
        <f>IF(AA155&gt;0,ROUND(ROUND(AA155*100,0)*ROUND(Y$7*10000,0)/12000000,0)/100,0)</f>
        <v>0</v>
      </c>
      <c r="AA156" s="24">
        <f>IF(AA155&gt;0,ROUND(AA155+Z156-Y156,2),0)</f>
        <v>0</v>
      </c>
      <c r="AB156" s="24">
        <f>IF(AA155&gt;0,ROUND(AB155+ROUND(ROUND(AB155*100,0)*ROUND(Y$7*10000,0)/12000000,0)/100+0.02,2),0)</f>
        <v>0</v>
      </c>
      <c r="AC156" s="24">
        <f>IF(AE155&gt;0,IF(AND(ROUND(AE155+AD156-ROUND(AC$6+IF(AC$5=$C156,$E$5+$E156,0),2),2)&gt;0,ROUND(AE155+AD156-ROUND(AC$6+IF(AC$5=$C156,$E$5+$E156,0),2),2)&lt;=AF156,ROUND(AE155+AD156-ROUND(AC$6+IF(AC$5=$C156,$E$5+$E156,0),2),2)*10&lt;=ROUND(AC$6+IF(AC$5=$C156,$E$5+$E156,0),2)),ROUND(AE155+AD156,2),MIN(ROUND(AC$6+IF(AC$5=$C156,$E$5+$E156,0),2),ROUND(AE155+AD156,2))),0)</f>
        <v>0</v>
      </c>
      <c r="AD156" s="24">
        <f>IF(AE155&gt;0,ROUND(ROUND(AE155*100,0)*ROUND(AC$7*10000,0)/12000000,0)/100,0)</f>
        <v>0</v>
      </c>
      <c r="AE156" s="24">
        <f>IF(AE155&gt;0,ROUND(AE155+AD156-AC156,2),0)</f>
        <v>0</v>
      </c>
      <c r="AF156" s="24">
        <f>IF(AE155&gt;0,ROUND(AF155+ROUND(ROUND(AF155*100,0)*ROUND(AC$7*10000,0)/12000000,0)/100+0.02,2),0)</f>
        <v>0</v>
      </c>
      <c r="AG156" s="24">
        <f>IF(AI155&gt;0,IF(AND(ROUND(AI155+AH156-ROUND(AG$6+IF(AG$5=$C156,$E$5+$E156,0),2),2)&gt;0,ROUND(AI155+AH156-ROUND(AG$6+IF(AG$5=$C156,$E$5+$E156,0),2),2)&lt;=AJ156,ROUND(AI155+AH156-ROUND(AG$6+IF(AG$5=$C156,$E$5+$E156,0),2),2)*10&lt;=ROUND(AG$6+IF(AG$5=$C156,$E$5+$E156,0),2)),ROUND(AI155+AH156,2),MIN(ROUND(AG$6+IF(AG$5=$C156,$E$5+$E156,0),2),ROUND(AI155+AH156,2))),0)</f>
        <v>0</v>
      </c>
      <c r="AH156" s="24">
        <f>IF(AI155&gt;0,ROUND(ROUND(AI155*100,0)*ROUND(AG$7*10000,0)/12000000,0)/100,0)</f>
        <v>0</v>
      </c>
      <c r="AI156" s="24">
        <f>IF(AI155&gt;0,ROUND(AI155+AH156-AG156,2),0)</f>
        <v>0</v>
      </c>
      <c r="AJ156" s="24">
        <f>IF(AI155&gt;0,ROUND(AJ155+ROUND(ROUND(AJ155*100,0)*ROUND(AG$7*10000,0)/12000000,0)/100+0.02,2),0)</f>
        <v>0</v>
      </c>
      <c r="AK156" s="24">
        <f>IF(AM155&gt;0,IF(AND(ROUND(AM155+AL156-ROUND(AK$6+IF(AK$5=$C156,$E$5+$E156,0),2),2)&gt;0,ROUND(AM155+AL156-ROUND(AK$6+IF(AK$5=$C156,$E$5+$E156,0),2),2)&lt;=AN156,ROUND(AM155+AL156-ROUND(AK$6+IF(AK$5=$C156,$E$5+$E156,0),2),2)*10&lt;=ROUND(AK$6+IF(AK$5=$C156,$E$5+$E156,0),2)),ROUND(AM155+AL156,2),MIN(ROUND(AK$6+IF(AK$5=$C156,$E$5+$E156,0),2),ROUND(AM155+AL156,2))),0)</f>
        <v>0</v>
      </c>
      <c r="AL156" s="24">
        <f>IF(AM155&gt;0,ROUND(ROUND(AM155*100,0)*ROUND(AK$7*10000,0)/12000000,0)/100,0)</f>
        <v>0</v>
      </c>
      <c r="AM156" s="24">
        <f>IF(AM155&gt;0,ROUND(AM155+AL156-AK156,2),0)</f>
        <v>0</v>
      </c>
      <c r="AN156" s="24">
        <f>IF(AM155&gt;0,ROUND(AN155+ROUND(ROUND(AN155*100,0)*ROUND(AK$7*10000,0)/12000000,0)/100+0.02,2),0)</f>
        <v>0</v>
      </c>
      <c r="AO156" s="24">
        <f>IF(AQ155&gt;0,IF(AND(ROUND(AQ155+AP156-ROUND(AO$6+IF(AO$5=$C156,$E$5+$E156,0),2),2)&gt;0,ROUND(AQ155+AP156-ROUND(AO$6+IF(AO$5=$C156,$E$5+$E156,0),2),2)&lt;=AR156,ROUND(AQ155+AP156-ROUND(AO$6+IF(AO$5=$C156,$E$5+$E156,0),2),2)*10&lt;=ROUND(AO$6+IF(AO$5=$C156,$E$5+$E156,0),2)),ROUND(AQ155+AP156,2),MIN(ROUND(AO$6+IF(AO$5=$C156,$E$5+$E156,0),2),ROUND(AQ155+AP156,2))),0)</f>
        <v>0</v>
      </c>
      <c r="AP156" s="24">
        <f>IF(AQ155&gt;0,ROUND(ROUND(AQ155*100,0)*ROUND(AO$7*10000,0)/12000000,0)/100,0)</f>
        <v>0</v>
      </c>
      <c r="AQ156" s="24">
        <f>IF(AQ155&gt;0,ROUND(AQ155+AP156-AO156,2),0)</f>
        <v>0</v>
      </c>
      <c r="AR156" s="24">
        <f>IF(AQ155&gt;0,ROUND(AR155+ROUND(ROUND(AR155*100,0)*ROUND(AO$7*10000,0)/12000000,0)/100+0.02,2),0)</f>
        <v>0</v>
      </c>
      <c r="AS156" s="24">
        <f>IF(AU155&gt;0,IF(AND(ROUND(AU155+AT156-ROUND(AS$6+IF(AS$5=$C156,$E$5+$E156,0),2),2)&gt;0,ROUND(AU155+AT156-ROUND(AS$6+IF(AS$5=$C156,$E$5+$E156,0),2),2)&lt;=AV156,ROUND(AU155+AT156-ROUND(AS$6+IF(AS$5=$C156,$E$5+$E156,0),2),2)*10&lt;=ROUND(AS$6+IF(AS$5=$C156,$E$5+$E156,0),2)),ROUND(AU155+AT156,2),MIN(ROUND(AS$6+IF(AS$5=$C156,$E$5+$E156,0),2),ROUND(AU155+AT156,2))),0)</f>
        <v>0</v>
      </c>
      <c r="AT156" s="24">
        <f>IF(AU155&gt;0,ROUND(ROUND(AU155*100,0)*ROUND(AS$7*10000,0)/12000000,0)/100,0)</f>
        <v>0</v>
      </c>
      <c r="AU156" s="24">
        <f>IF(AU155&gt;0,ROUND(AU155+AT156-AS156,2),0)</f>
        <v>0</v>
      </c>
      <c r="AV156" s="24">
        <f>IF(AU155&gt;0,ROUND(AV155+ROUND(ROUND(AV155*100,0)*ROUND(AS$7*10000,0)/12000000,0)/100+0.02,2),0)</f>
        <v>0</v>
      </c>
    </row>
    <row r="157" spans="1:48" x14ac:dyDescent="0.25">
      <c r="A157" s="17" t="str">
        <f>IF(F157&gt;0,147,"")</f>
        <v/>
      </c>
      <c r="B157" s="18" t="str">
        <f>IF(F157&gt;0,EDATE($E$6,147),"")</f>
        <v/>
      </c>
      <c r="C157" s="21">
        <f>IF(H156&gt;0,MIN(IF(K156&gt;0,I$5,99),IF(O156&gt;0,M$5,99),IF(S156&gt;0,Q$5,99),IF(W156&gt;0,U$5,99),IF(AA156&gt;0,Y$5,99),IF(AE156&gt;0,AC$5,99),IF(AI156&gt;0,AG$5,99),IF(AM156&gt;0,AK$5,99),IF(AQ156&gt;0,AO$5,99),IF(AU156&gt;0,AS$5,99)),0)</f>
        <v>0</v>
      </c>
      <c r="D157" t="str">
        <f>IF(C157&gt;0,INDEX($I$4:$AV$4,1,MATCH(C157,$I$5:$AV$5,0)),"")</f>
        <v/>
      </c>
      <c r="E157" s="24">
        <f>ROUND(IF(AND(I$8&gt;0,K156=0),I$6,0)+IF(AND(M$8&gt;0,O156=0),M$6,0)+IF(AND(Q$8&gt;0,S156=0),Q$6,0)+IF(AND(U$8&gt;0,W156=0),U$6,0)+IF(AND(Y$8&gt;0,AA156=0),Y$6,0)+IF(AND(AC$8&gt;0,AE156=0),AC$6,0)+IF(AND(AG$8&gt;0,AI156=0),AG$6,0)+IF(AND(AK$8&gt;0,AM156=0),AK$6,0)+IF(AND(AO$8&gt;0,AQ156=0),AO$6,0)+IF(AND(AS$8&gt;0,AU156=0),AS$6,0),2)</f>
        <v>325</v>
      </c>
      <c r="F157" s="24">
        <f>ROUND(I157+M157+Q157+U157+Y157+AC157+AG157+AK157+AO157+AS157,2)</f>
        <v>0</v>
      </c>
      <c r="G157" s="24">
        <f>ROUND(J157+N157+R157+V157+Z157+AD157+AH157+AL157+AP157+AT157,2)</f>
        <v>0</v>
      </c>
      <c r="H157" s="24">
        <f>ROUND(K157+O157+S157+W157+AA157+AE157+AI157+AM157+AQ157+AU157,2)</f>
        <v>0</v>
      </c>
      <c r="I157" s="24">
        <f>IF(K156&gt;0,IF(AND(ROUND(K156+J157-ROUND(I$6+IF(I$5=$C157,$E$5+$E157,0),2),2)&gt;0,ROUND(K156+J157-ROUND(I$6+IF(I$5=$C157,$E$5+$E157,0),2),2)&lt;=L157,ROUND(K156+J157-ROUND(I$6+IF(I$5=$C157,$E$5+$E157,0),2),2)*10&lt;=ROUND(I$6+IF(I$5=$C157,$E$5+$E157,0),2)),ROUND(K156+J157,2),MIN(ROUND(I$6+IF(I$5=$C157,$E$5+$E157,0),2),ROUND(K156+J157,2))),0)</f>
        <v>0</v>
      </c>
      <c r="J157" s="24">
        <f>IF(K156&gt;0,ROUND(ROUND(K156*100,0)*ROUND(I$7*10000,0)/12000000,0)/100,0)</f>
        <v>0</v>
      </c>
      <c r="K157" s="24">
        <f>IF(K156&gt;0,ROUND(K156+J157-I157,2),0)</f>
        <v>0</v>
      </c>
      <c r="L157" s="24">
        <f>IF(K156&gt;0,ROUND(L156+ROUND(ROUND(L156*100,0)*ROUND(I$7*10000,0)/12000000,0)/100+0.02,2),0)</f>
        <v>0</v>
      </c>
      <c r="M157" s="24">
        <f>IF(O156&gt;0,IF(AND(ROUND(O156+N157-ROUND(M$6+IF(M$5=$C157,$E$5+$E157,0),2),2)&gt;0,ROUND(O156+N157-ROUND(M$6+IF(M$5=$C157,$E$5+$E157,0),2),2)&lt;=P157,ROUND(O156+N157-ROUND(M$6+IF(M$5=$C157,$E$5+$E157,0),2),2)*10&lt;=ROUND(M$6+IF(M$5=$C157,$E$5+$E157,0),2)),ROUND(O156+N157,2),MIN(ROUND(M$6+IF(M$5=$C157,$E$5+$E157,0),2),ROUND(O156+N157,2))),0)</f>
        <v>0</v>
      </c>
      <c r="N157" s="24">
        <f>IF(O156&gt;0,ROUND(ROUND(O156*100,0)*ROUND(M$7*10000,0)/12000000,0)/100,0)</f>
        <v>0</v>
      </c>
      <c r="O157" s="24">
        <f>IF(O156&gt;0,ROUND(O156+N157-M157,2),0)</f>
        <v>0</v>
      </c>
      <c r="P157" s="24">
        <f>IF(O156&gt;0,ROUND(P156+ROUND(ROUND(P156*100,0)*ROUND(M$7*10000,0)/12000000,0)/100+0.02,2),0)</f>
        <v>0</v>
      </c>
      <c r="Q157" s="24">
        <f>IF(S156&gt;0,IF(AND(ROUND(S156+R157-ROUND(Q$6+IF(Q$5=$C157,$E$5+$E157,0),2),2)&gt;0,ROUND(S156+R157-ROUND(Q$6+IF(Q$5=$C157,$E$5+$E157,0),2),2)&lt;=T157,ROUND(S156+R157-ROUND(Q$6+IF(Q$5=$C157,$E$5+$E157,0),2),2)*10&lt;=ROUND(Q$6+IF(Q$5=$C157,$E$5+$E157,0),2)),ROUND(S156+R157,2),MIN(ROUND(Q$6+IF(Q$5=$C157,$E$5+$E157,0),2),ROUND(S156+R157,2))),0)</f>
        <v>0</v>
      </c>
      <c r="R157" s="24">
        <f>IF(S156&gt;0,ROUND(ROUND(S156*100,0)*ROUND(Q$7*10000,0)/12000000,0)/100,0)</f>
        <v>0</v>
      </c>
      <c r="S157" s="24">
        <f>IF(S156&gt;0,ROUND(S156+R157-Q157,2),0)</f>
        <v>0</v>
      </c>
      <c r="T157" s="24">
        <f>IF(S156&gt;0,ROUND(T156+ROUND(ROUND(T156*100,0)*ROUND(Q$7*10000,0)/12000000,0)/100+0.02,2),0)</f>
        <v>0</v>
      </c>
      <c r="U157" s="24">
        <f>IF(W156&gt;0,IF(AND(ROUND(W156+V157-ROUND(U$6+IF(U$5=$C157,$E$5+$E157,0),2),2)&gt;0,ROUND(W156+V157-ROUND(U$6+IF(U$5=$C157,$E$5+$E157,0),2),2)&lt;=X157,ROUND(W156+V157-ROUND(U$6+IF(U$5=$C157,$E$5+$E157,0),2),2)*10&lt;=ROUND(U$6+IF(U$5=$C157,$E$5+$E157,0),2)),ROUND(W156+V157,2),MIN(ROUND(U$6+IF(U$5=$C157,$E$5+$E157,0),2),ROUND(W156+V157,2))),0)</f>
        <v>0</v>
      </c>
      <c r="V157" s="24">
        <f>IF(W156&gt;0,ROUND(ROUND(W156*100,0)*ROUND(U$7*10000,0)/12000000,0)/100,0)</f>
        <v>0</v>
      </c>
      <c r="W157" s="24">
        <f>IF(W156&gt;0,ROUND(W156+V157-U157,2),0)</f>
        <v>0</v>
      </c>
      <c r="X157" s="24">
        <f>IF(W156&gt;0,ROUND(X156+ROUND(ROUND(X156*100,0)*ROUND(U$7*10000,0)/12000000,0)/100+0.02,2),0)</f>
        <v>0</v>
      </c>
      <c r="Y157" s="24">
        <f>IF(AA156&gt;0,IF(AND(ROUND(AA156+Z157-ROUND(Y$6+IF(Y$5=$C157,$E$5+$E157,0),2),2)&gt;0,ROUND(AA156+Z157-ROUND(Y$6+IF(Y$5=$C157,$E$5+$E157,0),2),2)&lt;=AB157,ROUND(AA156+Z157-ROUND(Y$6+IF(Y$5=$C157,$E$5+$E157,0),2),2)*10&lt;=ROUND(Y$6+IF(Y$5=$C157,$E$5+$E157,0),2)),ROUND(AA156+Z157,2),MIN(ROUND(Y$6+IF(Y$5=$C157,$E$5+$E157,0),2),ROUND(AA156+Z157,2))),0)</f>
        <v>0</v>
      </c>
      <c r="Z157" s="24">
        <f>IF(AA156&gt;0,ROUND(ROUND(AA156*100,0)*ROUND(Y$7*10000,0)/12000000,0)/100,0)</f>
        <v>0</v>
      </c>
      <c r="AA157" s="24">
        <f>IF(AA156&gt;0,ROUND(AA156+Z157-Y157,2),0)</f>
        <v>0</v>
      </c>
      <c r="AB157" s="24">
        <f>IF(AA156&gt;0,ROUND(AB156+ROUND(ROUND(AB156*100,0)*ROUND(Y$7*10000,0)/12000000,0)/100+0.02,2),0)</f>
        <v>0</v>
      </c>
      <c r="AC157" s="24">
        <f>IF(AE156&gt;0,IF(AND(ROUND(AE156+AD157-ROUND(AC$6+IF(AC$5=$C157,$E$5+$E157,0),2),2)&gt;0,ROUND(AE156+AD157-ROUND(AC$6+IF(AC$5=$C157,$E$5+$E157,0),2),2)&lt;=AF157,ROUND(AE156+AD157-ROUND(AC$6+IF(AC$5=$C157,$E$5+$E157,0),2),2)*10&lt;=ROUND(AC$6+IF(AC$5=$C157,$E$5+$E157,0),2)),ROUND(AE156+AD157,2),MIN(ROUND(AC$6+IF(AC$5=$C157,$E$5+$E157,0),2),ROUND(AE156+AD157,2))),0)</f>
        <v>0</v>
      </c>
      <c r="AD157" s="24">
        <f>IF(AE156&gt;0,ROUND(ROUND(AE156*100,0)*ROUND(AC$7*10000,0)/12000000,0)/100,0)</f>
        <v>0</v>
      </c>
      <c r="AE157" s="24">
        <f>IF(AE156&gt;0,ROUND(AE156+AD157-AC157,2),0)</f>
        <v>0</v>
      </c>
      <c r="AF157" s="24">
        <f>IF(AE156&gt;0,ROUND(AF156+ROUND(ROUND(AF156*100,0)*ROUND(AC$7*10000,0)/12000000,0)/100+0.02,2),0)</f>
        <v>0</v>
      </c>
      <c r="AG157" s="24">
        <f>IF(AI156&gt;0,IF(AND(ROUND(AI156+AH157-ROUND(AG$6+IF(AG$5=$C157,$E$5+$E157,0),2),2)&gt;0,ROUND(AI156+AH157-ROUND(AG$6+IF(AG$5=$C157,$E$5+$E157,0),2),2)&lt;=AJ157,ROUND(AI156+AH157-ROUND(AG$6+IF(AG$5=$C157,$E$5+$E157,0),2),2)*10&lt;=ROUND(AG$6+IF(AG$5=$C157,$E$5+$E157,0),2)),ROUND(AI156+AH157,2),MIN(ROUND(AG$6+IF(AG$5=$C157,$E$5+$E157,0),2),ROUND(AI156+AH157,2))),0)</f>
        <v>0</v>
      </c>
      <c r="AH157" s="24">
        <f>IF(AI156&gt;0,ROUND(ROUND(AI156*100,0)*ROUND(AG$7*10000,0)/12000000,0)/100,0)</f>
        <v>0</v>
      </c>
      <c r="AI157" s="24">
        <f>IF(AI156&gt;0,ROUND(AI156+AH157-AG157,2),0)</f>
        <v>0</v>
      </c>
      <c r="AJ157" s="24">
        <f>IF(AI156&gt;0,ROUND(AJ156+ROUND(ROUND(AJ156*100,0)*ROUND(AG$7*10000,0)/12000000,0)/100+0.02,2),0)</f>
        <v>0</v>
      </c>
      <c r="AK157" s="24">
        <f>IF(AM156&gt;0,IF(AND(ROUND(AM156+AL157-ROUND(AK$6+IF(AK$5=$C157,$E$5+$E157,0),2),2)&gt;0,ROUND(AM156+AL157-ROUND(AK$6+IF(AK$5=$C157,$E$5+$E157,0),2),2)&lt;=AN157,ROUND(AM156+AL157-ROUND(AK$6+IF(AK$5=$C157,$E$5+$E157,0),2),2)*10&lt;=ROUND(AK$6+IF(AK$5=$C157,$E$5+$E157,0),2)),ROUND(AM156+AL157,2),MIN(ROUND(AK$6+IF(AK$5=$C157,$E$5+$E157,0),2),ROUND(AM156+AL157,2))),0)</f>
        <v>0</v>
      </c>
      <c r="AL157" s="24">
        <f>IF(AM156&gt;0,ROUND(ROUND(AM156*100,0)*ROUND(AK$7*10000,0)/12000000,0)/100,0)</f>
        <v>0</v>
      </c>
      <c r="AM157" s="24">
        <f>IF(AM156&gt;0,ROUND(AM156+AL157-AK157,2),0)</f>
        <v>0</v>
      </c>
      <c r="AN157" s="24">
        <f>IF(AM156&gt;0,ROUND(AN156+ROUND(ROUND(AN156*100,0)*ROUND(AK$7*10000,0)/12000000,0)/100+0.02,2),0)</f>
        <v>0</v>
      </c>
      <c r="AO157" s="24">
        <f>IF(AQ156&gt;0,IF(AND(ROUND(AQ156+AP157-ROUND(AO$6+IF(AO$5=$C157,$E$5+$E157,0),2),2)&gt;0,ROUND(AQ156+AP157-ROUND(AO$6+IF(AO$5=$C157,$E$5+$E157,0),2),2)&lt;=AR157,ROUND(AQ156+AP157-ROUND(AO$6+IF(AO$5=$C157,$E$5+$E157,0),2),2)*10&lt;=ROUND(AO$6+IF(AO$5=$C157,$E$5+$E157,0),2)),ROUND(AQ156+AP157,2),MIN(ROUND(AO$6+IF(AO$5=$C157,$E$5+$E157,0),2),ROUND(AQ156+AP157,2))),0)</f>
        <v>0</v>
      </c>
      <c r="AP157" s="24">
        <f>IF(AQ156&gt;0,ROUND(ROUND(AQ156*100,0)*ROUND(AO$7*10000,0)/12000000,0)/100,0)</f>
        <v>0</v>
      </c>
      <c r="AQ157" s="24">
        <f>IF(AQ156&gt;0,ROUND(AQ156+AP157-AO157,2),0)</f>
        <v>0</v>
      </c>
      <c r="AR157" s="24">
        <f>IF(AQ156&gt;0,ROUND(AR156+ROUND(ROUND(AR156*100,0)*ROUND(AO$7*10000,0)/12000000,0)/100+0.02,2),0)</f>
        <v>0</v>
      </c>
      <c r="AS157" s="24">
        <f>IF(AU156&gt;0,IF(AND(ROUND(AU156+AT157-ROUND(AS$6+IF(AS$5=$C157,$E$5+$E157,0),2),2)&gt;0,ROUND(AU156+AT157-ROUND(AS$6+IF(AS$5=$C157,$E$5+$E157,0),2),2)&lt;=AV157,ROUND(AU156+AT157-ROUND(AS$6+IF(AS$5=$C157,$E$5+$E157,0),2),2)*10&lt;=ROUND(AS$6+IF(AS$5=$C157,$E$5+$E157,0),2)),ROUND(AU156+AT157,2),MIN(ROUND(AS$6+IF(AS$5=$C157,$E$5+$E157,0),2),ROUND(AU156+AT157,2))),0)</f>
        <v>0</v>
      </c>
      <c r="AT157" s="24">
        <f>IF(AU156&gt;0,ROUND(ROUND(AU156*100,0)*ROUND(AS$7*10000,0)/12000000,0)/100,0)</f>
        <v>0</v>
      </c>
      <c r="AU157" s="24">
        <f>IF(AU156&gt;0,ROUND(AU156+AT157-AS157,2),0)</f>
        <v>0</v>
      </c>
      <c r="AV157" s="24">
        <f>IF(AU156&gt;0,ROUND(AV156+ROUND(ROUND(AV156*100,0)*ROUND(AS$7*10000,0)/12000000,0)/100+0.02,2),0)</f>
        <v>0</v>
      </c>
    </row>
    <row r="158" spans="1:48" x14ac:dyDescent="0.25">
      <c r="A158" s="17" t="str">
        <f>IF(F158&gt;0,148,"")</f>
        <v/>
      </c>
      <c r="B158" s="18" t="str">
        <f>IF(F158&gt;0,EDATE($E$6,148),"")</f>
        <v/>
      </c>
      <c r="C158" s="21">
        <f>IF(H157&gt;0,MIN(IF(K157&gt;0,I$5,99),IF(O157&gt;0,M$5,99),IF(S157&gt;0,Q$5,99),IF(W157&gt;0,U$5,99),IF(AA157&gt;0,Y$5,99),IF(AE157&gt;0,AC$5,99),IF(AI157&gt;0,AG$5,99),IF(AM157&gt;0,AK$5,99),IF(AQ157&gt;0,AO$5,99),IF(AU157&gt;0,AS$5,99)),0)</f>
        <v>0</v>
      </c>
      <c r="D158" t="str">
        <f>IF(C158&gt;0,INDEX($I$4:$AV$4,1,MATCH(C158,$I$5:$AV$5,0)),"")</f>
        <v/>
      </c>
      <c r="E158" s="24">
        <f>ROUND(IF(AND(I$8&gt;0,K157=0),I$6,0)+IF(AND(M$8&gt;0,O157=0),M$6,0)+IF(AND(Q$8&gt;0,S157=0),Q$6,0)+IF(AND(U$8&gt;0,W157=0),U$6,0)+IF(AND(Y$8&gt;0,AA157=0),Y$6,0)+IF(AND(AC$8&gt;0,AE157=0),AC$6,0)+IF(AND(AG$8&gt;0,AI157=0),AG$6,0)+IF(AND(AK$8&gt;0,AM157=0),AK$6,0)+IF(AND(AO$8&gt;0,AQ157=0),AO$6,0)+IF(AND(AS$8&gt;0,AU157=0),AS$6,0),2)</f>
        <v>325</v>
      </c>
      <c r="F158" s="24">
        <f>ROUND(I158+M158+Q158+U158+Y158+AC158+AG158+AK158+AO158+AS158,2)</f>
        <v>0</v>
      </c>
      <c r="G158" s="24">
        <f>ROUND(J158+N158+R158+V158+Z158+AD158+AH158+AL158+AP158+AT158,2)</f>
        <v>0</v>
      </c>
      <c r="H158" s="24">
        <f>ROUND(K158+O158+S158+W158+AA158+AE158+AI158+AM158+AQ158+AU158,2)</f>
        <v>0</v>
      </c>
      <c r="I158" s="24">
        <f>IF(K157&gt;0,IF(AND(ROUND(K157+J158-ROUND(I$6+IF(I$5=$C158,$E$5+$E158,0),2),2)&gt;0,ROUND(K157+J158-ROUND(I$6+IF(I$5=$C158,$E$5+$E158,0),2),2)&lt;=L158,ROUND(K157+J158-ROUND(I$6+IF(I$5=$C158,$E$5+$E158,0),2),2)*10&lt;=ROUND(I$6+IF(I$5=$C158,$E$5+$E158,0),2)),ROUND(K157+J158,2),MIN(ROUND(I$6+IF(I$5=$C158,$E$5+$E158,0),2),ROUND(K157+J158,2))),0)</f>
        <v>0</v>
      </c>
      <c r="J158" s="24">
        <f>IF(K157&gt;0,ROUND(ROUND(K157*100,0)*ROUND(I$7*10000,0)/12000000,0)/100,0)</f>
        <v>0</v>
      </c>
      <c r="K158" s="24">
        <f>IF(K157&gt;0,ROUND(K157+J158-I158,2),0)</f>
        <v>0</v>
      </c>
      <c r="L158" s="24">
        <f>IF(K157&gt;0,ROUND(L157+ROUND(ROUND(L157*100,0)*ROUND(I$7*10000,0)/12000000,0)/100+0.02,2),0)</f>
        <v>0</v>
      </c>
      <c r="M158" s="24">
        <f>IF(O157&gt;0,IF(AND(ROUND(O157+N158-ROUND(M$6+IF(M$5=$C158,$E$5+$E158,0),2),2)&gt;0,ROUND(O157+N158-ROUND(M$6+IF(M$5=$C158,$E$5+$E158,0),2),2)&lt;=P158,ROUND(O157+N158-ROUND(M$6+IF(M$5=$C158,$E$5+$E158,0),2),2)*10&lt;=ROUND(M$6+IF(M$5=$C158,$E$5+$E158,0),2)),ROUND(O157+N158,2),MIN(ROUND(M$6+IF(M$5=$C158,$E$5+$E158,0),2),ROUND(O157+N158,2))),0)</f>
        <v>0</v>
      </c>
      <c r="N158" s="24">
        <f>IF(O157&gt;0,ROUND(ROUND(O157*100,0)*ROUND(M$7*10000,0)/12000000,0)/100,0)</f>
        <v>0</v>
      </c>
      <c r="O158" s="24">
        <f>IF(O157&gt;0,ROUND(O157+N158-M158,2),0)</f>
        <v>0</v>
      </c>
      <c r="P158" s="24">
        <f>IF(O157&gt;0,ROUND(P157+ROUND(ROUND(P157*100,0)*ROUND(M$7*10000,0)/12000000,0)/100+0.02,2),0)</f>
        <v>0</v>
      </c>
      <c r="Q158" s="24">
        <f>IF(S157&gt;0,IF(AND(ROUND(S157+R158-ROUND(Q$6+IF(Q$5=$C158,$E$5+$E158,0),2),2)&gt;0,ROUND(S157+R158-ROUND(Q$6+IF(Q$5=$C158,$E$5+$E158,0),2),2)&lt;=T158,ROUND(S157+R158-ROUND(Q$6+IF(Q$5=$C158,$E$5+$E158,0),2),2)*10&lt;=ROUND(Q$6+IF(Q$5=$C158,$E$5+$E158,0),2)),ROUND(S157+R158,2),MIN(ROUND(Q$6+IF(Q$5=$C158,$E$5+$E158,0),2),ROUND(S157+R158,2))),0)</f>
        <v>0</v>
      </c>
      <c r="R158" s="24">
        <f>IF(S157&gt;0,ROUND(ROUND(S157*100,0)*ROUND(Q$7*10000,0)/12000000,0)/100,0)</f>
        <v>0</v>
      </c>
      <c r="S158" s="24">
        <f>IF(S157&gt;0,ROUND(S157+R158-Q158,2),0)</f>
        <v>0</v>
      </c>
      <c r="T158" s="24">
        <f>IF(S157&gt;0,ROUND(T157+ROUND(ROUND(T157*100,0)*ROUND(Q$7*10000,0)/12000000,0)/100+0.02,2),0)</f>
        <v>0</v>
      </c>
      <c r="U158" s="24">
        <f>IF(W157&gt;0,IF(AND(ROUND(W157+V158-ROUND(U$6+IF(U$5=$C158,$E$5+$E158,0),2),2)&gt;0,ROUND(W157+V158-ROUND(U$6+IF(U$5=$C158,$E$5+$E158,0),2),2)&lt;=X158,ROUND(W157+V158-ROUND(U$6+IF(U$5=$C158,$E$5+$E158,0),2),2)*10&lt;=ROUND(U$6+IF(U$5=$C158,$E$5+$E158,0),2)),ROUND(W157+V158,2),MIN(ROUND(U$6+IF(U$5=$C158,$E$5+$E158,0),2),ROUND(W157+V158,2))),0)</f>
        <v>0</v>
      </c>
      <c r="V158" s="24">
        <f>IF(W157&gt;0,ROUND(ROUND(W157*100,0)*ROUND(U$7*10000,0)/12000000,0)/100,0)</f>
        <v>0</v>
      </c>
      <c r="W158" s="24">
        <f>IF(W157&gt;0,ROUND(W157+V158-U158,2),0)</f>
        <v>0</v>
      </c>
      <c r="X158" s="24">
        <f>IF(W157&gt;0,ROUND(X157+ROUND(ROUND(X157*100,0)*ROUND(U$7*10000,0)/12000000,0)/100+0.02,2),0)</f>
        <v>0</v>
      </c>
      <c r="Y158" s="24">
        <f>IF(AA157&gt;0,IF(AND(ROUND(AA157+Z158-ROUND(Y$6+IF(Y$5=$C158,$E$5+$E158,0),2),2)&gt;0,ROUND(AA157+Z158-ROUND(Y$6+IF(Y$5=$C158,$E$5+$E158,0),2),2)&lt;=AB158,ROUND(AA157+Z158-ROUND(Y$6+IF(Y$5=$C158,$E$5+$E158,0),2),2)*10&lt;=ROUND(Y$6+IF(Y$5=$C158,$E$5+$E158,0),2)),ROUND(AA157+Z158,2),MIN(ROUND(Y$6+IF(Y$5=$C158,$E$5+$E158,0),2),ROUND(AA157+Z158,2))),0)</f>
        <v>0</v>
      </c>
      <c r="Z158" s="24">
        <f>IF(AA157&gt;0,ROUND(ROUND(AA157*100,0)*ROUND(Y$7*10000,0)/12000000,0)/100,0)</f>
        <v>0</v>
      </c>
      <c r="AA158" s="24">
        <f>IF(AA157&gt;0,ROUND(AA157+Z158-Y158,2),0)</f>
        <v>0</v>
      </c>
      <c r="AB158" s="24">
        <f>IF(AA157&gt;0,ROUND(AB157+ROUND(ROUND(AB157*100,0)*ROUND(Y$7*10000,0)/12000000,0)/100+0.02,2),0)</f>
        <v>0</v>
      </c>
      <c r="AC158" s="24">
        <f>IF(AE157&gt;0,IF(AND(ROUND(AE157+AD158-ROUND(AC$6+IF(AC$5=$C158,$E$5+$E158,0),2),2)&gt;0,ROUND(AE157+AD158-ROUND(AC$6+IF(AC$5=$C158,$E$5+$E158,0),2),2)&lt;=AF158,ROUND(AE157+AD158-ROUND(AC$6+IF(AC$5=$C158,$E$5+$E158,0),2),2)*10&lt;=ROUND(AC$6+IF(AC$5=$C158,$E$5+$E158,0),2)),ROUND(AE157+AD158,2),MIN(ROUND(AC$6+IF(AC$5=$C158,$E$5+$E158,0),2),ROUND(AE157+AD158,2))),0)</f>
        <v>0</v>
      </c>
      <c r="AD158" s="24">
        <f>IF(AE157&gt;0,ROUND(ROUND(AE157*100,0)*ROUND(AC$7*10000,0)/12000000,0)/100,0)</f>
        <v>0</v>
      </c>
      <c r="AE158" s="24">
        <f>IF(AE157&gt;0,ROUND(AE157+AD158-AC158,2),0)</f>
        <v>0</v>
      </c>
      <c r="AF158" s="24">
        <f>IF(AE157&gt;0,ROUND(AF157+ROUND(ROUND(AF157*100,0)*ROUND(AC$7*10000,0)/12000000,0)/100+0.02,2),0)</f>
        <v>0</v>
      </c>
      <c r="AG158" s="24">
        <f>IF(AI157&gt;0,IF(AND(ROUND(AI157+AH158-ROUND(AG$6+IF(AG$5=$C158,$E$5+$E158,0),2),2)&gt;0,ROUND(AI157+AH158-ROUND(AG$6+IF(AG$5=$C158,$E$5+$E158,0),2),2)&lt;=AJ158,ROUND(AI157+AH158-ROUND(AG$6+IF(AG$5=$C158,$E$5+$E158,0),2),2)*10&lt;=ROUND(AG$6+IF(AG$5=$C158,$E$5+$E158,0),2)),ROUND(AI157+AH158,2),MIN(ROUND(AG$6+IF(AG$5=$C158,$E$5+$E158,0),2),ROUND(AI157+AH158,2))),0)</f>
        <v>0</v>
      </c>
      <c r="AH158" s="24">
        <f>IF(AI157&gt;0,ROUND(ROUND(AI157*100,0)*ROUND(AG$7*10000,0)/12000000,0)/100,0)</f>
        <v>0</v>
      </c>
      <c r="AI158" s="24">
        <f>IF(AI157&gt;0,ROUND(AI157+AH158-AG158,2),0)</f>
        <v>0</v>
      </c>
      <c r="AJ158" s="24">
        <f>IF(AI157&gt;0,ROUND(AJ157+ROUND(ROUND(AJ157*100,0)*ROUND(AG$7*10000,0)/12000000,0)/100+0.02,2),0)</f>
        <v>0</v>
      </c>
      <c r="AK158" s="24">
        <f>IF(AM157&gt;0,IF(AND(ROUND(AM157+AL158-ROUND(AK$6+IF(AK$5=$C158,$E$5+$E158,0),2),2)&gt;0,ROUND(AM157+AL158-ROUND(AK$6+IF(AK$5=$C158,$E$5+$E158,0),2),2)&lt;=AN158,ROUND(AM157+AL158-ROUND(AK$6+IF(AK$5=$C158,$E$5+$E158,0),2),2)*10&lt;=ROUND(AK$6+IF(AK$5=$C158,$E$5+$E158,0),2)),ROUND(AM157+AL158,2),MIN(ROUND(AK$6+IF(AK$5=$C158,$E$5+$E158,0),2),ROUND(AM157+AL158,2))),0)</f>
        <v>0</v>
      </c>
      <c r="AL158" s="24">
        <f>IF(AM157&gt;0,ROUND(ROUND(AM157*100,0)*ROUND(AK$7*10000,0)/12000000,0)/100,0)</f>
        <v>0</v>
      </c>
      <c r="AM158" s="24">
        <f>IF(AM157&gt;0,ROUND(AM157+AL158-AK158,2),0)</f>
        <v>0</v>
      </c>
      <c r="AN158" s="24">
        <f>IF(AM157&gt;0,ROUND(AN157+ROUND(ROUND(AN157*100,0)*ROUND(AK$7*10000,0)/12000000,0)/100+0.02,2),0)</f>
        <v>0</v>
      </c>
      <c r="AO158" s="24">
        <f>IF(AQ157&gt;0,IF(AND(ROUND(AQ157+AP158-ROUND(AO$6+IF(AO$5=$C158,$E$5+$E158,0),2),2)&gt;0,ROUND(AQ157+AP158-ROUND(AO$6+IF(AO$5=$C158,$E$5+$E158,0),2),2)&lt;=AR158,ROUND(AQ157+AP158-ROUND(AO$6+IF(AO$5=$C158,$E$5+$E158,0),2),2)*10&lt;=ROUND(AO$6+IF(AO$5=$C158,$E$5+$E158,0),2)),ROUND(AQ157+AP158,2),MIN(ROUND(AO$6+IF(AO$5=$C158,$E$5+$E158,0),2),ROUND(AQ157+AP158,2))),0)</f>
        <v>0</v>
      </c>
      <c r="AP158" s="24">
        <f>IF(AQ157&gt;0,ROUND(ROUND(AQ157*100,0)*ROUND(AO$7*10000,0)/12000000,0)/100,0)</f>
        <v>0</v>
      </c>
      <c r="AQ158" s="24">
        <f>IF(AQ157&gt;0,ROUND(AQ157+AP158-AO158,2),0)</f>
        <v>0</v>
      </c>
      <c r="AR158" s="24">
        <f>IF(AQ157&gt;0,ROUND(AR157+ROUND(ROUND(AR157*100,0)*ROUND(AO$7*10000,0)/12000000,0)/100+0.02,2),0)</f>
        <v>0</v>
      </c>
      <c r="AS158" s="24">
        <f>IF(AU157&gt;0,IF(AND(ROUND(AU157+AT158-ROUND(AS$6+IF(AS$5=$C158,$E$5+$E158,0),2),2)&gt;0,ROUND(AU157+AT158-ROUND(AS$6+IF(AS$5=$C158,$E$5+$E158,0),2),2)&lt;=AV158,ROUND(AU157+AT158-ROUND(AS$6+IF(AS$5=$C158,$E$5+$E158,0),2),2)*10&lt;=ROUND(AS$6+IF(AS$5=$C158,$E$5+$E158,0),2)),ROUND(AU157+AT158,2),MIN(ROUND(AS$6+IF(AS$5=$C158,$E$5+$E158,0),2),ROUND(AU157+AT158,2))),0)</f>
        <v>0</v>
      </c>
      <c r="AT158" s="24">
        <f>IF(AU157&gt;0,ROUND(ROUND(AU157*100,0)*ROUND(AS$7*10000,0)/12000000,0)/100,0)</f>
        <v>0</v>
      </c>
      <c r="AU158" s="24">
        <f>IF(AU157&gt;0,ROUND(AU157+AT158-AS158,2),0)</f>
        <v>0</v>
      </c>
      <c r="AV158" s="24">
        <f>IF(AU157&gt;0,ROUND(AV157+ROUND(ROUND(AV157*100,0)*ROUND(AS$7*10000,0)/12000000,0)/100+0.02,2),0)</f>
        <v>0</v>
      </c>
    </row>
    <row r="159" spans="1:48" x14ac:dyDescent="0.25">
      <c r="A159" s="17" t="str">
        <f>IF(F159&gt;0,149,"")</f>
        <v/>
      </c>
      <c r="B159" s="18" t="str">
        <f>IF(F159&gt;0,EDATE($E$6,149),"")</f>
        <v/>
      </c>
      <c r="C159" s="21">
        <f>IF(H158&gt;0,MIN(IF(K158&gt;0,I$5,99),IF(O158&gt;0,M$5,99),IF(S158&gt;0,Q$5,99),IF(W158&gt;0,U$5,99),IF(AA158&gt;0,Y$5,99),IF(AE158&gt;0,AC$5,99),IF(AI158&gt;0,AG$5,99),IF(AM158&gt;0,AK$5,99),IF(AQ158&gt;0,AO$5,99),IF(AU158&gt;0,AS$5,99)),0)</f>
        <v>0</v>
      </c>
      <c r="D159" t="str">
        <f>IF(C159&gt;0,INDEX($I$4:$AV$4,1,MATCH(C159,$I$5:$AV$5,0)),"")</f>
        <v/>
      </c>
      <c r="E159" s="24">
        <f>ROUND(IF(AND(I$8&gt;0,K158=0),I$6,0)+IF(AND(M$8&gt;0,O158=0),M$6,0)+IF(AND(Q$8&gt;0,S158=0),Q$6,0)+IF(AND(U$8&gt;0,W158=0),U$6,0)+IF(AND(Y$8&gt;0,AA158=0),Y$6,0)+IF(AND(AC$8&gt;0,AE158=0),AC$6,0)+IF(AND(AG$8&gt;0,AI158=0),AG$6,0)+IF(AND(AK$8&gt;0,AM158=0),AK$6,0)+IF(AND(AO$8&gt;0,AQ158=0),AO$6,0)+IF(AND(AS$8&gt;0,AU158=0),AS$6,0),2)</f>
        <v>325</v>
      </c>
      <c r="F159" s="24">
        <f>ROUND(I159+M159+Q159+U159+Y159+AC159+AG159+AK159+AO159+AS159,2)</f>
        <v>0</v>
      </c>
      <c r="G159" s="24">
        <f>ROUND(J159+N159+R159+V159+Z159+AD159+AH159+AL159+AP159+AT159,2)</f>
        <v>0</v>
      </c>
      <c r="H159" s="24">
        <f>ROUND(K159+O159+S159+W159+AA159+AE159+AI159+AM159+AQ159+AU159,2)</f>
        <v>0</v>
      </c>
      <c r="I159" s="24">
        <f>IF(K158&gt;0,IF(AND(ROUND(K158+J159-ROUND(I$6+IF(I$5=$C159,$E$5+$E159,0),2),2)&gt;0,ROUND(K158+J159-ROUND(I$6+IF(I$5=$C159,$E$5+$E159,0),2),2)&lt;=L159,ROUND(K158+J159-ROUND(I$6+IF(I$5=$C159,$E$5+$E159,0),2),2)*10&lt;=ROUND(I$6+IF(I$5=$C159,$E$5+$E159,0),2)),ROUND(K158+J159,2),MIN(ROUND(I$6+IF(I$5=$C159,$E$5+$E159,0),2),ROUND(K158+J159,2))),0)</f>
        <v>0</v>
      </c>
      <c r="J159" s="24">
        <f>IF(K158&gt;0,ROUND(ROUND(K158*100,0)*ROUND(I$7*10000,0)/12000000,0)/100,0)</f>
        <v>0</v>
      </c>
      <c r="K159" s="24">
        <f>IF(K158&gt;0,ROUND(K158+J159-I159,2),0)</f>
        <v>0</v>
      </c>
      <c r="L159" s="24">
        <f>IF(K158&gt;0,ROUND(L158+ROUND(ROUND(L158*100,0)*ROUND(I$7*10000,0)/12000000,0)/100+0.02,2),0)</f>
        <v>0</v>
      </c>
      <c r="M159" s="24">
        <f>IF(O158&gt;0,IF(AND(ROUND(O158+N159-ROUND(M$6+IF(M$5=$C159,$E$5+$E159,0),2),2)&gt;0,ROUND(O158+N159-ROUND(M$6+IF(M$5=$C159,$E$5+$E159,0),2),2)&lt;=P159,ROUND(O158+N159-ROUND(M$6+IF(M$5=$C159,$E$5+$E159,0),2),2)*10&lt;=ROUND(M$6+IF(M$5=$C159,$E$5+$E159,0),2)),ROUND(O158+N159,2),MIN(ROUND(M$6+IF(M$5=$C159,$E$5+$E159,0),2),ROUND(O158+N159,2))),0)</f>
        <v>0</v>
      </c>
      <c r="N159" s="24">
        <f>IF(O158&gt;0,ROUND(ROUND(O158*100,0)*ROUND(M$7*10000,0)/12000000,0)/100,0)</f>
        <v>0</v>
      </c>
      <c r="O159" s="24">
        <f>IF(O158&gt;0,ROUND(O158+N159-M159,2),0)</f>
        <v>0</v>
      </c>
      <c r="P159" s="24">
        <f>IF(O158&gt;0,ROUND(P158+ROUND(ROUND(P158*100,0)*ROUND(M$7*10000,0)/12000000,0)/100+0.02,2),0)</f>
        <v>0</v>
      </c>
      <c r="Q159" s="24">
        <f>IF(S158&gt;0,IF(AND(ROUND(S158+R159-ROUND(Q$6+IF(Q$5=$C159,$E$5+$E159,0),2),2)&gt;0,ROUND(S158+R159-ROUND(Q$6+IF(Q$5=$C159,$E$5+$E159,0),2),2)&lt;=T159,ROUND(S158+R159-ROUND(Q$6+IF(Q$5=$C159,$E$5+$E159,0),2),2)*10&lt;=ROUND(Q$6+IF(Q$5=$C159,$E$5+$E159,0),2)),ROUND(S158+R159,2),MIN(ROUND(Q$6+IF(Q$5=$C159,$E$5+$E159,0),2),ROUND(S158+R159,2))),0)</f>
        <v>0</v>
      </c>
      <c r="R159" s="24">
        <f>IF(S158&gt;0,ROUND(ROUND(S158*100,0)*ROUND(Q$7*10000,0)/12000000,0)/100,0)</f>
        <v>0</v>
      </c>
      <c r="S159" s="24">
        <f>IF(S158&gt;0,ROUND(S158+R159-Q159,2),0)</f>
        <v>0</v>
      </c>
      <c r="T159" s="24">
        <f>IF(S158&gt;0,ROUND(T158+ROUND(ROUND(T158*100,0)*ROUND(Q$7*10000,0)/12000000,0)/100+0.02,2),0)</f>
        <v>0</v>
      </c>
      <c r="U159" s="24">
        <f>IF(W158&gt;0,IF(AND(ROUND(W158+V159-ROUND(U$6+IF(U$5=$C159,$E$5+$E159,0),2),2)&gt;0,ROUND(W158+V159-ROUND(U$6+IF(U$5=$C159,$E$5+$E159,0),2),2)&lt;=X159,ROUND(W158+V159-ROUND(U$6+IF(U$5=$C159,$E$5+$E159,0),2),2)*10&lt;=ROUND(U$6+IF(U$5=$C159,$E$5+$E159,0),2)),ROUND(W158+V159,2),MIN(ROUND(U$6+IF(U$5=$C159,$E$5+$E159,0),2),ROUND(W158+V159,2))),0)</f>
        <v>0</v>
      </c>
      <c r="V159" s="24">
        <f>IF(W158&gt;0,ROUND(ROUND(W158*100,0)*ROUND(U$7*10000,0)/12000000,0)/100,0)</f>
        <v>0</v>
      </c>
      <c r="W159" s="24">
        <f>IF(W158&gt;0,ROUND(W158+V159-U159,2),0)</f>
        <v>0</v>
      </c>
      <c r="X159" s="24">
        <f>IF(W158&gt;0,ROUND(X158+ROUND(ROUND(X158*100,0)*ROUND(U$7*10000,0)/12000000,0)/100+0.02,2),0)</f>
        <v>0</v>
      </c>
      <c r="Y159" s="24">
        <f>IF(AA158&gt;0,IF(AND(ROUND(AA158+Z159-ROUND(Y$6+IF(Y$5=$C159,$E$5+$E159,0),2),2)&gt;0,ROUND(AA158+Z159-ROUND(Y$6+IF(Y$5=$C159,$E$5+$E159,0),2),2)&lt;=AB159,ROUND(AA158+Z159-ROUND(Y$6+IF(Y$5=$C159,$E$5+$E159,0),2),2)*10&lt;=ROUND(Y$6+IF(Y$5=$C159,$E$5+$E159,0),2)),ROUND(AA158+Z159,2),MIN(ROUND(Y$6+IF(Y$5=$C159,$E$5+$E159,0),2),ROUND(AA158+Z159,2))),0)</f>
        <v>0</v>
      </c>
      <c r="Z159" s="24">
        <f>IF(AA158&gt;0,ROUND(ROUND(AA158*100,0)*ROUND(Y$7*10000,0)/12000000,0)/100,0)</f>
        <v>0</v>
      </c>
      <c r="AA159" s="24">
        <f>IF(AA158&gt;0,ROUND(AA158+Z159-Y159,2),0)</f>
        <v>0</v>
      </c>
      <c r="AB159" s="24">
        <f>IF(AA158&gt;0,ROUND(AB158+ROUND(ROUND(AB158*100,0)*ROUND(Y$7*10000,0)/12000000,0)/100+0.02,2),0)</f>
        <v>0</v>
      </c>
      <c r="AC159" s="24">
        <f>IF(AE158&gt;0,IF(AND(ROUND(AE158+AD159-ROUND(AC$6+IF(AC$5=$C159,$E$5+$E159,0),2),2)&gt;0,ROUND(AE158+AD159-ROUND(AC$6+IF(AC$5=$C159,$E$5+$E159,0),2),2)&lt;=AF159,ROUND(AE158+AD159-ROUND(AC$6+IF(AC$5=$C159,$E$5+$E159,0),2),2)*10&lt;=ROUND(AC$6+IF(AC$5=$C159,$E$5+$E159,0),2)),ROUND(AE158+AD159,2),MIN(ROUND(AC$6+IF(AC$5=$C159,$E$5+$E159,0),2),ROUND(AE158+AD159,2))),0)</f>
        <v>0</v>
      </c>
      <c r="AD159" s="24">
        <f>IF(AE158&gt;0,ROUND(ROUND(AE158*100,0)*ROUND(AC$7*10000,0)/12000000,0)/100,0)</f>
        <v>0</v>
      </c>
      <c r="AE159" s="24">
        <f>IF(AE158&gt;0,ROUND(AE158+AD159-AC159,2),0)</f>
        <v>0</v>
      </c>
      <c r="AF159" s="24">
        <f>IF(AE158&gt;0,ROUND(AF158+ROUND(ROUND(AF158*100,0)*ROUND(AC$7*10000,0)/12000000,0)/100+0.02,2),0)</f>
        <v>0</v>
      </c>
      <c r="AG159" s="24">
        <f>IF(AI158&gt;0,IF(AND(ROUND(AI158+AH159-ROUND(AG$6+IF(AG$5=$C159,$E$5+$E159,0),2),2)&gt;0,ROUND(AI158+AH159-ROUND(AG$6+IF(AG$5=$C159,$E$5+$E159,0),2),2)&lt;=AJ159,ROUND(AI158+AH159-ROUND(AG$6+IF(AG$5=$C159,$E$5+$E159,0),2),2)*10&lt;=ROUND(AG$6+IF(AG$5=$C159,$E$5+$E159,0),2)),ROUND(AI158+AH159,2),MIN(ROUND(AG$6+IF(AG$5=$C159,$E$5+$E159,0),2),ROUND(AI158+AH159,2))),0)</f>
        <v>0</v>
      </c>
      <c r="AH159" s="24">
        <f>IF(AI158&gt;0,ROUND(ROUND(AI158*100,0)*ROUND(AG$7*10000,0)/12000000,0)/100,0)</f>
        <v>0</v>
      </c>
      <c r="AI159" s="24">
        <f>IF(AI158&gt;0,ROUND(AI158+AH159-AG159,2),0)</f>
        <v>0</v>
      </c>
      <c r="AJ159" s="24">
        <f>IF(AI158&gt;0,ROUND(AJ158+ROUND(ROUND(AJ158*100,0)*ROUND(AG$7*10000,0)/12000000,0)/100+0.02,2),0)</f>
        <v>0</v>
      </c>
      <c r="AK159" s="24">
        <f>IF(AM158&gt;0,IF(AND(ROUND(AM158+AL159-ROUND(AK$6+IF(AK$5=$C159,$E$5+$E159,0),2),2)&gt;0,ROUND(AM158+AL159-ROUND(AK$6+IF(AK$5=$C159,$E$5+$E159,0),2),2)&lt;=AN159,ROUND(AM158+AL159-ROUND(AK$6+IF(AK$5=$C159,$E$5+$E159,0),2),2)*10&lt;=ROUND(AK$6+IF(AK$5=$C159,$E$5+$E159,0),2)),ROUND(AM158+AL159,2),MIN(ROUND(AK$6+IF(AK$5=$C159,$E$5+$E159,0),2),ROUND(AM158+AL159,2))),0)</f>
        <v>0</v>
      </c>
      <c r="AL159" s="24">
        <f>IF(AM158&gt;0,ROUND(ROUND(AM158*100,0)*ROUND(AK$7*10000,0)/12000000,0)/100,0)</f>
        <v>0</v>
      </c>
      <c r="AM159" s="24">
        <f>IF(AM158&gt;0,ROUND(AM158+AL159-AK159,2),0)</f>
        <v>0</v>
      </c>
      <c r="AN159" s="24">
        <f>IF(AM158&gt;0,ROUND(AN158+ROUND(ROUND(AN158*100,0)*ROUND(AK$7*10000,0)/12000000,0)/100+0.02,2),0)</f>
        <v>0</v>
      </c>
      <c r="AO159" s="24">
        <f>IF(AQ158&gt;0,IF(AND(ROUND(AQ158+AP159-ROUND(AO$6+IF(AO$5=$C159,$E$5+$E159,0),2),2)&gt;0,ROUND(AQ158+AP159-ROUND(AO$6+IF(AO$5=$C159,$E$5+$E159,0),2),2)&lt;=AR159,ROUND(AQ158+AP159-ROUND(AO$6+IF(AO$5=$C159,$E$5+$E159,0),2),2)*10&lt;=ROUND(AO$6+IF(AO$5=$C159,$E$5+$E159,0),2)),ROUND(AQ158+AP159,2),MIN(ROUND(AO$6+IF(AO$5=$C159,$E$5+$E159,0),2),ROUND(AQ158+AP159,2))),0)</f>
        <v>0</v>
      </c>
      <c r="AP159" s="24">
        <f>IF(AQ158&gt;0,ROUND(ROUND(AQ158*100,0)*ROUND(AO$7*10000,0)/12000000,0)/100,0)</f>
        <v>0</v>
      </c>
      <c r="AQ159" s="24">
        <f>IF(AQ158&gt;0,ROUND(AQ158+AP159-AO159,2),0)</f>
        <v>0</v>
      </c>
      <c r="AR159" s="24">
        <f>IF(AQ158&gt;0,ROUND(AR158+ROUND(ROUND(AR158*100,0)*ROUND(AO$7*10000,0)/12000000,0)/100+0.02,2),0)</f>
        <v>0</v>
      </c>
      <c r="AS159" s="24">
        <f>IF(AU158&gt;0,IF(AND(ROUND(AU158+AT159-ROUND(AS$6+IF(AS$5=$C159,$E$5+$E159,0),2),2)&gt;0,ROUND(AU158+AT159-ROUND(AS$6+IF(AS$5=$C159,$E$5+$E159,0),2),2)&lt;=AV159,ROUND(AU158+AT159-ROUND(AS$6+IF(AS$5=$C159,$E$5+$E159,0),2),2)*10&lt;=ROUND(AS$6+IF(AS$5=$C159,$E$5+$E159,0),2)),ROUND(AU158+AT159,2),MIN(ROUND(AS$6+IF(AS$5=$C159,$E$5+$E159,0),2),ROUND(AU158+AT159,2))),0)</f>
        <v>0</v>
      </c>
      <c r="AT159" s="24">
        <f>IF(AU158&gt;0,ROUND(ROUND(AU158*100,0)*ROUND(AS$7*10000,0)/12000000,0)/100,0)</f>
        <v>0</v>
      </c>
      <c r="AU159" s="24">
        <f>IF(AU158&gt;0,ROUND(AU158+AT159-AS159,2),0)</f>
        <v>0</v>
      </c>
      <c r="AV159" s="24">
        <f>IF(AU158&gt;0,ROUND(AV158+ROUND(ROUND(AV158*100,0)*ROUND(AS$7*10000,0)/12000000,0)/100+0.02,2),0)</f>
        <v>0</v>
      </c>
    </row>
    <row r="160" spans="1:48" x14ac:dyDescent="0.25">
      <c r="A160" s="17" t="str">
        <f>IF(F160&gt;0,150,"")</f>
        <v/>
      </c>
      <c r="B160" s="18" t="str">
        <f>IF(F160&gt;0,EDATE($E$6,150),"")</f>
        <v/>
      </c>
      <c r="C160" s="21">
        <f>IF(H159&gt;0,MIN(IF(K159&gt;0,I$5,99),IF(O159&gt;0,M$5,99),IF(S159&gt;0,Q$5,99),IF(W159&gt;0,U$5,99),IF(AA159&gt;0,Y$5,99),IF(AE159&gt;0,AC$5,99),IF(AI159&gt;0,AG$5,99),IF(AM159&gt;0,AK$5,99),IF(AQ159&gt;0,AO$5,99),IF(AU159&gt;0,AS$5,99)),0)</f>
        <v>0</v>
      </c>
      <c r="D160" t="str">
        <f>IF(C160&gt;0,INDEX($I$4:$AV$4,1,MATCH(C160,$I$5:$AV$5,0)),"")</f>
        <v/>
      </c>
      <c r="E160" s="24">
        <f>ROUND(IF(AND(I$8&gt;0,K159=0),I$6,0)+IF(AND(M$8&gt;0,O159=0),M$6,0)+IF(AND(Q$8&gt;0,S159=0),Q$6,0)+IF(AND(U$8&gt;0,W159=0),U$6,0)+IF(AND(Y$8&gt;0,AA159=0),Y$6,0)+IF(AND(AC$8&gt;0,AE159=0),AC$6,0)+IF(AND(AG$8&gt;0,AI159=0),AG$6,0)+IF(AND(AK$8&gt;0,AM159=0),AK$6,0)+IF(AND(AO$8&gt;0,AQ159=0),AO$6,0)+IF(AND(AS$8&gt;0,AU159=0),AS$6,0),2)</f>
        <v>325</v>
      </c>
      <c r="F160" s="24">
        <f>ROUND(I160+M160+Q160+U160+Y160+AC160+AG160+AK160+AO160+AS160,2)</f>
        <v>0</v>
      </c>
      <c r="G160" s="24">
        <f>ROUND(J160+N160+R160+V160+Z160+AD160+AH160+AL160+AP160+AT160,2)</f>
        <v>0</v>
      </c>
      <c r="H160" s="24">
        <f>ROUND(K160+O160+S160+W160+AA160+AE160+AI160+AM160+AQ160+AU160,2)</f>
        <v>0</v>
      </c>
      <c r="I160" s="24">
        <f>IF(K159&gt;0,IF(AND(ROUND(K159+J160-ROUND(I$6+IF(I$5=$C160,$E$5+$E160,0),2),2)&gt;0,ROUND(K159+J160-ROUND(I$6+IF(I$5=$C160,$E$5+$E160,0),2),2)&lt;=L160,ROUND(K159+J160-ROUND(I$6+IF(I$5=$C160,$E$5+$E160,0),2),2)*10&lt;=ROUND(I$6+IF(I$5=$C160,$E$5+$E160,0),2)),ROUND(K159+J160,2),MIN(ROUND(I$6+IF(I$5=$C160,$E$5+$E160,0),2),ROUND(K159+J160,2))),0)</f>
        <v>0</v>
      </c>
      <c r="J160" s="24">
        <f>IF(K159&gt;0,ROUND(ROUND(K159*100,0)*ROUND(I$7*10000,0)/12000000,0)/100,0)</f>
        <v>0</v>
      </c>
      <c r="K160" s="24">
        <f>IF(K159&gt;0,ROUND(K159+J160-I160,2),0)</f>
        <v>0</v>
      </c>
      <c r="L160" s="24">
        <f>IF(K159&gt;0,ROUND(L159+ROUND(ROUND(L159*100,0)*ROUND(I$7*10000,0)/12000000,0)/100+0.02,2),0)</f>
        <v>0</v>
      </c>
      <c r="M160" s="24">
        <f>IF(O159&gt;0,IF(AND(ROUND(O159+N160-ROUND(M$6+IF(M$5=$C160,$E$5+$E160,0),2),2)&gt;0,ROUND(O159+N160-ROUND(M$6+IF(M$5=$C160,$E$5+$E160,0),2),2)&lt;=P160,ROUND(O159+N160-ROUND(M$6+IF(M$5=$C160,$E$5+$E160,0),2),2)*10&lt;=ROUND(M$6+IF(M$5=$C160,$E$5+$E160,0),2)),ROUND(O159+N160,2),MIN(ROUND(M$6+IF(M$5=$C160,$E$5+$E160,0),2),ROUND(O159+N160,2))),0)</f>
        <v>0</v>
      </c>
      <c r="N160" s="24">
        <f>IF(O159&gt;0,ROUND(ROUND(O159*100,0)*ROUND(M$7*10000,0)/12000000,0)/100,0)</f>
        <v>0</v>
      </c>
      <c r="O160" s="24">
        <f>IF(O159&gt;0,ROUND(O159+N160-M160,2),0)</f>
        <v>0</v>
      </c>
      <c r="P160" s="24">
        <f>IF(O159&gt;0,ROUND(P159+ROUND(ROUND(P159*100,0)*ROUND(M$7*10000,0)/12000000,0)/100+0.02,2),0)</f>
        <v>0</v>
      </c>
      <c r="Q160" s="24">
        <f>IF(S159&gt;0,IF(AND(ROUND(S159+R160-ROUND(Q$6+IF(Q$5=$C160,$E$5+$E160,0),2),2)&gt;0,ROUND(S159+R160-ROUND(Q$6+IF(Q$5=$C160,$E$5+$E160,0),2),2)&lt;=T160,ROUND(S159+R160-ROUND(Q$6+IF(Q$5=$C160,$E$5+$E160,0),2),2)*10&lt;=ROUND(Q$6+IF(Q$5=$C160,$E$5+$E160,0),2)),ROUND(S159+R160,2),MIN(ROUND(Q$6+IF(Q$5=$C160,$E$5+$E160,0),2),ROUND(S159+R160,2))),0)</f>
        <v>0</v>
      </c>
      <c r="R160" s="24">
        <f>IF(S159&gt;0,ROUND(ROUND(S159*100,0)*ROUND(Q$7*10000,0)/12000000,0)/100,0)</f>
        <v>0</v>
      </c>
      <c r="S160" s="24">
        <f>IF(S159&gt;0,ROUND(S159+R160-Q160,2),0)</f>
        <v>0</v>
      </c>
      <c r="T160" s="24">
        <f>IF(S159&gt;0,ROUND(T159+ROUND(ROUND(T159*100,0)*ROUND(Q$7*10000,0)/12000000,0)/100+0.02,2),0)</f>
        <v>0</v>
      </c>
      <c r="U160" s="24">
        <f>IF(W159&gt;0,IF(AND(ROUND(W159+V160-ROUND(U$6+IF(U$5=$C160,$E$5+$E160,0),2),2)&gt;0,ROUND(W159+V160-ROUND(U$6+IF(U$5=$C160,$E$5+$E160,0),2),2)&lt;=X160,ROUND(W159+V160-ROUND(U$6+IF(U$5=$C160,$E$5+$E160,0),2),2)*10&lt;=ROUND(U$6+IF(U$5=$C160,$E$5+$E160,0),2)),ROUND(W159+V160,2),MIN(ROUND(U$6+IF(U$5=$C160,$E$5+$E160,0),2),ROUND(W159+V160,2))),0)</f>
        <v>0</v>
      </c>
      <c r="V160" s="24">
        <f>IF(W159&gt;0,ROUND(ROUND(W159*100,0)*ROUND(U$7*10000,0)/12000000,0)/100,0)</f>
        <v>0</v>
      </c>
      <c r="W160" s="24">
        <f>IF(W159&gt;0,ROUND(W159+V160-U160,2),0)</f>
        <v>0</v>
      </c>
      <c r="X160" s="24">
        <f>IF(W159&gt;0,ROUND(X159+ROUND(ROUND(X159*100,0)*ROUND(U$7*10000,0)/12000000,0)/100+0.02,2),0)</f>
        <v>0</v>
      </c>
      <c r="Y160" s="24">
        <f>IF(AA159&gt;0,IF(AND(ROUND(AA159+Z160-ROUND(Y$6+IF(Y$5=$C160,$E$5+$E160,0),2),2)&gt;0,ROUND(AA159+Z160-ROUND(Y$6+IF(Y$5=$C160,$E$5+$E160,0),2),2)&lt;=AB160,ROUND(AA159+Z160-ROUND(Y$6+IF(Y$5=$C160,$E$5+$E160,0),2),2)*10&lt;=ROUND(Y$6+IF(Y$5=$C160,$E$5+$E160,0),2)),ROUND(AA159+Z160,2),MIN(ROUND(Y$6+IF(Y$5=$C160,$E$5+$E160,0),2),ROUND(AA159+Z160,2))),0)</f>
        <v>0</v>
      </c>
      <c r="Z160" s="24">
        <f>IF(AA159&gt;0,ROUND(ROUND(AA159*100,0)*ROUND(Y$7*10000,0)/12000000,0)/100,0)</f>
        <v>0</v>
      </c>
      <c r="AA160" s="24">
        <f>IF(AA159&gt;0,ROUND(AA159+Z160-Y160,2),0)</f>
        <v>0</v>
      </c>
      <c r="AB160" s="24">
        <f>IF(AA159&gt;0,ROUND(AB159+ROUND(ROUND(AB159*100,0)*ROUND(Y$7*10000,0)/12000000,0)/100+0.02,2),0)</f>
        <v>0</v>
      </c>
      <c r="AC160" s="24">
        <f>IF(AE159&gt;0,IF(AND(ROUND(AE159+AD160-ROUND(AC$6+IF(AC$5=$C160,$E$5+$E160,0),2),2)&gt;0,ROUND(AE159+AD160-ROUND(AC$6+IF(AC$5=$C160,$E$5+$E160,0),2),2)&lt;=AF160,ROUND(AE159+AD160-ROUND(AC$6+IF(AC$5=$C160,$E$5+$E160,0),2),2)*10&lt;=ROUND(AC$6+IF(AC$5=$C160,$E$5+$E160,0),2)),ROUND(AE159+AD160,2),MIN(ROUND(AC$6+IF(AC$5=$C160,$E$5+$E160,0),2),ROUND(AE159+AD160,2))),0)</f>
        <v>0</v>
      </c>
      <c r="AD160" s="24">
        <f>IF(AE159&gt;0,ROUND(ROUND(AE159*100,0)*ROUND(AC$7*10000,0)/12000000,0)/100,0)</f>
        <v>0</v>
      </c>
      <c r="AE160" s="24">
        <f>IF(AE159&gt;0,ROUND(AE159+AD160-AC160,2),0)</f>
        <v>0</v>
      </c>
      <c r="AF160" s="24">
        <f>IF(AE159&gt;0,ROUND(AF159+ROUND(ROUND(AF159*100,0)*ROUND(AC$7*10000,0)/12000000,0)/100+0.02,2),0)</f>
        <v>0</v>
      </c>
      <c r="AG160" s="24">
        <f>IF(AI159&gt;0,IF(AND(ROUND(AI159+AH160-ROUND(AG$6+IF(AG$5=$C160,$E$5+$E160,0),2),2)&gt;0,ROUND(AI159+AH160-ROUND(AG$6+IF(AG$5=$C160,$E$5+$E160,0),2),2)&lt;=AJ160,ROUND(AI159+AH160-ROUND(AG$6+IF(AG$5=$C160,$E$5+$E160,0),2),2)*10&lt;=ROUND(AG$6+IF(AG$5=$C160,$E$5+$E160,0),2)),ROUND(AI159+AH160,2),MIN(ROUND(AG$6+IF(AG$5=$C160,$E$5+$E160,0),2),ROUND(AI159+AH160,2))),0)</f>
        <v>0</v>
      </c>
      <c r="AH160" s="24">
        <f>IF(AI159&gt;0,ROUND(ROUND(AI159*100,0)*ROUND(AG$7*10000,0)/12000000,0)/100,0)</f>
        <v>0</v>
      </c>
      <c r="AI160" s="24">
        <f>IF(AI159&gt;0,ROUND(AI159+AH160-AG160,2),0)</f>
        <v>0</v>
      </c>
      <c r="AJ160" s="24">
        <f>IF(AI159&gt;0,ROUND(AJ159+ROUND(ROUND(AJ159*100,0)*ROUND(AG$7*10000,0)/12000000,0)/100+0.02,2),0)</f>
        <v>0</v>
      </c>
      <c r="AK160" s="24">
        <f>IF(AM159&gt;0,IF(AND(ROUND(AM159+AL160-ROUND(AK$6+IF(AK$5=$C160,$E$5+$E160,0),2),2)&gt;0,ROUND(AM159+AL160-ROUND(AK$6+IF(AK$5=$C160,$E$5+$E160,0),2),2)&lt;=AN160,ROUND(AM159+AL160-ROUND(AK$6+IF(AK$5=$C160,$E$5+$E160,0),2),2)*10&lt;=ROUND(AK$6+IF(AK$5=$C160,$E$5+$E160,0),2)),ROUND(AM159+AL160,2),MIN(ROUND(AK$6+IF(AK$5=$C160,$E$5+$E160,0),2),ROUND(AM159+AL160,2))),0)</f>
        <v>0</v>
      </c>
      <c r="AL160" s="24">
        <f>IF(AM159&gt;0,ROUND(ROUND(AM159*100,0)*ROUND(AK$7*10000,0)/12000000,0)/100,0)</f>
        <v>0</v>
      </c>
      <c r="AM160" s="24">
        <f>IF(AM159&gt;0,ROUND(AM159+AL160-AK160,2),0)</f>
        <v>0</v>
      </c>
      <c r="AN160" s="24">
        <f>IF(AM159&gt;0,ROUND(AN159+ROUND(ROUND(AN159*100,0)*ROUND(AK$7*10000,0)/12000000,0)/100+0.02,2),0)</f>
        <v>0</v>
      </c>
      <c r="AO160" s="24">
        <f>IF(AQ159&gt;0,IF(AND(ROUND(AQ159+AP160-ROUND(AO$6+IF(AO$5=$C160,$E$5+$E160,0),2),2)&gt;0,ROUND(AQ159+AP160-ROUND(AO$6+IF(AO$5=$C160,$E$5+$E160,0),2),2)&lt;=AR160,ROUND(AQ159+AP160-ROUND(AO$6+IF(AO$5=$C160,$E$5+$E160,0),2),2)*10&lt;=ROUND(AO$6+IF(AO$5=$C160,$E$5+$E160,0),2)),ROUND(AQ159+AP160,2),MIN(ROUND(AO$6+IF(AO$5=$C160,$E$5+$E160,0),2),ROUND(AQ159+AP160,2))),0)</f>
        <v>0</v>
      </c>
      <c r="AP160" s="24">
        <f>IF(AQ159&gt;0,ROUND(ROUND(AQ159*100,0)*ROUND(AO$7*10000,0)/12000000,0)/100,0)</f>
        <v>0</v>
      </c>
      <c r="AQ160" s="24">
        <f>IF(AQ159&gt;0,ROUND(AQ159+AP160-AO160,2),0)</f>
        <v>0</v>
      </c>
      <c r="AR160" s="24">
        <f>IF(AQ159&gt;0,ROUND(AR159+ROUND(ROUND(AR159*100,0)*ROUND(AO$7*10000,0)/12000000,0)/100+0.02,2),0)</f>
        <v>0</v>
      </c>
      <c r="AS160" s="24">
        <f>IF(AU159&gt;0,IF(AND(ROUND(AU159+AT160-ROUND(AS$6+IF(AS$5=$C160,$E$5+$E160,0),2),2)&gt;0,ROUND(AU159+AT160-ROUND(AS$6+IF(AS$5=$C160,$E$5+$E160,0),2),2)&lt;=AV160,ROUND(AU159+AT160-ROUND(AS$6+IF(AS$5=$C160,$E$5+$E160,0),2),2)*10&lt;=ROUND(AS$6+IF(AS$5=$C160,$E$5+$E160,0),2)),ROUND(AU159+AT160,2),MIN(ROUND(AS$6+IF(AS$5=$C160,$E$5+$E160,0),2),ROUND(AU159+AT160,2))),0)</f>
        <v>0</v>
      </c>
      <c r="AT160" s="24">
        <f>IF(AU159&gt;0,ROUND(ROUND(AU159*100,0)*ROUND(AS$7*10000,0)/12000000,0)/100,0)</f>
        <v>0</v>
      </c>
      <c r="AU160" s="24">
        <f>IF(AU159&gt;0,ROUND(AU159+AT160-AS160,2),0)</f>
        <v>0</v>
      </c>
      <c r="AV160" s="24">
        <f>IF(AU159&gt;0,ROUND(AV159+ROUND(ROUND(AV159*100,0)*ROUND(AS$7*10000,0)/12000000,0)/100+0.02,2),0)</f>
        <v>0</v>
      </c>
    </row>
    <row r="161" spans="1:48" x14ac:dyDescent="0.25">
      <c r="A161" s="17" t="str">
        <f>IF(F161&gt;0,151,"")</f>
        <v/>
      </c>
      <c r="B161" s="18" t="str">
        <f>IF(F161&gt;0,EDATE($E$6,151),"")</f>
        <v/>
      </c>
      <c r="C161" s="21">
        <f>IF(H160&gt;0,MIN(IF(K160&gt;0,I$5,99),IF(O160&gt;0,M$5,99),IF(S160&gt;0,Q$5,99),IF(W160&gt;0,U$5,99),IF(AA160&gt;0,Y$5,99),IF(AE160&gt;0,AC$5,99),IF(AI160&gt;0,AG$5,99),IF(AM160&gt;0,AK$5,99),IF(AQ160&gt;0,AO$5,99),IF(AU160&gt;0,AS$5,99)),0)</f>
        <v>0</v>
      </c>
      <c r="D161" t="str">
        <f>IF(C161&gt;0,INDEX($I$4:$AV$4,1,MATCH(C161,$I$5:$AV$5,0)),"")</f>
        <v/>
      </c>
      <c r="E161" s="24">
        <f>ROUND(IF(AND(I$8&gt;0,K160=0),I$6,0)+IF(AND(M$8&gt;0,O160=0),M$6,0)+IF(AND(Q$8&gt;0,S160=0),Q$6,0)+IF(AND(U$8&gt;0,W160=0),U$6,0)+IF(AND(Y$8&gt;0,AA160=0),Y$6,0)+IF(AND(AC$8&gt;0,AE160=0),AC$6,0)+IF(AND(AG$8&gt;0,AI160=0),AG$6,0)+IF(AND(AK$8&gt;0,AM160=0),AK$6,0)+IF(AND(AO$8&gt;0,AQ160=0),AO$6,0)+IF(AND(AS$8&gt;0,AU160=0),AS$6,0),2)</f>
        <v>325</v>
      </c>
      <c r="F161" s="24">
        <f>ROUND(I161+M161+Q161+U161+Y161+AC161+AG161+AK161+AO161+AS161,2)</f>
        <v>0</v>
      </c>
      <c r="G161" s="24">
        <f>ROUND(J161+N161+R161+V161+Z161+AD161+AH161+AL161+AP161+AT161,2)</f>
        <v>0</v>
      </c>
      <c r="H161" s="24">
        <f>ROUND(K161+O161+S161+W161+AA161+AE161+AI161+AM161+AQ161+AU161,2)</f>
        <v>0</v>
      </c>
      <c r="I161" s="24">
        <f>IF(K160&gt;0,IF(AND(ROUND(K160+J161-ROUND(I$6+IF(I$5=$C161,$E$5+$E161,0),2),2)&gt;0,ROUND(K160+J161-ROUND(I$6+IF(I$5=$C161,$E$5+$E161,0),2),2)&lt;=L161,ROUND(K160+J161-ROUND(I$6+IF(I$5=$C161,$E$5+$E161,0),2),2)*10&lt;=ROUND(I$6+IF(I$5=$C161,$E$5+$E161,0),2)),ROUND(K160+J161,2),MIN(ROUND(I$6+IF(I$5=$C161,$E$5+$E161,0),2),ROUND(K160+J161,2))),0)</f>
        <v>0</v>
      </c>
      <c r="J161" s="24">
        <f>IF(K160&gt;0,ROUND(ROUND(K160*100,0)*ROUND(I$7*10000,0)/12000000,0)/100,0)</f>
        <v>0</v>
      </c>
      <c r="K161" s="24">
        <f>IF(K160&gt;0,ROUND(K160+J161-I161,2),0)</f>
        <v>0</v>
      </c>
      <c r="L161" s="24">
        <f>IF(K160&gt;0,ROUND(L160+ROUND(ROUND(L160*100,0)*ROUND(I$7*10000,0)/12000000,0)/100+0.02,2),0)</f>
        <v>0</v>
      </c>
      <c r="M161" s="24">
        <f>IF(O160&gt;0,IF(AND(ROUND(O160+N161-ROUND(M$6+IF(M$5=$C161,$E$5+$E161,0),2),2)&gt;0,ROUND(O160+N161-ROUND(M$6+IF(M$5=$C161,$E$5+$E161,0),2),2)&lt;=P161,ROUND(O160+N161-ROUND(M$6+IF(M$5=$C161,$E$5+$E161,0),2),2)*10&lt;=ROUND(M$6+IF(M$5=$C161,$E$5+$E161,0),2)),ROUND(O160+N161,2),MIN(ROUND(M$6+IF(M$5=$C161,$E$5+$E161,0),2),ROUND(O160+N161,2))),0)</f>
        <v>0</v>
      </c>
      <c r="N161" s="24">
        <f>IF(O160&gt;0,ROUND(ROUND(O160*100,0)*ROUND(M$7*10000,0)/12000000,0)/100,0)</f>
        <v>0</v>
      </c>
      <c r="O161" s="24">
        <f>IF(O160&gt;0,ROUND(O160+N161-M161,2),0)</f>
        <v>0</v>
      </c>
      <c r="P161" s="24">
        <f>IF(O160&gt;0,ROUND(P160+ROUND(ROUND(P160*100,0)*ROUND(M$7*10000,0)/12000000,0)/100+0.02,2),0)</f>
        <v>0</v>
      </c>
      <c r="Q161" s="24">
        <f>IF(S160&gt;0,IF(AND(ROUND(S160+R161-ROUND(Q$6+IF(Q$5=$C161,$E$5+$E161,0),2),2)&gt;0,ROUND(S160+R161-ROUND(Q$6+IF(Q$5=$C161,$E$5+$E161,0),2),2)&lt;=T161,ROUND(S160+R161-ROUND(Q$6+IF(Q$5=$C161,$E$5+$E161,0),2),2)*10&lt;=ROUND(Q$6+IF(Q$5=$C161,$E$5+$E161,0),2)),ROUND(S160+R161,2),MIN(ROUND(Q$6+IF(Q$5=$C161,$E$5+$E161,0),2),ROUND(S160+R161,2))),0)</f>
        <v>0</v>
      </c>
      <c r="R161" s="24">
        <f>IF(S160&gt;0,ROUND(ROUND(S160*100,0)*ROUND(Q$7*10000,0)/12000000,0)/100,0)</f>
        <v>0</v>
      </c>
      <c r="S161" s="24">
        <f>IF(S160&gt;0,ROUND(S160+R161-Q161,2),0)</f>
        <v>0</v>
      </c>
      <c r="T161" s="24">
        <f>IF(S160&gt;0,ROUND(T160+ROUND(ROUND(T160*100,0)*ROUND(Q$7*10000,0)/12000000,0)/100+0.02,2),0)</f>
        <v>0</v>
      </c>
      <c r="U161" s="24">
        <f>IF(W160&gt;0,IF(AND(ROUND(W160+V161-ROUND(U$6+IF(U$5=$C161,$E$5+$E161,0),2),2)&gt;0,ROUND(W160+V161-ROUND(U$6+IF(U$5=$C161,$E$5+$E161,0),2),2)&lt;=X161,ROUND(W160+V161-ROUND(U$6+IF(U$5=$C161,$E$5+$E161,0),2),2)*10&lt;=ROUND(U$6+IF(U$5=$C161,$E$5+$E161,0),2)),ROUND(W160+V161,2),MIN(ROUND(U$6+IF(U$5=$C161,$E$5+$E161,0),2),ROUND(W160+V161,2))),0)</f>
        <v>0</v>
      </c>
      <c r="V161" s="24">
        <f>IF(W160&gt;0,ROUND(ROUND(W160*100,0)*ROUND(U$7*10000,0)/12000000,0)/100,0)</f>
        <v>0</v>
      </c>
      <c r="W161" s="24">
        <f>IF(W160&gt;0,ROUND(W160+V161-U161,2),0)</f>
        <v>0</v>
      </c>
      <c r="X161" s="24">
        <f>IF(W160&gt;0,ROUND(X160+ROUND(ROUND(X160*100,0)*ROUND(U$7*10000,0)/12000000,0)/100+0.02,2),0)</f>
        <v>0</v>
      </c>
      <c r="Y161" s="24">
        <f>IF(AA160&gt;0,IF(AND(ROUND(AA160+Z161-ROUND(Y$6+IF(Y$5=$C161,$E$5+$E161,0),2),2)&gt;0,ROUND(AA160+Z161-ROUND(Y$6+IF(Y$5=$C161,$E$5+$E161,0),2),2)&lt;=AB161,ROUND(AA160+Z161-ROUND(Y$6+IF(Y$5=$C161,$E$5+$E161,0),2),2)*10&lt;=ROUND(Y$6+IF(Y$5=$C161,$E$5+$E161,0),2)),ROUND(AA160+Z161,2),MIN(ROUND(Y$6+IF(Y$5=$C161,$E$5+$E161,0),2),ROUND(AA160+Z161,2))),0)</f>
        <v>0</v>
      </c>
      <c r="Z161" s="24">
        <f>IF(AA160&gt;0,ROUND(ROUND(AA160*100,0)*ROUND(Y$7*10000,0)/12000000,0)/100,0)</f>
        <v>0</v>
      </c>
      <c r="AA161" s="24">
        <f>IF(AA160&gt;0,ROUND(AA160+Z161-Y161,2),0)</f>
        <v>0</v>
      </c>
      <c r="AB161" s="24">
        <f>IF(AA160&gt;0,ROUND(AB160+ROUND(ROUND(AB160*100,0)*ROUND(Y$7*10000,0)/12000000,0)/100+0.02,2),0)</f>
        <v>0</v>
      </c>
      <c r="AC161" s="24">
        <f>IF(AE160&gt;0,IF(AND(ROUND(AE160+AD161-ROUND(AC$6+IF(AC$5=$C161,$E$5+$E161,0),2),2)&gt;0,ROUND(AE160+AD161-ROUND(AC$6+IF(AC$5=$C161,$E$5+$E161,0),2),2)&lt;=AF161,ROUND(AE160+AD161-ROUND(AC$6+IF(AC$5=$C161,$E$5+$E161,0),2),2)*10&lt;=ROUND(AC$6+IF(AC$5=$C161,$E$5+$E161,0),2)),ROUND(AE160+AD161,2),MIN(ROUND(AC$6+IF(AC$5=$C161,$E$5+$E161,0),2),ROUND(AE160+AD161,2))),0)</f>
        <v>0</v>
      </c>
      <c r="AD161" s="24">
        <f>IF(AE160&gt;0,ROUND(ROUND(AE160*100,0)*ROUND(AC$7*10000,0)/12000000,0)/100,0)</f>
        <v>0</v>
      </c>
      <c r="AE161" s="24">
        <f>IF(AE160&gt;0,ROUND(AE160+AD161-AC161,2),0)</f>
        <v>0</v>
      </c>
      <c r="AF161" s="24">
        <f>IF(AE160&gt;0,ROUND(AF160+ROUND(ROUND(AF160*100,0)*ROUND(AC$7*10000,0)/12000000,0)/100+0.02,2),0)</f>
        <v>0</v>
      </c>
      <c r="AG161" s="24">
        <f>IF(AI160&gt;0,IF(AND(ROUND(AI160+AH161-ROUND(AG$6+IF(AG$5=$C161,$E$5+$E161,0),2),2)&gt;0,ROUND(AI160+AH161-ROUND(AG$6+IF(AG$5=$C161,$E$5+$E161,0),2),2)&lt;=AJ161,ROUND(AI160+AH161-ROUND(AG$6+IF(AG$5=$C161,$E$5+$E161,0),2),2)*10&lt;=ROUND(AG$6+IF(AG$5=$C161,$E$5+$E161,0),2)),ROUND(AI160+AH161,2),MIN(ROUND(AG$6+IF(AG$5=$C161,$E$5+$E161,0),2),ROUND(AI160+AH161,2))),0)</f>
        <v>0</v>
      </c>
      <c r="AH161" s="24">
        <f>IF(AI160&gt;0,ROUND(ROUND(AI160*100,0)*ROUND(AG$7*10000,0)/12000000,0)/100,0)</f>
        <v>0</v>
      </c>
      <c r="AI161" s="24">
        <f>IF(AI160&gt;0,ROUND(AI160+AH161-AG161,2),0)</f>
        <v>0</v>
      </c>
      <c r="AJ161" s="24">
        <f>IF(AI160&gt;0,ROUND(AJ160+ROUND(ROUND(AJ160*100,0)*ROUND(AG$7*10000,0)/12000000,0)/100+0.02,2),0)</f>
        <v>0</v>
      </c>
      <c r="AK161" s="24">
        <f>IF(AM160&gt;0,IF(AND(ROUND(AM160+AL161-ROUND(AK$6+IF(AK$5=$C161,$E$5+$E161,0),2),2)&gt;0,ROUND(AM160+AL161-ROUND(AK$6+IF(AK$5=$C161,$E$5+$E161,0),2),2)&lt;=AN161,ROUND(AM160+AL161-ROUND(AK$6+IF(AK$5=$C161,$E$5+$E161,0),2),2)*10&lt;=ROUND(AK$6+IF(AK$5=$C161,$E$5+$E161,0),2)),ROUND(AM160+AL161,2),MIN(ROUND(AK$6+IF(AK$5=$C161,$E$5+$E161,0),2),ROUND(AM160+AL161,2))),0)</f>
        <v>0</v>
      </c>
      <c r="AL161" s="24">
        <f>IF(AM160&gt;0,ROUND(ROUND(AM160*100,0)*ROUND(AK$7*10000,0)/12000000,0)/100,0)</f>
        <v>0</v>
      </c>
      <c r="AM161" s="24">
        <f>IF(AM160&gt;0,ROUND(AM160+AL161-AK161,2),0)</f>
        <v>0</v>
      </c>
      <c r="AN161" s="24">
        <f>IF(AM160&gt;0,ROUND(AN160+ROUND(ROUND(AN160*100,0)*ROUND(AK$7*10000,0)/12000000,0)/100+0.02,2),0)</f>
        <v>0</v>
      </c>
      <c r="AO161" s="24">
        <f>IF(AQ160&gt;0,IF(AND(ROUND(AQ160+AP161-ROUND(AO$6+IF(AO$5=$C161,$E$5+$E161,0),2),2)&gt;0,ROUND(AQ160+AP161-ROUND(AO$6+IF(AO$5=$C161,$E$5+$E161,0),2),2)&lt;=AR161,ROUND(AQ160+AP161-ROUND(AO$6+IF(AO$5=$C161,$E$5+$E161,0),2),2)*10&lt;=ROUND(AO$6+IF(AO$5=$C161,$E$5+$E161,0),2)),ROUND(AQ160+AP161,2),MIN(ROUND(AO$6+IF(AO$5=$C161,$E$5+$E161,0),2),ROUND(AQ160+AP161,2))),0)</f>
        <v>0</v>
      </c>
      <c r="AP161" s="24">
        <f>IF(AQ160&gt;0,ROUND(ROUND(AQ160*100,0)*ROUND(AO$7*10000,0)/12000000,0)/100,0)</f>
        <v>0</v>
      </c>
      <c r="AQ161" s="24">
        <f>IF(AQ160&gt;0,ROUND(AQ160+AP161-AO161,2),0)</f>
        <v>0</v>
      </c>
      <c r="AR161" s="24">
        <f>IF(AQ160&gt;0,ROUND(AR160+ROUND(ROUND(AR160*100,0)*ROUND(AO$7*10000,0)/12000000,0)/100+0.02,2),0)</f>
        <v>0</v>
      </c>
      <c r="AS161" s="24">
        <f>IF(AU160&gt;0,IF(AND(ROUND(AU160+AT161-ROUND(AS$6+IF(AS$5=$C161,$E$5+$E161,0),2),2)&gt;0,ROUND(AU160+AT161-ROUND(AS$6+IF(AS$5=$C161,$E$5+$E161,0),2),2)&lt;=AV161,ROUND(AU160+AT161-ROUND(AS$6+IF(AS$5=$C161,$E$5+$E161,0),2),2)*10&lt;=ROUND(AS$6+IF(AS$5=$C161,$E$5+$E161,0),2)),ROUND(AU160+AT161,2),MIN(ROUND(AS$6+IF(AS$5=$C161,$E$5+$E161,0),2),ROUND(AU160+AT161,2))),0)</f>
        <v>0</v>
      </c>
      <c r="AT161" s="24">
        <f>IF(AU160&gt;0,ROUND(ROUND(AU160*100,0)*ROUND(AS$7*10000,0)/12000000,0)/100,0)</f>
        <v>0</v>
      </c>
      <c r="AU161" s="24">
        <f>IF(AU160&gt;0,ROUND(AU160+AT161-AS161,2),0)</f>
        <v>0</v>
      </c>
      <c r="AV161" s="24">
        <f>IF(AU160&gt;0,ROUND(AV160+ROUND(ROUND(AV160*100,0)*ROUND(AS$7*10000,0)/12000000,0)/100+0.02,2),0)</f>
        <v>0</v>
      </c>
    </row>
    <row r="162" spans="1:48" x14ac:dyDescent="0.25">
      <c r="A162" s="17" t="str">
        <f>IF(F162&gt;0,152,"")</f>
        <v/>
      </c>
      <c r="B162" s="18" t="str">
        <f>IF(F162&gt;0,EDATE($E$6,152),"")</f>
        <v/>
      </c>
      <c r="C162" s="21">
        <f>IF(H161&gt;0,MIN(IF(K161&gt;0,I$5,99),IF(O161&gt;0,M$5,99),IF(S161&gt;0,Q$5,99),IF(W161&gt;0,U$5,99),IF(AA161&gt;0,Y$5,99),IF(AE161&gt;0,AC$5,99),IF(AI161&gt;0,AG$5,99),IF(AM161&gt;0,AK$5,99),IF(AQ161&gt;0,AO$5,99),IF(AU161&gt;0,AS$5,99)),0)</f>
        <v>0</v>
      </c>
      <c r="D162" t="str">
        <f>IF(C162&gt;0,INDEX($I$4:$AV$4,1,MATCH(C162,$I$5:$AV$5,0)),"")</f>
        <v/>
      </c>
      <c r="E162" s="24">
        <f>ROUND(IF(AND(I$8&gt;0,K161=0),I$6,0)+IF(AND(M$8&gt;0,O161=0),M$6,0)+IF(AND(Q$8&gt;0,S161=0),Q$6,0)+IF(AND(U$8&gt;0,W161=0),U$6,0)+IF(AND(Y$8&gt;0,AA161=0),Y$6,0)+IF(AND(AC$8&gt;0,AE161=0),AC$6,0)+IF(AND(AG$8&gt;0,AI161=0),AG$6,0)+IF(AND(AK$8&gt;0,AM161=0),AK$6,0)+IF(AND(AO$8&gt;0,AQ161=0),AO$6,0)+IF(AND(AS$8&gt;0,AU161=0),AS$6,0),2)</f>
        <v>325</v>
      </c>
      <c r="F162" s="24">
        <f>ROUND(I162+M162+Q162+U162+Y162+AC162+AG162+AK162+AO162+AS162,2)</f>
        <v>0</v>
      </c>
      <c r="G162" s="24">
        <f>ROUND(J162+N162+R162+V162+Z162+AD162+AH162+AL162+AP162+AT162,2)</f>
        <v>0</v>
      </c>
      <c r="H162" s="24">
        <f>ROUND(K162+O162+S162+W162+AA162+AE162+AI162+AM162+AQ162+AU162,2)</f>
        <v>0</v>
      </c>
      <c r="I162" s="24">
        <f>IF(K161&gt;0,IF(AND(ROUND(K161+J162-ROUND(I$6+IF(I$5=$C162,$E$5+$E162,0),2),2)&gt;0,ROUND(K161+J162-ROUND(I$6+IF(I$5=$C162,$E$5+$E162,0),2),2)&lt;=L162,ROUND(K161+J162-ROUND(I$6+IF(I$5=$C162,$E$5+$E162,0),2),2)*10&lt;=ROUND(I$6+IF(I$5=$C162,$E$5+$E162,0),2)),ROUND(K161+J162,2),MIN(ROUND(I$6+IF(I$5=$C162,$E$5+$E162,0),2),ROUND(K161+J162,2))),0)</f>
        <v>0</v>
      </c>
      <c r="J162" s="24">
        <f>IF(K161&gt;0,ROUND(ROUND(K161*100,0)*ROUND(I$7*10000,0)/12000000,0)/100,0)</f>
        <v>0</v>
      </c>
      <c r="K162" s="24">
        <f>IF(K161&gt;0,ROUND(K161+J162-I162,2),0)</f>
        <v>0</v>
      </c>
      <c r="L162" s="24">
        <f>IF(K161&gt;0,ROUND(L161+ROUND(ROUND(L161*100,0)*ROUND(I$7*10000,0)/12000000,0)/100+0.02,2),0)</f>
        <v>0</v>
      </c>
      <c r="M162" s="24">
        <f>IF(O161&gt;0,IF(AND(ROUND(O161+N162-ROUND(M$6+IF(M$5=$C162,$E$5+$E162,0),2),2)&gt;0,ROUND(O161+N162-ROUND(M$6+IF(M$5=$C162,$E$5+$E162,0),2),2)&lt;=P162,ROUND(O161+N162-ROUND(M$6+IF(M$5=$C162,$E$5+$E162,0),2),2)*10&lt;=ROUND(M$6+IF(M$5=$C162,$E$5+$E162,0),2)),ROUND(O161+N162,2),MIN(ROUND(M$6+IF(M$5=$C162,$E$5+$E162,0),2),ROUND(O161+N162,2))),0)</f>
        <v>0</v>
      </c>
      <c r="N162" s="24">
        <f>IF(O161&gt;0,ROUND(ROUND(O161*100,0)*ROUND(M$7*10000,0)/12000000,0)/100,0)</f>
        <v>0</v>
      </c>
      <c r="O162" s="24">
        <f>IF(O161&gt;0,ROUND(O161+N162-M162,2),0)</f>
        <v>0</v>
      </c>
      <c r="P162" s="24">
        <f>IF(O161&gt;0,ROUND(P161+ROUND(ROUND(P161*100,0)*ROUND(M$7*10000,0)/12000000,0)/100+0.02,2),0)</f>
        <v>0</v>
      </c>
      <c r="Q162" s="24">
        <f>IF(S161&gt;0,IF(AND(ROUND(S161+R162-ROUND(Q$6+IF(Q$5=$C162,$E$5+$E162,0),2),2)&gt;0,ROUND(S161+R162-ROUND(Q$6+IF(Q$5=$C162,$E$5+$E162,0),2),2)&lt;=T162,ROUND(S161+R162-ROUND(Q$6+IF(Q$5=$C162,$E$5+$E162,0),2),2)*10&lt;=ROUND(Q$6+IF(Q$5=$C162,$E$5+$E162,0),2)),ROUND(S161+R162,2),MIN(ROUND(Q$6+IF(Q$5=$C162,$E$5+$E162,0),2),ROUND(S161+R162,2))),0)</f>
        <v>0</v>
      </c>
      <c r="R162" s="24">
        <f>IF(S161&gt;0,ROUND(ROUND(S161*100,0)*ROUND(Q$7*10000,0)/12000000,0)/100,0)</f>
        <v>0</v>
      </c>
      <c r="S162" s="24">
        <f>IF(S161&gt;0,ROUND(S161+R162-Q162,2),0)</f>
        <v>0</v>
      </c>
      <c r="T162" s="24">
        <f>IF(S161&gt;0,ROUND(T161+ROUND(ROUND(T161*100,0)*ROUND(Q$7*10000,0)/12000000,0)/100+0.02,2),0)</f>
        <v>0</v>
      </c>
      <c r="U162" s="24">
        <f>IF(W161&gt;0,IF(AND(ROUND(W161+V162-ROUND(U$6+IF(U$5=$C162,$E$5+$E162,0),2),2)&gt;0,ROUND(W161+V162-ROUND(U$6+IF(U$5=$C162,$E$5+$E162,0),2),2)&lt;=X162,ROUND(W161+V162-ROUND(U$6+IF(U$5=$C162,$E$5+$E162,0),2),2)*10&lt;=ROUND(U$6+IF(U$5=$C162,$E$5+$E162,0),2)),ROUND(W161+V162,2),MIN(ROUND(U$6+IF(U$5=$C162,$E$5+$E162,0),2),ROUND(W161+V162,2))),0)</f>
        <v>0</v>
      </c>
      <c r="V162" s="24">
        <f>IF(W161&gt;0,ROUND(ROUND(W161*100,0)*ROUND(U$7*10000,0)/12000000,0)/100,0)</f>
        <v>0</v>
      </c>
      <c r="W162" s="24">
        <f>IF(W161&gt;0,ROUND(W161+V162-U162,2),0)</f>
        <v>0</v>
      </c>
      <c r="X162" s="24">
        <f>IF(W161&gt;0,ROUND(X161+ROUND(ROUND(X161*100,0)*ROUND(U$7*10000,0)/12000000,0)/100+0.02,2),0)</f>
        <v>0</v>
      </c>
      <c r="Y162" s="24">
        <f>IF(AA161&gt;0,IF(AND(ROUND(AA161+Z162-ROUND(Y$6+IF(Y$5=$C162,$E$5+$E162,0),2),2)&gt;0,ROUND(AA161+Z162-ROUND(Y$6+IF(Y$5=$C162,$E$5+$E162,0),2),2)&lt;=AB162,ROUND(AA161+Z162-ROUND(Y$6+IF(Y$5=$C162,$E$5+$E162,0),2),2)*10&lt;=ROUND(Y$6+IF(Y$5=$C162,$E$5+$E162,0),2)),ROUND(AA161+Z162,2),MIN(ROUND(Y$6+IF(Y$5=$C162,$E$5+$E162,0),2),ROUND(AA161+Z162,2))),0)</f>
        <v>0</v>
      </c>
      <c r="Z162" s="24">
        <f>IF(AA161&gt;0,ROUND(ROUND(AA161*100,0)*ROUND(Y$7*10000,0)/12000000,0)/100,0)</f>
        <v>0</v>
      </c>
      <c r="AA162" s="24">
        <f>IF(AA161&gt;0,ROUND(AA161+Z162-Y162,2),0)</f>
        <v>0</v>
      </c>
      <c r="AB162" s="24">
        <f>IF(AA161&gt;0,ROUND(AB161+ROUND(ROUND(AB161*100,0)*ROUND(Y$7*10000,0)/12000000,0)/100+0.02,2),0)</f>
        <v>0</v>
      </c>
      <c r="AC162" s="24">
        <f>IF(AE161&gt;0,IF(AND(ROUND(AE161+AD162-ROUND(AC$6+IF(AC$5=$C162,$E$5+$E162,0),2),2)&gt;0,ROUND(AE161+AD162-ROUND(AC$6+IF(AC$5=$C162,$E$5+$E162,0),2),2)&lt;=AF162,ROUND(AE161+AD162-ROUND(AC$6+IF(AC$5=$C162,$E$5+$E162,0),2),2)*10&lt;=ROUND(AC$6+IF(AC$5=$C162,$E$5+$E162,0),2)),ROUND(AE161+AD162,2),MIN(ROUND(AC$6+IF(AC$5=$C162,$E$5+$E162,0),2),ROUND(AE161+AD162,2))),0)</f>
        <v>0</v>
      </c>
      <c r="AD162" s="24">
        <f>IF(AE161&gt;0,ROUND(ROUND(AE161*100,0)*ROUND(AC$7*10000,0)/12000000,0)/100,0)</f>
        <v>0</v>
      </c>
      <c r="AE162" s="24">
        <f>IF(AE161&gt;0,ROUND(AE161+AD162-AC162,2),0)</f>
        <v>0</v>
      </c>
      <c r="AF162" s="24">
        <f>IF(AE161&gt;0,ROUND(AF161+ROUND(ROUND(AF161*100,0)*ROUND(AC$7*10000,0)/12000000,0)/100+0.02,2),0)</f>
        <v>0</v>
      </c>
      <c r="AG162" s="24">
        <f>IF(AI161&gt;0,IF(AND(ROUND(AI161+AH162-ROUND(AG$6+IF(AG$5=$C162,$E$5+$E162,0),2),2)&gt;0,ROUND(AI161+AH162-ROUND(AG$6+IF(AG$5=$C162,$E$5+$E162,0),2),2)&lt;=AJ162,ROUND(AI161+AH162-ROUND(AG$6+IF(AG$5=$C162,$E$5+$E162,0),2),2)*10&lt;=ROUND(AG$6+IF(AG$5=$C162,$E$5+$E162,0),2)),ROUND(AI161+AH162,2),MIN(ROUND(AG$6+IF(AG$5=$C162,$E$5+$E162,0),2),ROUND(AI161+AH162,2))),0)</f>
        <v>0</v>
      </c>
      <c r="AH162" s="24">
        <f>IF(AI161&gt;0,ROUND(ROUND(AI161*100,0)*ROUND(AG$7*10000,0)/12000000,0)/100,0)</f>
        <v>0</v>
      </c>
      <c r="AI162" s="24">
        <f>IF(AI161&gt;0,ROUND(AI161+AH162-AG162,2),0)</f>
        <v>0</v>
      </c>
      <c r="AJ162" s="24">
        <f>IF(AI161&gt;0,ROUND(AJ161+ROUND(ROUND(AJ161*100,0)*ROUND(AG$7*10000,0)/12000000,0)/100+0.02,2),0)</f>
        <v>0</v>
      </c>
      <c r="AK162" s="24">
        <f>IF(AM161&gt;0,IF(AND(ROUND(AM161+AL162-ROUND(AK$6+IF(AK$5=$C162,$E$5+$E162,0),2),2)&gt;0,ROUND(AM161+AL162-ROUND(AK$6+IF(AK$5=$C162,$E$5+$E162,0),2),2)&lt;=AN162,ROUND(AM161+AL162-ROUND(AK$6+IF(AK$5=$C162,$E$5+$E162,0),2),2)*10&lt;=ROUND(AK$6+IF(AK$5=$C162,$E$5+$E162,0),2)),ROUND(AM161+AL162,2),MIN(ROUND(AK$6+IF(AK$5=$C162,$E$5+$E162,0),2),ROUND(AM161+AL162,2))),0)</f>
        <v>0</v>
      </c>
      <c r="AL162" s="24">
        <f>IF(AM161&gt;0,ROUND(ROUND(AM161*100,0)*ROUND(AK$7*10000,0)/12000000,0)/100,0)</f>
        <v>0</v>
      </c>
      <c r="AM162" s="24">
        <f>IF(AM161&gt;0,ROUND(AM161+AL162-AK162,2),0)</f>
        <v>0</v>
      </c>
      <c r="AN162" s="24">
        <f>IF(AM161&gt;0,ROUND(AN161+ROUND(ROUND(AN161*100,0)*ROUND(AK$7*10000,0)/12000000,0)/100+0.02,2),0)</f>
        <v>0</v>
      </c>
      <c r="AO162" s="24">
        <f>IF(AQ161&gt;0,IF(AND(ROUND(AQ161+AP162-ROUND(AO$6+IF(AO$5=$C162,$E$5+$E162,0),2),2)&gt;0,ROUND(AQ161+AP162-ROUND(AO$6+IF(AO$5=$C162,$E$5+$E162,0),2),2)&lt;=AR162,ROUND(AQ161+AP162-ROUND(AO$6+IF(AO$5=$C162,$E$5+$E162,0),2),2)*10&lt;=ROUND(AO$6+IF(AO$5=$C162,$E$5+$E162,0),2)),ROUND(AQ161+AP162,2),MIN(ROUND(AO$6+IF(AO$5=$C162,$E$5+$E162,0),2),ROUND(AQ161+AP162,2))),0)</f>
        <v>0</v>
      </c>
      <c r="AP162" s="24">
        <f>IF(AQ161&gt;0,ROUND(ROUND(AQ161*100,0)*ROUND(AO$7*10000,0)/12000000,0)/100,0)</f>
        <v>0</v>
      </c>
      <c r="AQ162" s="24">
        <f>IF(AQ161&gt;0,ROUND(AQ161+AP162-AO162,2),0)</f>
        <v>0</v>
      </c>
      <c r="AR162" s="24">
        <f>IF(AQ161&gt;0,ROUND(AR161+ROUND(ROUND(AR161*100,0)*ROUND(AO$7*10000,0)/12000000,0)/100+0.02,2),0)</f>
        <v>0</v>
      </c>
      <c r="AS162" s="24">
        <f>IF(AU161&gt;0,IF(AND(ROUND(AU161+AT162-ROUND(AS$6+IF(AS$5=$C162,$E$5+$E162,0),2),2)&gt;0,ROUND(AU161+AT162-ROUND(AS$6+IF(AS$5=$C162,$E$5+$E162,0),2),2)&lt;=AV162,ROUND(AU161+AT162-ROUND(AS$6+IF(AS$5=$C162,$E$5+$E162,0),2),2)*10&lt;=ROUND(AS$6+IF(AS$5=$C162,$E$5+$E162,0),2)),ROUND(AU161+AT162,2),MIN(ROUND(AS$6+IF(AS$5=$C162,$E$5+$E162,0),2),ROUND(AU161+AT162,2))),0)</f>
        <v>0</v>
      </c>
      <c r="AT162" s="24">
        <f>IF(AU161&gt;0,ROUND(ROUND(AU161*100,0)*ROUND(AS$7*10000,0)/12000000,0)/100,0)</f>
        <v>0</v>
      </c>
      <c r="AU162" s="24">
        <f>IF(AU161&gt;0,ROUND(AU161+AT162-AS162,2),0)</f>
        <v>0</v>
      </c>
      <c r="AV162" s="24">
        <f>IF(AU161&gt;0,ROUND(AV161+ROUND(ROUND(AV161*100,0)*ROUND(AS$7*10000,0)/12000000,0)/100+0.02,2),0)</f>
        <v>0</v>
      </c>
    </row>
    <row r="163" spans="1:48" x14ac:dyDescent="0.25">
      <c r="A163" s="17" t="str">
        <f>IF(F163&gt;0,153,"")</f>
        <v/>
      </c>
      <c r="B163" s="18" t="str">
        <f>IF(F163&gt;0,EDATE($E$6,153),"")</f>
        <v/>
      </c>
      <c r="C163" s="21">
        <f>IF(H162&gt;0,MIN(IF(K162&gt;0,I$5,99),IF(O162&gt;0,M$5,99),IF(S162&gt;0,Q$5,99),IF(W162&gt;0,U$5,99),IF(AA162&gt;0,Y$5,99),IF(AE162&gt;0,AC$5,99),IF(AI162&gt;0,AG$5,99),IF(AM162&gt;0,AK$5,99),IF(AQ162&gt;0,AO$5,99),IF(AU162&gt;0,AS$5,99)),0)</f>
        <v>0</v>
      </c>
      <c r="D163" t="str">
        <f>IF(C163&gt;0,INDEX($I$4:$AV$4,1,MATCH(C163,$I$5:$AV$5,0)),"")</f>
        <v/>
      </c>
      <c r="E163" s="24">
        <f>ROUND(IF(AND(I$8&gt;0,K162=0),I$6,0)+IF(AND(M$8&gt;0,O162=0),M$6,0)+IF(AND(Q$8&gt;0,S162=0),Q$6,0)+IF(AND(U$8&gt;0,W162=0),U$6,0)+IF(AND(Y$8&gt;0,AA162=0),Y$6,0)+IF(AND(AC$8&gt;0,AE162=0),AC$6,0)+IF(AND(AG$8&gt;0,AI162=0),AG$6,0)+IF(AND(AK$8&gt;0,AM162=0),AK$6,0)+IF(AND(AO$8&gt;0,AQ162=0),AO$6,0)+IF(AND(AS$8&gt;0,AU162=0),AS$6,0),2)</f>
        <v>325</v>
      </c>
      <c r="F163" s="24">
        <f>ROUND(I163+M163+Q163+U163+Y163+AC163+AG163+AK163+AO163+AS163,2)</f>
        <v>0</v>
      </c>
      <c r="G163" s="24">
        <f>ROUND(J163+N163+R163+V163+Z163+AD163+AH163+AL163+AP163+AT163,2)</f>
        <v>0</v>
      </c>
      <c r="H163" s="24">
        <f>ROUND(K163+O163+S163+W163+AA163+AE163+AI163+AM163+AQ163+AU163,2)</f>
        <v>0</v>
      </c>
      <c r="I163" s="24">
        <f>IF(K162&gt;0,IF(AND(ROUND(K162+J163-ROUND(I$6+IF(I$5=$C163,$E$5+$E163,0),2),2)&gt;0,ROUND(K162+J163-ROUND(I$6+IF(I$5=$C163,$E$5+$E163,0),2),2)&lt;=L163,ROUND(K162+J163-ROUND(I$6+IF(I$5=$C163,$E$5+$E163,0),2),2)*10&lt;=ROUND(I$6+IF(I$5=$C163,$E$5+$E163,0),2)),ROUND(K162+J163,2),MIN(ROUND(I$6+IF(I$5=$C163,$E$5+$E163,0),2),ROUND(K162+J163,2))),0)</f>
        <v>0</v>
      </c>
      <c r="J163" s="24">
        <f>IF(K162&gt;0,ROUND(ROUND(K162*100,0)*ROUND(I$7*10000,0)/12000000,0)/100,0)</f>
        <v>0</v>
      </c>
      <c r="K163" s="24">
        <f>IF(K162&gt;0,ROUND(K162+J163-I163,2),0)</f>
        <v>0</v>
      </c>
      <c r="L163" s="24">
        <f>IF(K162&gt;0,ROUND(L162+ROUND(ROUND(L162*100,0)*ROUND(I$7*10000,0)/12000000,0)/100+0.02,2),0)</f>
        <v>0</v>
      </c>
      <c r="M163" s="24">
        <f>IF(O162&gt;0,IF(AND(ROUND(O162+N163-ROUND(M$6+IF(M$5=$C163,$E$5+$E163,0),2),2)&gt;0,ROUND(O162+N163-ROUND(M$6+IF(M$5=$C163,$E$5+$E163,0),2),2)&lt;=P163,ROUND(O162+N163-ROUND(M$6+IF(M$5=$C163,$E$5+$E163,0),2),2)*10&lt;=ROUND(M$6+IF(M$5=$C163,$E$5+$E163,0),2)),ROUND(O162+N163,2),MIN(ROUND(M$6+IF(M$5=$C163,$E$5+$E163,0),2),ROUND(O162+N163,2))),0)</f>
        <v>0</v>
      </c>
      <c r="N163" s="24">
        <f>IF(O162&gt;0,ROUND(ROUND(O162*100,0)*ROUND(M$7*10000,0)/12000000,0)/100,0)</f>
        <v>0</v>
      </c>
      <c r="O163" s="24">
        <f>IF(O162&gt;0,ROUND(O162+N163-M163,2),0)</f>
        <v>0</v>
      </c>
      <c r="P163" s="24">
        <f>IF(O162&gt;0,ROUND(P162+ROUND(ROUND(P162*100,0)*ROUND(M$7*10000,0)/12000000,0)/100+0.02,2),0)</f>
        <v>0</v>
      </c>
      <c r="Q163" s="24">
        <f>IF(S162&gt;0,IF(AND(ROUND(S162+R163-ROUND(Q$6+IF(Q$5=$C163,$E$5+$E163,0),2),2)&gt;0,ROUND(S162+R163-ROUND(Q$6+IF(Q$5=$C163,$E$5+$E163,0),2),2)&lt;=T163,ROUND(S162+R163-ROUND(Q$6+IF(Q$5=$C163,$E$5+$E163,0),2),2)*10&lt;=ROUND(Q$6+IF(Q$5=$C163,$E$5+$E163,0),2)),ROUND(S162+R163,2),MIN(ROUND(Q$6+IF(Q$5=$C163,$E$5+$E163,0),2),ROUND(S162+R163,2))),0)</f>
        <v>0</v>
      </c>
      <c r="R163" s="24">
        <f>IF(S162&gt;0,ROUND(ROUND(S162*100,0)*ROUND(Q$7*10000,0)/12000000,0)/100,0)</f>
        <v>0</v>
      </c>
      <c r="S163" s="24">
        <f>IF(S162&gt;0,ROUND(S162+R163-Q163,2),0)</f>
        <v>0</v>
      </c>
      <c r="T163" s="24">
        <f>IF(S162&gt;0,ROUND(T162+ROUND(ROUND(T162*100,0)*ROUND(Q$7*10000,0)/12000000,0)/100+0.02,2),0)</f>
        <v>0</v>
      </c>
      <c r="U163" s="24">
        <f>IF(W162&gt;0,IF(AND(ROUND(W162+V163-ROUND(U$6+IF(U$5=$C163,$E$5+$E163,0),2),2)&gt;0,ROUND(W162+V163-ROUND(U$6+IF(U$5=$C163,$E$5+$E163,0),2),2)&lt;=X163,ROUND(W162+V163-ROUND(U$6+IF(U$5=$C163,$E$5+$E163,0),2),2)*10&lt;=ROUND(U$6+IF(U$5=$C163,$E$5+$E163,0),2)),ROUND(W162+V163,2),MIN(ROUND(U$6+IF(U$5=$C163,$E$5+$E163,0),2),ROUND(W162+V163,2))),0)</f>
        <v>0</v>
      </c>
      <c r="V163" s="24">
        <f>IF(W162&gt;0,ROUND(ROUND(W162*100,0)*ROUND(U$7*10000,0)/12000000,0)/100,0)</f>
        <v>0</v>
      </c>
      <c r="W163" s="24">
        <f>IF(W162&gt;0,ROUND(W162+V163-U163,2),0)</f>
        <v>0</v>
      </c>
      <c r="X163" s="24">
        <f>IF(W162&gt;0,ROUND(X162+ROUND(ROUND(X162*100,0)*ROUND(U$7*10000,0)/12000000,0)/100+0.02,2),0)</f>
        <v>0</v>
      </c>
      <c r="Y163" s="24">
        <f>IF(AA162&gt;0,IF(AND(ROUND(AA162+Z163-ROUND(Y$6+IF(Y$5=$C163,$E$5+$E163,0),2),2)&gt;0,ROUND(AA162+Z163-ROUND(Y$6+IF(Y$5=$C163,$E$5+$E163,0),2),2)&lt;=AB163,ROUND(AA162+Z163-ROUND(Y$6+IF(Y$5=$C163,$E$5+$E163,0),2),2)*10&lt;=ROUND(Y$6+IF(Y$5=$C163,$E$5+$E163,0),2)),ROUND(AA162+Z163,2),MIN(ROUND(Y$6+IF(Y$5=$C163,$E$5+$E163,0),2),ROUND(AA162+Z163,2))),0)</f>
        <v>0</v>
      </c>
      <c r="Z163" s="24">
        <f>IF(AA162&gt;0,ROUND(ROUND(AA162*100,0)*ROUND(Y$7*10000,0)/12000000,0)/100,0)</f>
        <v>0</v>
      </c>
      <c r="AA163" s="24">
        <f>IF(AA162&gt;0,ROUND(AA162+Z163-Y163,2),0)</f>
        <v>0</v>
      </c>
      <c r="AB163" s="24">
        <f>IF(AA162&gt;0,ROUND(AB162+ROUND(ROUND(AB162*100,0)*ROUND(Y$7*10000,0)/12000000,0)/100+0.02,2),0)</f>
        <v>0</v>
      </c>
      <c r="AC163" s="24">
        <f>IF(AE162&gt;0,IF(AND(ROUND(AE162+AD163-ROUND(AC$6+IF(AC$5=$C163,$E$5+$E163,0),2),2)&gt;0,ROUND(AE162+AD163-ROUND(AC$6+IF(AC$5=$C163,$E$5+$E163,0),2),2)&lt;=AF163,ROUND(AE162+AD163-ROUND(AC$6+IF(AC$5=$C163,$E$5+$E163,0),2),2)*10&lt;=ROUND(AC$6+IF(AC$5=$C163,$E$5+$E163,0),2)),ROUND(AE162+AD163,2),MIN(ROUND(AC$6+IF(AC$5=$C163,$E$5+$E163,0),2),ROUND(AE162+AD163,2))),0)</f>
        <v>0</v>
      </c>
      <c r="AD163" s="24">
        <f>IF(AE162&gt;0,ROUND(ROUND(AE162*100,0)*ROUND(AC$7*10000,0)/12000000,0)/100,0)</f>
        <v>0</v>
      </c>
      <c r="AE163" s="24">
        <f>IF(AE162&gt;0,ROUND(AE162+AD163-AC163,2),0)</f>
        <v>0</v>
      </c>
      <c r="AF163" s="24">
        <f>IF(AE162&gt;0,ROUND(AF162+ROUND(ROUND(AF162*100,0)*ROUND(AC$7*10000,0)/12000000,0)/100+0.02,2),0)</f>
        <v>0</v>
      </c>
      <c r="AG163" s="24">
        <f>IF(AI162&gt;0,IF(AND(ROUND(AI162+AH163-ROUND(AG$6+IF(AG$5=$C163,$E$5+$E163,0),2),2)&gt;0,ROUND(AI162+AH163-ROUND(AG$6+IF(AG$5=$C163,$E$5+$E163,0),2),2)&lt;=AJ163,ROUND(AI162+AH163-ROUND(AG$6+IF(AG$5=$C163,$E$5+$E163,0),2),2)*10&lt;=ROUND(AG$6+IF(AG$5=$C163,$E$5+$E163,0),2)),ROUND(AI162+AH163,2),MIN(ROUND(AG$6+IF(AG$5=$C163,$E$5+$E163,0),2),ROUND(AI162+AH163,2))),0)</f>
        <v>0</v>
      </c>
      <c r="AH163" s="24">
        <f>IF(AI162&gt;0,ROUND(ROUND(AI162*100,0)*ROUND(AG$7*10000,0)/12000000,0)/100,0)</f>
        <v>0</v>
      </c>
      <c r="AI163" s="24">
        <f>IF(AI162&gt;0,ROUND(AI162+AH163-AG163,2),0)</f>
        <v>0</v>
      </c>
      <c r="AJ163" s="24">
        <f>IF(AI162&gt;0,ROUND(AJ162+ROUND(ROUND(AJ162*100,0)*ROUND(AG$7*10000,0)/12000000,0)/100+0.02,2),0)</f>
        <v>0</v>
      </c>
      <c r="AK163" s="24">
        <f>IF(AM162&gt;0,IF(AND(ROUND(AM162+AL163-ROUND(AK$6+IF(AK$5=$C163,$E$5+$E163,0),2),2)&gt;0,ROUND(AM162+AL163-ROUND(AK$6+IF(AK$5=$C163,$E$5+$E163,0),2),2)&lt;=AN163,ROUND(AM162+AL163-ROUND(AK$6+IF(AK$5=$C163,$E$5+$E163,0),2),2)*10&lt;=ROUND(AK$6+IF(AK$5=$C163,$E$5+$E163,0),2)),ROUND(AM162+AL163,2),MIN(ROUND(AK$6+IF(AK$5=$C163,$E$5+$E163,0),2),ROUND(AM162+AL163,2))),0)</f>
        <v>0</v>
      </c>
      <c r="AL163" s="24">
        <f>IF(AM162&gt;0,ROUND(ROUND(AM162*100,0)*ROUND(AK$7*10000,0)/12000000,0)/100,0)</f>
        <v>0</v>
      </c>
      <c r="AM163" s="24">
        <f>IF(AM162&gt;0,ROUND(AM162+AL163-AK163,2),0)</f>
        <v>0</v>
      </c>
      <c r="AN163" s="24">
        <f>IF(AM162&gt;0,ROUND(AN162+ROUND(ROUND(AN162*100,0)*ROUND(AK$7*10000,0)/12000000,0)/100+0.02,2),0)</f>
        <v>0</v>
      </c>
      <c r="AO163" s="24">
        <f>IF(AQ162&gt;0,IF(AND(ROUND(AQ162+AP163-ROUND(AO$6+IF(AO$5=$C163,$E$5+$E163,0),2),2)&gt;0,ROUND(AQ162+AP163-ROUND(AO$6+IF(AO$5=$C163,$E$5+$E163,0),2),2)&lt;=AR163,ROUND(AQ162+AP163-ROUND(AO$6+IF(AO$5=$C163,$E$5+$E163,0),2),2)*10&lt;=ROUND(AO$6+IF(AO$5=$C163,$E$5+$E163,0),2)),ROUND(AQ162+AP163,2),MIN(ROUND(AO$6+IF(AO$5=$C163,$E$5+$E163,0),2),ROUND(AQ162+AP163,2))),0)</f>
        <v>0</v>
      </c>
      <c r="AP163" s="24">
        <f>IF(AQ162&gt;0,ROUND(ROUND(AQ162*100,0)*ROUND(AO$7*10000,0)/12000000,0)/100,0)</f>
        <v>0</v>
      </c>
      <c r="AQ163" s="24">
        <f>IF(AQ162&gt;0,ROUND(AQ162+AP163-AO163,2),0)</f>
        <v>0</v>
      </c>
      <c r="AR163" s="24">
        <f>IF(AQ162&gt;0,ROUND(AR162+ROUND(ROUND(AR162*100,0)*ROUND(AO$7*10000,0)/12000000,0)/100+0.02,2),0)</f>
        <v>0</v>
      </c>
      <c r="AS163" s="24">
        <f>IF(AU162&gt;0,IF(AND(ROUND(AU162+AT163-ROUND(AS$6+IF(AS$5=$C163,$E$5+$E163,0),2),2)&gt;0,ROUND(AU162+AT163-ROUND(AS$6+IF(AS$5=$C163,$E$5+$E163,0),2),2)&lt;=AV163,ROUND(AU162+AT163-ROUND(AS$6+IF(AS$5=$C163,$E$5+$E163,0),2),2)*10&lt;=ROUND(AS$6+IF(AS$5=$C163,$E$5+$E163,0),2)),ROUND(AU162+AT163,2),MIN(ROUND(AS$6+IF(AS$5=$C163,$E$5+$E163,0),2),ROUND(AU162+AT163,2))),0)</f>
        <v>0</v>
      </c>
      <c r="AT163" s="24">
        <f>IF(AU162&gt;0,ROUND(ROUND(AU162*100,0)*ROUND(AS$7*10000,0)/12000000,0)/100,0)</f>
        <v>0</v>
      </c>
      <c r="AU163" s="24">
        <f>IF(AU162&gt;0,ROUND(AU162+AT163-AS163,2),0)</f>
        <v>0</v>
      </c>
      <c r="AV163" s="24">
        <f>IF(AU162&gt;0,ROUND(AV162+ROUND(ROUND(AV162*100,0)*ROUND(AS$7*10000,0)/12000000,0)/100+0.02,2),0)</f>
        <v>0</v>
      </c>
    </row>
    <row r="164" spans="1:48" x14ac:dyDescent="0.25">
      <c r="A164" s="17" t="str">
        <f>IF(F164&gt;0,154,"")</f>
        <v/>
      </c>
      <c r="B164" s="18" t="str">
        <f>IF(F164&gt;0,EDATE($E$6,154),"")</f>
        <v/>
      </c>
      <c r="C164" s="21">
        <f>IF(H163&gt;0,MIN(IF(K163&gt;0,I$5,99),IF(O163&gt;0,M$5,99),IF(S163&gt;0,Q$5,99),IF(W163&gt;0,U$5,99),IF(AA163&gt;0,Y$5,99),IF(AE163&gt;0,AC$5,99),IF(AI163&gt;0,AG$5,99),IF(AM163&gt;0,AK$5,99),IF(AQ163&gt;0,AO$5,99),IF(AU163&gt;0,AS$5,99)),0)</f>
        <v>0</v>
      </c>
      <c r="D164" t="str">
        <f>IF(C164&gt;0,INDEX($I$4:$AV$4,1,MATCH(C164,$I$5:$AV$5,0)),"")</f>
        <v/>
      </c>
      <c r="E164" s="24">
        <f>ROUND(IF(AND(I$8&gt;0,K163=0),I$6,0)+IF(AND(M$8&gt;0,O163=0),M$6,0)+IF(AND(Q$8&gt;0,S163=0),Q$6,0)+IF(AND(U$8&gt;0,W163=0),U$6,0)+IF(AND(Y$8&gt;0,AA163=0),Y$6,0)+IF(AND(AC$8&gt;0,AE163=0),AC$6,0)+IF(AND(AG$8&gt;0,AI163=0),AG$6,0)+IF(AND(AK$8&gt;0,AM163=0),AK$6,0)+IF(AND(AO$8&gt;0,AQ163=0),AO$6,0)+IF(AND(AS$8&gt;0,AU163=0),AS$6,0),2)</f>
        <v>325</v>
      </c>
      <c r="F164" s="24">
        <f>ROUND(I164+M164+Q164+U164+Y164+AC164+AG164+AK164+AO164+AS164,2)</f>
        <v>0</v>
      </c>
      <c r="G164" s="24">
        <f>ROUND(J164+N164+R164+V164+Z164+AD164+AH164+AL164+AP164+AT164,2)</f>
        <v>0</v>
      </c>
      <c r="H164" s="24">
        <f>ROUND(K164+O164+S164+W164+AA164+AE164+AI164+AM164+AQ164+AU164,2)</f>
        <v>0</v>
      </c>
      <c r="I164" s="24">
        <f>IF(K163&gt;0,IF(AND(ROUND(K163+J164-ROUND(I$6+IF(I$5=$C164,$E$5+$E164,0),2),2)&gt;0,ROUND(K163+J164-ROUND(I$6+IF(I$5=$C164,$E$5+$E164,0),2),2)&lt;=L164,ROUND(K163+J164-ROUND(I$6+IF(I$5=$C164,$E$5+$E164,0),2),2)*10&lt;=ROUND(I$6+IF(I$5=$C164,$E$5+$E164,0),2)),ROUND(K163+J164,2),MIN(ROUND(I$6+IF(I$5=$C164,$E$5+$E164,0),2),ROUND(K163+J164,2))),0)</f>
        <v>0</v>
      </c>
      <c r="J164" s="24">
        <f>IF(K163&gt;0,ROUND(ROUND(K163*100,0)*ROUND(I$7*10000,0)/12000000,0)/100,0)</f>
        <v>0</v>
      </c>
      <c r="K164" s="24">
        <f>IF(K163&gt;0,ROUND(K163+J164-I164,2),0)</f>
        <v>0</v>
      </c>
      <c r="L164" s="24">
        <f>IF(K163&gt;0,ROUND(L163+ROUND(ROUND(L163*100,0)*ROUND(I$7*10000,0)/12000000,0)/100+0.02,2),0)</f>
        <v>0</v>
      </c>
      <c r="M164" s="24">
        <f>IF(O163&gt;0,IF(AND(ROUND(O163+N164-ROUND(M$6+IF(M$5=$C164,$E$5+$E164,0),2),2)&gt;0,ROUND(O163+N164-ROUND(M$6+IF(M$5=$C164,$E$5+$E164,0),2),2)&lt;=P164,ROUND(O163+N164-ROUND(M$6+IF(M$5=$C164,$E$5+$E164,0),2),2)*10&lt;=ROUND(M$6+IF(M$5=$C164,$E$5+$E164,0),2)),ROUND(O163+N164,2),MIN(ROUND(M$6+IF(M$5=$C164,$E$5+$E164,0),2),ROUND(O163+N164,2))),0)</f>
        <v>0</v>
      </c>
      <c r="N164" s="24">
        <f>IF(O163&gt;0,ROUND(ROUND(O163*100,0)*ROUND(M$7*10000,0)/12000000,0)/100,0)</f>
        <v>0</v>
      </c>
      <c r="O164" s="24">
        <f>IF(O163&gt;0,ROUND(O163+N164-M164,2),0)</f>
        <v>0</v>
      </c>
      <c r="P164" s="24">
        <f>IF(O163&gt;0,ROUND(P163+ROUND(ROUND(P163*100,0)*ROUND(M$7*10000,0)/12000000,0)/100+0.02,2),0)</f>
        <v>0</v>
      </c>
      <c r="Q164" s="24">
        <f>IF(S163&gt;0,IF(AND(ROUND(S163+R164-ROUND(Q$6+IF(Q$5=$C164,$E$5+$E164,0),2),2)&gt;0,ROUND(S163+R164-ROUND(Q$6+IF(Q$5=$C164,$E$5+$E164,0),2),2)&lt;=T164,ROUND(S163+R164-ROUND(Q$6+IF(Q$5=$C164,$E$5+$E164,0),2),2)*10&lt;=ROUND(Q$6+IF(Q$5=$C164,$E$5+$E164,0),2)),ROUND(S163+R164,2),MIN(ROUND(Q$6+IF(Q$5=$C164,$E$5+$E164,0),2),ROUND(S163+R164,2))),0)</f>
        <v>0</v>
      </c>
      <c r="R164" s="24">
        <f>IF(S163&gt;0,ROUND(ROUND(S163*100,0)*ROUND(Q$7*10000,0)/12000000,0)/100,0)</f>
        <v>0</v>
      </c>
      <c r="S164" s="24">
        <f>IF(S163&gt;0,ROUND(S163+R164-Q164,2),0)</f>
        <v>0</v>
      </c>
      <c r="T164" s="24">
        <f>IF(S163&gt;0,ROUND(T163+ROUND(ROUND(T163*100,0)*ROUND(Q$7*10000,0)/12000000,0)/100+0.02,2),0)</f>
        <v>0</v>
      </c>
      <c r="U164" s="24">
        <f>IF(W163&gt;0,IF(AND(ROUND(W163+V164-ROUND(U$6+IF(U$5=$C164,$E$5+$E164,0),2),2)&gt;0,ROUND(W163+V164-ROUND(U$6+IF(U$5=$C164,$E$5+$E164,0),2),2)&lt;=X164,ROUND(W163+V164-ROUND(U$6+IF(U$5=$C164,$E$5+$E164,0),2),2)*10&lt;=ROUND(U$6+IF(U$5=$C164,$E$5+$E164,0),2)),ROUND(W163+V164,2),MIN(ROUND(U$6+IF(U$5=$C164,$E$5+$E164,0),2),ROUND(W163+V164,2))),0)</f>
        <v>0</v>
      </c>
      <c r="V164" s="24">
        <f>IF(W163&gt;0,ROUND(ROUND(W163*100,0)*ROUND(U$7*10000,0)/12000000,0)/100,0)</f>
        <v>0</v>
      </c>
      <c r="W164" s="24">
        <f>IF(W163&gt;0,ROUND(W163+V164-U164,2),0)</f>
        <v>0</v>
      </c>
      <c r="X164" s="24">
        <f>IF(W163&gt;0,ROUND(X163+ROUND(ROUND(X163*100,0)*ROUND(U$7*10000,0)/12000000,0)/100+0.02,2),0)</f>
        <v>0</v>
      </c>
      <c r="Y164" s="24">
        <f>IF(AA163&gt;0,IF(AND(ROUND(AA163+Z164-ROUND(Y$6+IF(Y$5=$C164,$E$5+$E164,0),2),2)&gt;0,ROUND(AA163+Z164-ROUND(Y$6+IF(Y$5=$C164,$E$5+$E164,0),2),2)&lt;=AB164,ROUND(AA163+Z164-ROUND(Y$6+IF(Y$5=$C164,$E$5+$E164,0),2),2)*10&lt;=ROUND(Y$6+IF(Y$5=$C164,$E$5+$E164,0),2)),ROUND(AA163+Z164,2),MIN(ROUND(Y$6+IF(Y$5=$C164,$E$5+$E164,0),2),ROUND(AA163+Z164,2))),0)</f>
        <v>0</v>
      </c>
      <c r="Z164" s="24">
        <f>IF(AA163&gt;0,ROUND(ROUND(AA163*100,0)*ROUND(Y$7*10000,0)/12000000,0)/100,0)</f>
        <v>0</v>
      </c>
      <c r="AA164" s="24">
        <f>IF(AA163&gt;0,ROUND(AA163+Z164-Y164,2),0)</f>
        <v>0</v>
      </c>
      <c r="AB164" s="24">
        <f>IF(AA163&gt;0,ROUND(AB163+ROUND(ROUND(AB163*100,0)*ROUND(Y$7*10000,0)/12000000,0)/100+0.02,2),0)</f>
        <v>0</v>
      </c>
      <c r="AC164" s="24">
        <f>IF(AE163&gt;0,IF(AND(ROUND(AE163+AD164-ROUND(AC$6+IF(AC$5=$C164,$E$5+$E164,0),2),2)&gt;0,ROUND(AE163+AD164-ROUND(AC$6+IF(AC$5=$C164,$E$5+$E164,0),2),2)&lt;=AF164,ROUND(AE163+AD164-ROUND(AC$6+IF(AC$5=$C164,$E$5+$E164,0),2),2)*10&lt;=ROUND(AC$6+IF(AC$5=$C164,$E$5+$E164,0),2)),ROUND(AE163+AD164,2),MIN(ROUND(AC$6+IF(AC$5=$C164,$E$5+$E164,0),2),ROUND(AE163+AD164,2))),0)</f>
        <v>0</v>
      </c>
      <c r="AD164" s="24">
        <f>IF(AE163&gt;0,ROUND(ROUND(AE163*100,0)*ROUND(AC$7*10000,0)/12000000,0)/100,0)</f>
        <v>0</v>
      </c>
      <c r="AE164" s="24">
        <f>IF(AE163&gt;0,ROUND(AE163+AD164-AC164,2),0)</f>
        <v>0</v>
      </c>
      <c r="AF164" s="24">
        <f>IF(AE163&gt;0,ROUND(AF163+ROUND(ROUND(AF163*100,0)*ROUND(AC$7*10000,0)/12000000,0)/100+0.02,2),0)</f>
        <v>0</v>
      </c>
      <c r="AG164" s="24">
        <f>IF(AI163&gt;0,IF(AND(ROUND(AI163+AH164-ROUND(AG$6+IF(AG$5=$C164,$E$5+$E164,0),2),2)&gt;0,ROUND(AI163+AH164-ROUND(AG$6+IF(AG$5=$C164,$E$5+$E164,0),2),2)&lt;=AJ164,ROUND(AI163+AH164-ROUND(AG$6+IF(AG$5=$C164,$E$5+$E164,0),2),2)*10&lt;=ROUND(AG$6+IF(AG$5=$C164,$E$5+$E164,0),2)),ROUND(AI163+AH164,2),MIN(ROUND(AG$6+IF(AG$5=$C164,$E$5+$E164,0),2),ROUND(AI163+AH164,2))),0)</f>
        <v>0</v>
      </c>
      <c r="AH164" s="24">
        <f>IF(AI163&gt;0,ROUND(ROUND(AI163*100,0)*ROUND(AG$7*10000,0)/12000000,0)/100,0)</f>
        <v>0</v>
      </c>
      <c r="AI164" s="24">
        <f>IF(AI163&gt;0,ROUND(AI163+AH164-AG164,2),0)</f>
        <v>0</v>
      </c>
      <c r="AJ164" s="24">
        <f>IF(AI163&gt;0,ROUND(AJ163+ROUND(ROUND(AJ163*100,0)*ROUND(AG$7*10000,0)/12000000,0)/100+0.02,2),0)</f>
        <v>0</v>
      </c>
      <c r="AK164" s="24">
        <f>IF(AM163&gt;0,IF(AND(ROUND(AM163+AL164-ROUND(AK$6+IF(AK$5=$C164,$E$5+$E164,0),2),2)&gt;0,ROUND(AM163+AL164-ROUND(AK$6+IF(AK$5=$C164,$E$5+$E164,0),2),2)&lt;=AN164,ROUND(AM163+AL164-ROUND(AK$6+IF(AK$5=$C164,$E$5+$E164,0),2),2)*10&lt;=ROUND(AK$6+IF(AK$5=$C164,$E$5+$E164,0),2)),ROUND(AM163+AL164,2),MIN(ROUND(AK$6+IF(AK$5=$C164,$E$5+$E164,0),2),ROUND(AM163+AL164,2))),0)</f>
        <v>0</v>
      </c>
      <c r="AL164" s="24">
        <f>IF(AM163&gt;0,ROUND(ROUND(AM163*100,0)*ROUND(AK$7*10000,0)/12000000,0)/100,0)</f>
        <v>0</v>
      </c>
      <c r="AM164" s="24">
        <f>IF(AM163&gt;0,ROUND(AM163+AL164-AK164,2),0)</f>
        <v>0</v>
      </c>
      <c r="AN164" s="24">
        <f>IF(AM163&gt;0,ROUND(AN163+ROUND(ROUND(AN163*100,0)*ROUND(AK$7*10000,0)/12000000,0)/100+0.02,2),0)</f>
        <v>0</v>
      </c>
      <c r="AO164" s="24">
        <f>IF(AQ163&gt;0,IF(AND(ROUND(AQ163+AP164-ROUND(AO$6+IF(AO$5=$C164,$E$5+$E164,0),2),2)&gt;0,ROUND(AQ163+AP164-ROUND(AO$6+IF(AO$5=$C164,$E$5+$E164,0),2),2)&lt;=AR164,ROUND(AQ163+AP164-ROUND(AO$6+IF(AO$5=$C164,$E$5+$E164,0),2),2)*10&lt;=ROUND(AO$6+IF(AO$5=$C164,$E$5+$E164,0),2)),ROUND(AQ163+AP164,2),MIN(ROUND(AO$6+IF(AO$5=$C164,$E$5+$E164,0),2),ROUND(AQ163+AP164,2))),0)</f>
        <v>0</v>
      </c>
      <c r="AP164" s="24">
        <f>IF(AQ163&gt;0,ROUND(ROUND(AQ163*100,0)*ROUND(AO$7*10000,0)/12000000,0)/100,0)</f>
        <v>0</v>
      </c>
      <c r="AQ164" s="24">
        <f>IF(AQ163&gt;0,ROUND(AQ163+AP164-AO164,2),0)</f>
        <v>0</v>
      </c>
      <c r="AR164" s="24">
        <f>IF(AQ163&gt;0,ROUND(AR163+ROUND(ROUND(AR163*100,0)*ROUND(AO$7*10000,0)/12000000,0)/100+0.02,2),0)</f>
        <v>0</v>
      </c>
      <c r="AS164" s="24">
        <f>IF(AU163&gt;0,IF(AND(ROUND(AU163+AT164-ROUND(AS$6+IF(AS$5=$C164,$E$5+$E164,0),2),2)&gt;0,ROUND(AU163+AT164-ROUND(AS$6+IF(AS$5=$C164,$E$5+$E164,0),2),2)&lt;=AV164,ROUND(AU163+AT164-ROUND(AS$6+IF(AS$5=$C164,$E$5+$E164,0),2),2)*10&lt;=ROUND(AS$6+IF(AS$5=$C164,$E$5+$E164,0),2)),ROUND(AU163+AT164,2),MIN(ROUND(AS$6+IF(AS$5=$C164,$E$5+$E164,0),2),ROUND(AU163+AT164,2))),0)</f>
        <v>0</v>
      </c>
      <c r="AT164" s="24">
        <f>IF(AU163&gt;0,ROUND(ROUND(AU163*100,0)*ROUND(AS$7*10000,0)/12000000,0)/100,0)</f>
        <v>0</v>
      </c>
      <c r="AU164" s="24">
        <f>IF(AU163&gt;0,ROUND(AU163+AT164-AS164,2),0)</f>
        <v>0</v>
      </c>
      <c r="AV164" s="24">
        <f>IF(AU163&gt;0,ROUND(AV163+ROUND(ROUND(AV163*100,0)*ROUND(AS$7*10000,0)/12000000,0)/100+0.02,2),0)</f>
        <v>0</v>
      </c>
    </row>
    <row r="165" spans="1:48" x14ac:dyDescent="0.25">
      <c r="A165" s="17" t="str">
        <f>IF(F165&gt;0,155,"")</f>
        <v/>
      </c>
      <c r="B165" s="18" t="str">
        <f>IF(F165&gt;0,EDATE($E$6,155),"")</f>
        <v/>
      </c>
      <c r="C165" s="21">
        <f>IF(H164&gt;0,MIN(IF(K164&gt;0,I$5,99),IF(O164&gt;0,M$5,99),IF(S164&gt;0,Q$5,99),IF(W164&gt;0,U$5,99),IF(AA164&gt;0,Y$5,99),IF(AE164&gt;0,AC$5,99),IF(AI164&gt;0,AG$5,99),IF(AM164&gt;0,AK$5,99),IF(AQ164&gt;0,AO$5,99),IF(AU164&gt;0,AS$5,99)),0)</f>
        <v>0</v>
      </c>
      <c r="D165" t="str">
        <f>IF(C165&gt;0,INDEX($I$4:$AV$4,1,MATCH(C165,$I$5:$AV$5,0)),"")</f>
        <v/>
      </c>
      <c r="E165" s="24">
        <f>ROUND(IF(AND(I$8&gt;0,K164=0),I$6,0)+IF(AND(M$8&gt;0,O164=0),M$6,0)+IF(AND(Q$8&gt;0,S164=0),Q$6,0)+IF(AND(U$8&gt;0,W164=0),U$6,0)+IF(AND(Y$8&gt;0,AA164=0),Y$6,0)+IF(AND(AC$8&gt;0,AE164=0),AC$6,0)+IF(AND(AG$8&gt;0,AI164=0),AG$6,0)+IF(AND(AK$8&gt;0,AM164=0),AK$6,0)+IF(AND(AO$8&gt;0,AQ164=0),AO$6,0)+IF(AND(AS$8&gt;0,AU164=0),AS$6,0),2)</f>
        <v>325</v>
      </c>
      <c r="F165" s="24">
        <f>ROUND(I165+M165+Q165+U165+Y165+AC165+AG165+AK165+AO165+AS165,2)</f>
        <v>0</v>
      </c>
      <c r="G165" s="24">
        <f>ROUND(J165+N165+R165+V165+Z165+AD165+AH165+AL165+AP165+AT165,2)</f>
        <v>0</v>
      </c>
      <c r="H165" s="24">
        <f>ROUND(K165+O165+S165+W165+AA165+AE165+AI165+AM165+AQ165+AU165,2)</f>
        <v>0</v>
      </c>
      <c r="I165" s="24">
        <f>IF(K164&gt;0,IF(AND(ROUND(K164+J165-ROUND(I$6+IF(I$5=$C165,$E$5+$E165,0),2),2)&gt;0,ROUND(K164+J165-ROUND(I$6+IF(I$5=$C165,$E$5+$E165,0),2),2)&lt;=L165,ROUND(K164+J165-ROUND(I$6+IF(I$5=$C165,$E$5+$E165,0),2),2)*10&lt;=ROUND(I$6+IF(I$5=$C165,$E$5+$E165,0),2)),ROUND(K164+J165,2),MIN(ROUND(I$6+IF(I$5=$C165,$E$5+$E165,0),2),ROUND(K164+J165,2))),0)</f>
        <v>0</v>
      </c>
      <c r="J165" s="24">
        <f>IF(K164&gt;0,ROUND(ROUND(K164*100,0)*ROUND(I$7*10000,0)/12000000,0)/100,0)</f>
        <v>0</v>
      </c>
      <c r="K165" s="24">
        <f>IF(K164&gt;0,ROUND(K164+J165-I165,2),0)</f>
        <v>0</v>
      </c>
      <c r="L165" s="24">
        <f>IF(K164&gt;0,ROUND(L164+ROUND(ROUND(L164*100,0)*ROUND(I$7*10000,0)/12000000,0)/100+0.02,2),0)</f>
        <v>0</v>
      </c>
      <c r="M165" s="24">
        <f>IF(O164&gt;0,IF(AND(ROUND(O164+N165-ROUND(M$6+IF(M$5=$C165,$E$5+$E165,0),2),2)&gt;0,ROUND(O164+N165-ROUND(M$6+IF(M$5=$C165,$E$5+$E165,0),2),2)&lt;=P165,ROUND(O164+N165-ROUND(M$6+IF(M$5=$C165,$E$5+$E165,0),2),2)*10&lt;=ROUND(M$6+IF(M$5=$C165,$E$5+$E165,0),2)),ROUND(O164+N165,2),MIN(ROUND(M$6+IF(M$5=$C165,$E$5+$E165,0),2),ROUND(O164+N165,2))),0)</f>
        <v>0</v>
      </c>
      <c r="N165" s="24">
        <f>IF(O164&gt;0,ROUND(ROUND(O164*100,0)*ROUND(M$7*10000,0)/12000000,0)/100,0)</f>
        <v>0</v>
      </c>
      <c r="O165" s="24">
        <f>IF(O164&gt;0,ROUND(O164+N165-M165,2),0)</f>
        <v>0</v>
      </c>
      <c r="P165" s="24">
        <f>IF(O164&gt;0,ROUND(P164+ROUND(ROUND(P164*100,0)*ROUND(M$7*10000,0)/12000000,0)/100+0.02,2),0)</f>
        <v>0</v>
      </c>
      <c r="Q165" s="24">
        <f>IF(S164&gt;0,IF(AND(ROUND(S164+R165-ROUND(Q$6+IF(Q$5=$C165,$E$5+$E165,0),2),2)&gt;0,ROUND(S164+R165-ROUND(Q$6+IF(Q$5=$C165,$E$5+$E165,0),2),2)&lt;=T165,ROUND(S164+R165-ROUND(Q$6+IF(Q$5=$C165,$E$5+$E165,0),2),2)*10&lt;=ROUND(Q$6+IF(Q$5=$C165,$E$5+$E165,0),2)),ROUND(S164+R165,2),MIN(ROUND(Q$6+IF(Q$5=$C165,$E$5+$E165,0),2),ROUND(S164+R165,2))),0)</f>
        <v>0</v>
      </c>
      <c r="R165" s="24">
        <f>IF(S164&gt;0,ROUND(ROUND(S164*100,0)*ROUND(Q$7*10000,0)/12000000,0)/100,0)</f>
        <v>0</v>
      </c>
      <c r="S165" s="24">
        <f>IF(S164&gt;0,ROUND(S164+R165-Q165,2),0)</f>
        <v>0</v>
      </c>
      <c r="T165" s="24">
        <f>IF(S164&gt;0,ROUND(T164+ROUND(ROUND(T164*100,0)*ROUND(Q$7*10000,0)/12000000,0)/100+0.02,2),0)</f>
        <v>0</v>
      </c>
      <c r="U165" s="24">
        <f>IF(W164&gt;0,IF(AND(ROUND(W164+V165-ROUND(U$6+IF(U$5=$C165,$E$5+$E165,0),2),2)&gt;0,ROUND(W164+V165-ROUND(U$6+IF(U$5=$C165,$E$5+$E165,0),2),2)&lt;=X165,ROUND(W164+V165-ROUND(U$6+IF(U$5=$C165,$E$5+$E165,0),2),2)*10&lt;=ROUND(U$6+IF(U$5=$C165,$E$5+$E165,0),2)),ROUND(W164+V165,2),MIN(ROUND(U$6+IF(U$5=$C165,$E$5+$E165,0),2),ROUND(W164+V165,2))),0)</f>
        <v>0</v>
      </c>
      <c r="V165" s="24">
        <f>IF(W164&gt;0,ROUND(ROUND(W164*100,0)*ROUND(U$7*10000,0)/12000000,0)/100,0)</f>
        <v>0</v>
      </c>
      <c r="W165" s="24">
        <f>IF(W164&gt;0,ROUND(W164+V165-U165,2),0)</f>
        <v>0</v>
      </c>
      <c r="X165" s="24">
        <f>IF(W164&gt;0,ROUND(X164+ROUND(ROUND(X164*100,0)*ROUND(U$7*10000,0)/12000000,0)/100+0.02,2),0)</f>
        <v>0</v>
      </c>
      <c r="Y165" s="24">
        <f>IF(AA164&gt;0,IF(AND(ROUND(AA164+Z165-ROUND(Y$6+IF(Y$5=$C165,$E$5+$E165,0),2),2)&gt;0,ROUND(AA164+Z165-ROUND(Y$6+IF(Y$5=$C165,$E$5+$E165,0),2),2)&lt;=AB165,ROUND(AA164+Z165-ROUND(Y$6+IF(Y$5=$C165,$E$5+$E165,0),2),2)*10&lt;=ROUND(Y$6+IF(Y$5=$C165,$E$5+$E165,0),2)),ROUND(AA164+Z165,2),MIN(ROUND(Y$6+IF(Y$5=$C165,$E$5+$E165,0),2),ROUND(AA164+Z165,2))),0)</f>
        <v>0</v>
      </c>
      <c r="Z165" s="24">
        <f>IF(AA164&gt;0,ROUND(ROUND(AA164*100,0)*ROUND(Y$7*10000,0)/12000000,0)/100,0)</f>
        <v>0</v>
      </c>
      <c r="AA165" s="24">
        <f>IF(AA164&gt;0,ROUND(AA164+Z165-Y165,2),0)</f>
        <v>0</v>
      </c>
      <c r="AB165" s="24">
        <f>IF(AA164&gt;0,ROUND(AB164+ROUND(ROUND(AB164*100,0)*ROUND(Y$7*10000,0)/12000000,0)/100+0.02,2),0)</f>
        <v>0</v>
      </c>
      <c r="AC165" s="24">
        <f>IF(AE164&gt;0,IF(AND(ROUND(AE164+AD165-ROUND(AC$6+IF(AC$5=$C165,$E$5+$E165,0),2),2)&gt;0,ROUND(AE164+AD165-ROUND(AC$6+IF(AC$5=$C165,$E$5+$E165,0),2),2)&lt;=AF165,ROUND(AE164+AD165-ROUND(AC$6+IF(AC$5=$C165,$E$5+$E165,0),2),2)*10&lt;=ROUND(AC$6+IF(AC$5=$C165,$E$5+$E165,0),2)),ROUND(AE164+AD165,2),MIN(ROUND(AC$6+IF(AC$5=$C165,$E$5+$E165,0),2),ROUND(AE164+AD165,2))),0)</f>
        <v>0</v>
      </c>
      <c r="AD165" s="24">
        <f>IF(AE164&gt;0,ROUND(ROUND(AE164*100,0)*ROUND(AC$7*10000,0)/12000000,0)/100,0)</f>
        <v>0</v>
      </c>
      <c r="AE165" s="24">
        <f>IF(AE164&gt;0,ROUND(AE164+AD165-AC165,2),0)</f>
        <v>0</v>
      </c>
      <c r="AF165" s="24">
        <f>IF(AE164&gt;0,ROUND(AF164+ROUND(ROUND(AF164*100,0)*ROUND(AC$7*10000,0)/12000000,0)/100+0.02,2),0)</f>
        <v>0</v>
      </c>
      <c r="AG165" s="24">
        <f>IF(AI164&gt;0,IF(AND(ROUND(AI164+AH165-ROUND(AG$6+IF(AG$5=$C165,$E$5+$E165,0),2),2)&gt;0,ROUND(AI164+AH165-ROUND(AG$6+IF(AG$5=$C165,$E$5+$E165,0),2),2)&lt;=AJ165,ROUND(AI164+AH165-ROUND(AG$6+IF(AG$5=$C165,$E$5+$E165,0),2),2)*10&lt;=ROUND(AG$6+IF(AG$5=$C165,$E$5+$E165,0),2)),ROUND(AI164+AH165,2),MIN(ROUND(AG$6+IF(AG$5=$C165,$E$5+$E165,0),2),ROUND(AI164+AH165,2))),0)</f>
        <v>0</v>
      </c>
      <c r="AH165" s="24">
        <f>IF(AI164&gt;0,ROUND(ROUND(AI164*100,0)*ROUND(AG$7*10000,0)/12000000,0)/100,0)</f>
        <v>0</v>
      </c>
      <c r="AI165" s="24">
        <f>IF(AI164&gt;0,ROUND(AI164+AH165-AG165,2),0)</f>
        <v>0</v>
      </c>
      <c r="AJ165" s="24">
        <f>IF(AI164&gt;0,ROUND(AJ164+ROUND(ROUND(AJ164*100,0)*ROUND(AG$7*10000,0)/12000000,0)/100+0.02,2),0)</f>
        <v>0</v>
      </c>
      <c r="AK165" s="24">
        <f>IF(AM164&gt;0,IF(AND(ROUND(AM164+AL165-ROUND(AK$6+IF(AK$5=$C165,$E$5+$E165,0),2),2)&gt;0,ROUND(AM164+AL165-ROUND(AK$6+IF(AK$5=$C165,$E$5+$E165,0),2),2)&lt;=AN165,ROUND(AM164+AL165-ROUND(AK$6+IF(AK$5=$C165,$E$5+$E165,0),2),2)*10&lt;=ROUND(AK$6+IF(AK$5=$C165,$E$5+$E165,0),2)),ROUND(AM164+AL165,2),MIN(ROUND(AK$6+IF(AK$5=$C165,$E$5+$E165,0),2),ROUND(AM164+AL165,2))),0)</f>
        <v>0</v>
      </c>
      <c r="AL165" s="24">
        <f>IF(AM164&gt;0,ROUND(ROUND(AM164*100,0)*ROUND(AK$7*10000,0)/12000000,0)/100,0)</f>
        <v>0</v>
      </c>
      <c r="AM165" s="24">
        <f>IF(AM164&gt;0,ROUND(AM164+AL165-AK165,2),0)</f>
        <v>0</v>
      </c>
      <c r="AN165" s="24">
        <f>IF(AM164&gt;0,ROUND(AN164+ROUND(ROUND(AN164*100,0)*ROUND(AK$7*10000,0)/12000000,0)/100+0.02,2),0)</f>
        <v>0</v>
      </c>
      <c r="AO165" s="24">
        <f>IF(AQ164&gt;0,IF(AND(ROUND(AQ164+AP165-ROUND(AO$6+IF(AO$5=$C165,$E$5+$E165,0),2),2)&gt;0,ROUND(AQ164+AP165-ROUND(AO$6+IF(AO$5=$C165,$E$5+$E165,0),2),2)&lt;=AR165,ROUND(AQ164+AP165-ROUND(AO$6+IF(AO$5=$C165,$E$5+$E165,0),2),2)*10&lt;=ROUND(AO$6+IF(AO$5=$C165,$E$5+$E165,0),2)),ROUND(AQ164+AP165,2),MIN(ROUND(AO$6+IF(AO$5=$C165,$E$5+$E165,0),2),ROUND(AQ164+AP165,2))),0)</f>
        <v>0</v>
      </c>
      <c r="AP165" s="24">
        <f>IF(AQ164&gt;0,ROUND(ROUND(AQ164*100,0)*ROUND(AO$7*10000,0)/12000000,0)/100,0)</f>
        <v>0</v>
      </c>
      <c r="AQ165" s="24">
        <f>IF(AQ164&gt;0,ROUND(AQ164+AP165-AO165,2),0)</f>
        <v>0</v>
      </c>
      <c r="AR165" s="24">
        <f>IF(AQ164&gt;0,ROUND(AR164+ROUND(ROUND(AR164*100,0)*ROUND(AO$7*10000,0)/12000000,0)/100+0.02,2),0)</f>
        <v>0</v>
      </c>
      <c r="AS165" s="24">
        <f>IF(AU164&gt;0,IF(AND(ROUND(AU164+AT165-ROUND(AS$6+IF(AS$5=$C165,$E$5+$E165,0),2),2)&gt;0,ROUND(AU164+AT165-ROUND(AS$6+IF(AS$5=$C165,$E$5+$E165,0),2),2)&lt;=AV165,ROUND(AU164+AT165-ROUND(AS$6+IF(AS$5=$C165,$E$5+$E165,0),2),2)*10&lt;=ROUND(AS$6+IF(AS$5=$C165,$E$5+$E165,0),2)),ROUND(AU164+AT165,2),MIN(ROUND(AS$6+IF(AS$5=$C165,$E$5+$E165,0),2),ROUND(AU164+AT165,2))),0)</f>
        <v>0</v>
      </c>
      <c r="AT165" s="24">
        <f>IF(AU164&gt;0,ROUND(ROUND(AU164*100,0)*ROUND(AS$7*10000,0)/12000000,0)/100,0)</f>
        <v>0</v>
      </c>
      <c r="AU165" s="24">
        <f>IF(AU164&gt;0,ROUND(AU164+AT165-AS165,2),0)</f>
        <v>0</v>
      </c>
      <c r="AV165" s="24">
        <f>IF(AU164&gt;0,ROUND(AV164+ROUND(ROUND(AV164*100,0)*ROUND(AS$7*10000,0)/12000000,0)/100+0.02,2),0)</f>
        <v>0</v>
      </c>
    </row>
    <row r="166" spans="1:48" x14ac:dyDescent="0.25">
      <c r="A166" s="17" t="str">
        <f>IF(F166&gt;0,156,"")</f>
        <v/>
      </c>
      <c r="B166" s="18" t="str">
        <f>IF(F166&gt;0,EDATE($E$6,156),"")</f>
        <v/>
      </c>
      <c r="C166" s="21">
        <f>IF(H165&gt;0,MIN(IF(K165&gt;0,I$5,99),IF(O165&gt;0,M$5,99),IF(S165&gt;0,Q$5,99),IF(W165&gt;0,U$5,99),IF(AA165&gt;0,Y$5,99),IF(AE165&gt;0,AC$5,99),IF(AI165&gt;0,AG$5,99),IF(AM165&gt;0,AK$5,99),IF(AQ165&gt;0,AO$5,99),IF(AU165&gt;0,AS$5,99)),0)</f>
        <v>0</v>
      </c>
      <c r="D166" t="str">
        <f>IF(C166&gt;0,INDEX($I$4:$AV$4,1,MATCH(C166,$I$5:$AV$5,0)),"")</f>
        <v/>
      </c>
      <c r="E166" s="24">
        <f>ROUND(IF(AND(I$8&gt;0,K165=0),I$6,0)+IF(AND(M$8&gt;0,O165=0),M$6,0)+IF(AND(Q$8&gt;0,S165=0),Q$6,0)+IF(AND(U$8&gt;0,W165=0),U$6,0)+IF(AND(Y$8&gt;0,AA165=0),Y$6,0)+IF(AND(AC$8&gt;0,AE165=0),AC$6,0)+IF(AND(AG$8&gt;0,AI165=0),AG$6,0)+IF(AND(AK$8&gt;0,AM165=0),AK$6,0)+IF(AND(AO$8&gt;0,AQ165=0),AO$6,0)+IF(AND(AS$8&gt;0,AU165=0),AS$6,0),2)</f>
        <v>325</v>
      </c>
      <c r="F166" s="24">
        <f>ROUND(I166+M166+Q166+U166+Y166+AC166+AG166+AK166+AO166+AS166,2)</f>
        <v>0</v>
      </c>
      <c r="G166" s="24">
        <f>ROUND(J166+N166+R166+V166+Z166+AD166+AH166+AL166+AP166+AT166,2)</f>
        <v>0</v>
      </c>
      <c r="H166" s="24">
        <f>ROUND(K166+O166+S166+W166+AA166+AE166+AI166+AM166+AQ166+AU166,2)</f>
        <v>0</v>
      </c>
      <c r="I166" s="24">
        <f>IF(K165&gt;0,IF(AND(ROUND(K165+J166-ROUND(I$6+IF(I$5=$C166,$E$5+$E166,0),2),2)&gt;0,ROUND(K165+J166-ROUND(I$6+IF(I$5=$C166,$E$5+$E166,0),2),2)&lt;=L166,ROUND(K165+J166-ROUND(I$6+IF(I$5=$C166,$E$5+$E166,0),2),2)*10&lt;=ROUND(I$6+IF(I$5=$C166,$E$5+$E166,0),2)),ROUND(K165+J166,2),MIN(ROUND(I$6+IF(I$5=$C166,$E$5+$E166,0),2),ROUND(K165+J166,2))),0)</f>
        <v>0</v>
      </c>
      <c r="J166" s="24">
        <f>IF(K165&gt;0,ROUND(ROUND(K165*100,0)*ROUND(I$7*10000,0)/12000000,0)/100,0)</f>
        <v>0</v>
      </c>
      <c r="K166" s="24">
        <f>IF(K165&gt;0,ROUND(K165+J166-I166,2),0)</f>
        <v>0</v>
      </c>
      <c r="L166" s="24">
        <f>IF(K165&gt;0,ROUND(L165+ROUND(ROUND(L165*100,0)*ROUND(I$7*10000,0)/12000000,0)/100+0.02,2),0)</f>
        <v>0</v>
      </c>
      <c r="M166" s="24">
        <f>IF(O165&gt;0,IF(AND(ROUND(O165+N166-ROUND(M$6+IF(M$5=$C166,$E$5+$E166,0),2),2)&gt;0,ROUND(O165+N166-ROUND(M$6+IF(M$5=$C166,$E$5+$E166,0),2),2)&lt;=P166,ROUND(O165+N166-ROUND(M$6+IF(M$5=$C166,$E$5+$E166,0),2),2)*10&lt;=ROUND(M$6+IF(M$5=$C166,$E$5+$E166,0),2)),ROUND(O165+N166,2),MIN(ROUND(M$6+IF(M$5=$C166,$E$5+$E166,0),2),ROUND(O165+N166,2))),0)</f>
        <v>0</v>
      </c>
      <c r="N166" s="24">
        <f>IF(O165&gt;0,ROUND(ROUND(O165*100,0)*ROUND(M$7*10000,0)/12000000,0)/100,0)</f>
        <v>0</v>
      </c>
      <c r="O166" s="24">
        <f>IF(O165&gt;0,ROUND(O165+N166-M166,2),0)</f>
        <v>0</v>
      </c>
      <c r="P166" s="24">
        <f>IF(O165&gt;0,ROUND(P165+ROUND(ROUND(P165*100,0)*ROUND(M$7*10000,0)/12000000,0)/100+0.02,2),0)</f>
        <v>0</v>
      </c>
      <c r="Q166" s="24">
        <f>IF(S165&gt;0,IF(AND(ROUND(S165+R166-ROUND(Q$6+IF(Q$5=$C166,$E$5+$E166,0),2),2)&gt;0,ROUND(S165+R166-ROUND(Q$6+IF(Q$5=$C166,$E$5+$E166,0),2),2)&lt;=T166,ROUND(S165+R166-ROUND(Q$6+IF(Q$5=$C166,$E$5+$E166,0),2),2)*10&lt;=ROUND(Q$6+IF(Q$5=$C166,$E$5+$E166,0),2)),ROUND(S165+R166,2),MIN(ROUND(Q$6+IF(Q$5=$C166,$E$5+$E166,0),2),ROUND(S165+R166,2))),0)</f>
        <v>0</v>
      </c>
      <c r="R166" s="24">
        <f>IF(S165&gt;0,ROUND(ROUND(S165*100,0)*ROUND(Q$7*10000,0)/12000000,0)/100,0)</f>
        <v>0</v>
      </c>
      <c r="S166" s="24">
        <f>IF(S165&gt;0,ROUND(S165+R166-Q166,2),0)</f>
        <v>0</v>
      </c>
      <c r="T166" s="24">
        <f>IF(S165&gt;0,ROUND(T165+ROUND(ROUND(T165*100,0)*ROUND(Q$7*10000,0)/12000000,0)/100+0.02,2),0)</f>
        <v>0</v>
      </c>
      <c r="U166" s="24">
        <f>IF(W165&gt;0,IF(AND(ROUND(W165+V166-ROUND(U$6+IF(U$5=$C166,$E$5+$E166,0),2),2)&gt;0,ROUND(W165+V166-ROUND(U$6+IF(U$5=$C166,$E$5+$E166,0),2),2)&lt;=X166,ROUND(W165+V166-ROUND(U$6+IF(U$5=$C166,$E$5+$E166,0),2),2)*10&lt;=ROUND(U$6+IF(U$5=$C166,$E$5+$E166,0),2)),ROUND(W165+V166,2),MIN(ROUND(U$6+IF(U$5=$C166,$E$5+$E166,0),2),ROUND(W165+V166,2))),0)</f>
        <v>0</v>
      </c>
      <c r="V166" s="24">
        <f>IF(W165&gt;0,ROUND(ROUND(W165*100,0)*ROUND(U$7*10000,0)/12000000,0)/100,0)</f>
        <v>0</v>
      </c>
      <c r="W166" s="24">
        <f>IF(W165&gt;0,ROUND(W165+V166-U166,2),0)</f>
        <v>0</v>
      </c>
      <c r="X166" s="24">
        <f>IF(W165&gt;0,ROUND(X165+ROUND(ROUND(X165*100,0)*ROUND(U$7*10000,0)/12000000,0)/100+0.02,2),0)</f>
        <v>0</v>
      </c>
      <c r="Y166" s="24">
        <f>IF(AA165&gt;0,IF(AND(ROUND(AA165+Z166-ROUND(Y$6+IF(Y$5=$C166,$E$5+$E166,0),2),2)&gt;0,ROUND(AA165+Z166-ROUND(Y$6+IF(Y$5=$C166,$E$5+$E166,0),2),2)&lt;=AB166,ROUND(AA165+Z166-ROUND(Y$6+IF(Y$5=$C166,$E$5+$E166,0),2),2)*10&lt;=ROUND(Y$6+IF(Y$5=$C166,$E$5+$E166,0),2)),ROUND(AA165+Z166,2),MIN(ROUND(Y$6+IF(Y$5=$C166,$E$5+$E166,0),2),ROUND(AA165+Z166,2))),0)</f>
        <v>0</v>
      </c>
      <c r="Z166" s="24">
        <f>IF(AA165&gt;0,ROUND(ROUND(AA165*100,0)*ROUND(Y$7*10000,0)/12000000,0)/100,0)</f>
        <v>0</v>
      </c>
      <c r="AA166" s="24">
        <f>IF(AA165&gt;0,ROUND(AA165+Z166-Y166,2),0)</f>
        <v>0</v>
      </c>
      <c r="AB166" s="24">
        <f>IF(AA165&gt;0,ROUND(AB165+ROUND(ROUND(AB165*100,0)*ROUND(Y$7*10000,0)/12000000,0)/100+0.02,2),0)</f>
        <v>0</v>
      </c>
      <c r="AC166" s="24">
        <f>IF(AE165&gt;0,IF(AND(ROUND(AE165+AD166-ROUND(AC$6+IF(AC$5=$C166,$E$5+$E166,0),2),2)&gt;0,ROUND(AE165+AD166-ROUND(AC$6+IF(AC$5=$C166,$E$5+$E166,0),2),2)&lt;=AF166,ROUND(AE165+AD166-ROUND(AC$6+IF(AC$5=$C166,$E$5+$E166,0),2),2)*10&lt;=ROUND(AC$6+IF(AC$5=$C166,$E$5+$E166,0),2)),ROUND(AE165+AD166,2),MIN(ROUND(AC$6+IF(AC$5=$C166,$E$5+$E166,0),2),ROUND(AE165+AD166,2))),0)</f>
        <v>0</v>
      </c>
      <c r="AD166" s="24">
        <f>IF(AE165&gt;0,ROUND(ROUND(AE165*100,0)*ROUND(AC$7*10000,0)/12000000,0)/100,0)</f>
        <v>0</v>
      </c>
      <c r="AE166" s="24">
        <f>IF(AE165&gt;0,ROUND(AE165+AD166-AC166,2),0)</f>
        <v>0</v>
      </c>
      <c r="AF166" s="24">
        <f>IF(AE165&gt;0,ROUND(AF165+ROUND(ROUND(AF165*100,0)*ROUND(AC$7*10000,0)/12000000,0)/100+0.02,2),0)</f>
        <v>0</v>
      </c>
      <c r="AG166" s="24">
        <f>IF(AI165&gt;0,IF(AND(ROUND(AI165+AH166-ROUND(AG$6+IF(AG$5=$C166,$E$5+$E166,0),2),2)&gt;0,ROUND(AI165+AH166-ROUND(AG$6+IF(AG$5=$C166,$E$5+$E166,0),2),2)&lt;=AJ166,ROUND(AI165+AH166-ROUND(AG$6+IF(AG$5=$C166,$E$5+$E166,0),2),2)*10&lt;=ROUND(AG$6+IF(AG$5=$C166,$E$5+$E166,0),2)),ROUND(AI165+AH166,2),MIN(ROUND(AG$6+IF(AG$5=$C166,$E$5+$E166,0),2),ROUND(AI165+AH166,2))),0)</f>
        <v>0</v>
      </c>
      <c r="AH166" s="24">
        <f>IF(AI165&gt;0,ROUND(ROUND(AI165*100,0)*ROUND(AG$7*10000,0)/12000000,0)/100,0)</f>
        <v>0</v>
      </c>
      <c r="AI166" s="24">
        <f>IF(AI165&gt;0,ROUND(AI165+AH166-AG166,2),0)</f>
        <v>0</v>
      </c>
      <c r="AJ166" s="24">
        <f>IF(AI165&gt;0,ROUND(AJ165+ROUND(ROUND(AJ165*100,0)*ROUND(AG$7*10000,0)/12000000,0)/100+0.02,2),0)</f>
        <v>0</v>
      </c>
      <c r="AK166" s="24">
        <f>IF(AM165&gt;0,IF(AND(ROUND(AM165+AL166-ROUND(AK$6+IF(AK$5=$C166,$E$5+$E166,0),2),2)&gt;0,ROUND(AM165+AL166-ROUND(AK$6+IF(AK$5=$C166,$E$5+$E166,0),2),2)&lt;=AN166,ROUND(AM165+AL166-ROUND(AK$6+IF(AK$5=$C166,$E$5+$E166,0),2),2)*10&lt;=ROUND(AK$6+IF(AK$5=$C166,$E$5+$E166,0),2)),ROUND(AM165+AL166,2),MIN(ROUND(AK$6+IF(AK$5=$C166,$E$5+$E166,0),2),ROUND(AM165+AL166,2))),0)</f>
        <v>0</v>
      </c>
      <c r="AL166" s="24">
        <f>IF(AM165&gt;0,ROUND(ROUND(AM165*100,0)*ROUND(AK$7*10000,0)/12000000,0)/100,0)</f>
        <v>0</v>
      </c>
      <c r="AM166" s="24">
        <f>IF(AM165&gt;0,ROUND(AM165+AL166-AK166,2),0)</f>
        <v>0</v>
      </c>
      <c r="AN166" s="24">
        <f>IF(AM165&gt;0,ROUND(AN165+ROUND(ROUND(AN165*100,0)*ROUND(AK$7*10000,0)/12000000,0)/100+0.02,2),0)</f>
        <v>0</v>
      </c>
      <c r="AO166" s="24">
        <f>IF(AQ165&gt;0,IF(AND(ROUND(AQ165+AP166-ROUND(AO$6+IF(AO$5=$C166,$E$5+$E166,0),2),2)&gt;0,ROUND(AQ165+AP166-ROUND(AO$6+IF(AO$5=$C166,$E$5+$E166,0),2),2)&lt;=AR166,ROUND(AQ165+AP166-ROUND(AO$6+IF(AO$5=$C166,$E$5+$E166,0),2),2)*10&lt;=ROUND(AO$6+IF(AO$5=$C166,$E$5+$E166,0),2)),ROUND(AQ165+AP166,2),MIN(ROUND(AO$6+IF(AO$5=$C166,$E$5+$E166,0),2),ROUND(AQ165+AP166,2))),0)</f>
        <v>0</v>
      </c>
      <c r="AP166" s="24">
        <f>IF(AQ165&gt;0,ROUND(ROUND(AQ165*100,0)*ROUND(AO$7*10000,0)/12000000,0)/100,0)</f>
        <v>0</v>
      </c>
      <c r="AQ166" s="24">
        <f>IF(AQ165&gt;0,ROUND(AQ165+AP166-AO166,2),0)</f>
        <v>0</v>
      </c>
      <c r="AR166" s="24">
        <f>IF(AQ165&gt;0,ROUND(AR165+ROUND(ROUND(AR165*100,0)*ROUND(AO$7*10000,0)/12000000,0)/100+0.02,2),0)</f>
        <v>0</v>
      </c>
      <c r="AS166" s="24">
        <f>IF(AU165&gt;0,IF(AND(ROUND(AU165+AT166-ROUND(AS$6+IF(AS$5=$C166,$E$5+$E166,0),2),2)&gt;0,ROUND(AU165+AT166-ROUND(AS$6+IF(AS$5=$C166,$E$5+$E166,0),2),2)&lt;=AV166,ROUND(AU165+AT166-ROUND(AS$6+IF(AS$5=$C166,$E$5+$E166,0),2),2)*10&lt;=ROUND(AS$6+IF(AS$5=$C166,$E$5+$E166,0),2)),ROUND(AU165+AT166,2),MIN(ROUND(AS$6+IF(AS$5=$C166,$E$5+$E166,0),2),ROUND(AU165+AT166,2))),0)</f>
        <v>0</v>
      </c>
      <c r="AT166" s="24">
        <f>IF(AU165&gt;0,ROUND(ROUND(AU165*100,0)*ROUND(AS$7*10000,0)/12000000,0)/100,0)</f>
        <v>0</v>
      </c>
      <c r="AU166" s="24">
        <f>IF(AU165&gt;0,ROUND(AU165+AT166-AS166,2),0)</f>
        <v>0</v>
      </c>
      <c r="AV166" s="24">
        <f>IF(AU165&gt;0,ROUND(AV165+ROUND(ROUND(AV165*100,0)*ROUND(AS$7*10000,0)/12000000,0)/100+0.02,2),0)</f>
        <v>0</v>
      </c>
    </row>
    <row r="167" spans="1:48" x14ac:dyDescent="0.25">
      <c r="A167" s="17" t="str">
        <f>IF(F167&gt;0,157,"")</f>
        <v/>
      </c>
      <c r="B167" s="18" t="str">
        <f>IF(F167&gt;0,EDATE($E$6,157),"")</f>
        <v/>
      </c>
      <c r="C167" s="21">
        <f>IF(H166&gt;0,MIN(IF(K166&gt;0,I$5,99),IF(O166&gt;0,M$5,99),IF(S166&gt;0,Q$5,99),IF(W166&gt;0,U$5,99),IF(AA166&gt;0,Y$5,99),IF(AE166&gt;0,AC$5,99),IF(AI166&gt;0,AG$5,99),IF(AM166&gt;0,AK$5,99),IF(AQ166&gt;0,AO$5,99),IF(AU166&gt;0,AS$5,99)),0)</f>
        <v>0</v>
      </c>
      <c r="D167" t="str">
        <f>IF(C167&gt;0,INDEX($I$4:$AV$4,1,MATCH(C167,$I$5:$AV$5,0)),"")</f>
        <v/>
      </c>
      <c r="E167" s="24">
        <f>ROUND(IF(AND(I$8&gt;0,K166=0),I$6,0)+IF(AND(M$8&gt;0,O166=0),M$6,0)+IF(AND(Q$8&gt;0,S166=0),Q$6,0)+IF(AND(U$8&gt;0,W166=0),U$6,0)+IF(AND(Y$8&gt;0,AA166=0),Y$6,0)+IF(AND(AC$8&gt;0,AE166=0),AC$6,0)+IF(AND(AG$8&gt;0,AI166=0),AG$6,0)+IF(AND(AK$8&gt;0,AM166=0),AK$6,0)+IF(AND(AO$8&gt;0,AQ166=0),AO$6,0)+IF(AND(AS$8&gt;0,AU166=0),AS$6,0),2)</f>
        <v>325</v>
      </c>
      <c r="F167" s="24">
        <f>ROUND(I167+M167+Q167+U167+Y167+AC167+AG167+AK167+AO167+AS167,2)</f>
        <v>0</v>
      </c>
      <c r="G167" s="24">
        <f>ROUND(J167+N167+R167+V167+Z167+AD167+AH167+AL167+AP167+AT167,2)</f>
        <v>0</v>
      </c>
      <c r="H167" s="24">
        <f>ROUND(K167+O167+S167+W167+AA167+AE167+AI167+AM167+AQ167+AU167,2)</f>
        <v>0</v>
      </c>
      <c r="I167" s="24">
        <f>IF(K166&gt;0,IF(AND(ROUND(K166+J167-ROUND(I$6+IF(I$5=$C167,$E$5+$E167,0),2),2)&gt;0,ROUND(K166+J167-ROUND(I$6+IF(I$5=$C167,$E$5+$E167,0),2),2)&lt;=L167,ROUND(K166+J167-ROUND(I$6+IF(I$5=$C167,$E$5+$E167,0),2),2)*10&lt;=ROUND(I$6+IF(I$5=$C167,$E$5+$E167,0),2)),ROUND(K166+J167,2),MIN(ROUND(I$6+IF(I$5=$C167,$E$5+$E167,0),2),ROUND(K166+J167,2))),0)</f>
        <v>0</v>
      </c>
      <c r="J167" s="24">
        <f>IF(K166&gt;0,ROUND(ROUND(K166*100,0)*ROUND(I$7*10000,0)/12000000,0)/100,0)</f>
        <v>0</v>
      </c>
      <c r="K167" s="24">
        <f>IF(K166&gt;0,ROUND(K166+J167-I167,2),0)</f>
        <v>0</v>
      </c>
      <c r="L167" s="24">
        <f>IF(K166&gt;0,ROUND(L166+ROUND(ROUND(L166*100,0)*ROUND(I$7*10000,0)/12000000,0)/100+0.02,2),0)</f>
        <v>0</v>
      </c>
      <c r="M167" s="24">
        <f>IF(O166&gt;0,IF(AND(ROUND(O166+N167-ROUND(M$6+IF(M$5=$C167,$E$5+$E167,0),2),2)&gt;0,ROUND(O166+N167-ROUND(M$6+IF(M$5=$C167,$E$5+$E167,0),2),2)&lt;=P167,ROUND(O166+N167-ROUND(M$6+IF(M$5=$C167,$E$5+$E167,0),2),2)*10&lt;=ROUND(M$6+IF(M$5=$C167,$E$5+$E167,0),2)),ROUND(O166+N167,2),MIN(ROUND(M$6+IF(M$5=$C167,$E$5+$E167,0),2),ROUND(O166+N167,2))),0)</f>
        <v>0</v>
      </c>
      <c r="N167" s="24">
        <f>IF(O166&gt;0,ROUND(ROUND(O166*100,0)*ROUND(M$7*10000,0)/12000000,0)/100,0)</f>
        <v>0</v>
      </c>
      <c r="O167" s="24">
        <f>IF(O166&gt;0,ROUND(O166+N167-M167,2),0)</f>
        <v>0</v>
      </c>
      <c r="P167" s="24">
        <f>IF(O166&gt;0,ROUND(P166+ROUND(ROUND(P166*100,0)*ROUND(M$7*10000,0)/12000000,0)/100+0.02,2),0)</f>
        <v>0</v>
      </c>
      <c r="Q167" s="24">
        <f>IF(S166&gt;0,IF(AND(ROUND(S166+R167-ROUND(Q$6+IF(Q$5=$C167,$E$5+$E167,0),2),2)&gt;0,ROUND(S166+R167-ROUND(Q$6+IF(Q$5=$C167,$E$5+$E167,0),2),2)&lt;=T167,ROUND(S166+R167-ROUND(Q$6+IF(Q$5=$C167,$E$5+$E167,0),2),2)*10&lt;=ROUND(Q$6+IF(Q$5=$C167,$E$5+$E167,0),2)),ROUND(S166+R167,2),MIN(ROUND(Q$6+IF(Q$5=$C167,$E$5+$E167,0),2),ROUND(S166+R167,2))),0)</f>
        <v>0</v>
      </c>
      <c r="R167" s="24">
        <f>IF(S166&gt;0,ROUND(ROUND(S166*100,0)*ROUND(Q$7*10000,0)/12000000,0)/100,0)</f>
        <v>0</v>
      </c>
      <c r="S167" s="24">
        <f>IF(S166&gt;0,ROUND(S166+R167-Q167,2),0)</f>
        <v>0</v>
      </c>
      <c r="T167" s="24">
        <f>IF(S166&gt;0,ROUND(T166+ROUND(ROUND(T166*100,0)*ROUND(Q$7*10000,0)/12000000,0)/100+0.02,2),0)</f>
        <v>0</v>
      </c>
      <c r="U167" s="24">
        <f>IF(W166&gt;0,IF(AND(ROUND(W166+V167-ROUND(U$6+IF(U$5=$C167,$E$5+$E167,0),2),2)&gt;0,ROUND(W166+V167-ROUND(U$6+IF(U$5=$C167,$E$5+$E167,0),2),2)&lt;=X167,ROUND(W166+V167-ROUND(U$6+IF(U$5=$C167,$E$5+$E167,0),2),2)*10&lt;=ROUND(U$6+IF(U$5=$C167,$E$5+$E167,0),2)),ROUND(W166+V167,2),MIN(ROUND(U$6+IF(U$5=$C167,$E$5+$E167,0),2),ROUND(W166+V167,2))),0)</f>
        <v>0</v>
      </c>
      <c r="V167" s="24">
        <f>IF(W166&gt;0,ROUND(ROUND(W166*100,0)*ROUND(U$7*10000,0)/12000000,0)/100,0)</f>
        <v>0</v>
      </c>
      <c r="W167" s="24">
        <f>IF(W166&gt;0,ROUND(W166+V167-U167,2),0)</f>
        <v>0</v>
      </c>
      <c r="X167" s="24">
        <f>IF(W166&gt;0,ROUND(X166+ROUND(ROUND(X166*100,0)*ROUND(U$7*10000,0)/12000000,0)/100+0.02,2),0)</f>
        <v>0</v>
      </c>
      <c r="Y167" s="24">
        <f>IF(AA166&gt;0,IF(AND(ROUND(AA166+Z167-ROUND(Y$6+IF(Y$5=$C167,$E$5+$E167,0),2),2)&gt;0,ROUND(AA166+Z167-ROUND(Y$6+IF(Y$5=$C167,$E$5+$E167,0),2),2)&lt;=AB167,ROUND(AA166+Z167-ROUND(Y$6+IF(Y$5=$C167,$E$5+$E167,0),2),2)*10&lt;=ROUND(Y$6+IF(Y$5=$C167,$E$5+$E167,0),2)),ROUND(AA166+Z167,2),MIN(ROUND(Y$6+IF(Y$5=$C167,$E$5+$E167,0),2),ROUND(AA166+Z167,2))),0)</f>
        <v>0</v>
      </c>
      <c r="Z167" s="24">
        <f>IF(AA166&gt;0,ROUND(ROUND(AA166*100,0)*ROUND(Y$7*10000,0)/12000000,0)/100,0)</f>
        <v>0</v>
      </c>
      <c r="AA167" s="24">
        <f>IF(AA166&gt;0,ROUND(AA166+Z167-Y167,2),0)</f>
        <v>0</v>
      </c>
      <c r="AB167" s="24">
        <f>IF(AA166&gt;0,ROUND(AB166+ROUND(ROUND(AB166*100,0)*ROUND(Y$7*10000,0)/12000000,0)/100+0.02,2),0)</f>
        <v>0</v>
      </c>
      <c r="AC167" s="24">
        <f>IF(AE166&gt;0,IF(AND(ROUND(AE166+AD167-ROUND(AC$6+IF(AC$5=$C167,$E$5+$E167,0),2),2)&gt;0,ROUND(AE166+AD167-ROUND(AC$6+IF(AC$5=$C167,$E$5+$E167,0),2),2)&lt;=AF167,ROUND(AE166+AD167-ROUND(AC$6+IF(AC$5=$C167,$E$5+$E167,0),2),2)*10&lt;=ROUND(AC$6+IF(AC$5=$C167,$E$5+$E167,0),2)),ROUND(AE166+AD167,2),MIN(ROUND(AC$6+IF(AC$5=$C167,$E$5+$E167,0),2),ROUND(AE166+AD167,2))),0)</f>
        <v>0</v>
      </c>
      <c r="AD167" s="24">
        <f>IF(AE166&gt;0,ROUND(ROUND(AE166*100,0)*ROUND(AC$7*10000,0)/12000000,0)/100,0)</f>
        <v>0</v>
      </c>
      <c r="AE167" s="24">
        <f>IF(AE166&gt;0,ROUND(AE166+AD167-AC167,2),0)</f>
        <v>0</v>
      </c>
      <c r="AF167" s="24">
        <f>IF(AE166&gt;0,ROUND(AF166+ROUND(ROUND(AF166*100,0)*ROUND(AC$7*10000,0)/12000000,0)/100+0.02,2),0)</f>
        <v>0</v>
      </c>
      <c r="AG167" s="24">
        <f>IF(AI166&gt;0,IF(AND(ROUND(AI166+AH167-ROUND(AG$6+IF(AG$5=$C167,$E$5+$E167,0),2),2)&gt;0,ROUND(AI166+AH167-ROUND(AG$6+IF(AG$5=$C167,$E$5+$E167,0),2),2)&lt;=AJ167,ROUND(AI166+AH167-ROUND(AG$6+IF(AG$5=$C167,$E$5+$E167,0),2),2)*10&lt;=ROUND(AG$6+IF(AG$5=$C167,$E$5+$E167,0),2)),ROUND(AI166+AH167,2),MIN(ROUND(AG$6+IF(AG$5=$C167,$E$5+$E167,0),2),ROUND(AI166+AH167,2))),0)</f>
        <v>0</v>
      </c>
      <c r="AH167" s="24">
        <f>IF(AI166&gt;0,ROUND(ROUND(AI166*100,0)*ROUND(AG$7*10000,0)/12000000,0)/100,0)</f>
        <v>0</v>
      </c>
      <c r="AI167" s="24">
        <f>IF(AI166&gt;0,ROUND(AI166+AH167-AG167,2),0)</f>
        <v>0</v>
      </c>
      <c r="AJ167" s="24">
        <f>IF(AI166&gt;0,ROUND(AJ166+ROUND(ROUND(AJ166*100,0)*ROUND(AG$7*10000,0)/12000000,0)/100+0.02,2),0)</f>
        <v>0</v>
      </c>
      <c r="AK167" s="24">
        <f>IF(AM166&gt;0,IF(AND(ROUND(AM166+AL167-ROUND(AK$6+IF(AK$5=$C167,$E$5+$E167,0),2),2)&gt;0,ROUND(AM166+AL167-ROUND(AK$6+IF(AK$5=$C167,$E$5+$E167,0),2),2)&lt;=AN167,ROUND(AM166+AL167-ROUND(AK$6+IF(AK$5=$C167,$E$5+$E167,0),2),2)*10&lt;=ROUND(AK$6+IF(AK$5=$C167,$E$5+$E167,0),2)),ROUND(AM166+AL167,2),MIN(ROUND(AK$6+IF(AK$5=$C167,$E$5+$E167,0),2),ROUND(AM166+AL167,2))),0)</f>
        <v>0</v>
      </c>
      <c r="AL167" s="24">
        <f>IF(AM166&gt;0,ROUND(ROUND(AM166*100,0)*ROUND(AK$7*10000,0)/12000000,0)/100,0)</f>
        <v>0</v>
      </c>
      <c r="AM167" s="24">
        <f>IF(AM166&gt;0,ROUND(AM166+AL167-AK167,2),0)</f>
        <v>0</v>
      </c>
      <c r="AN167" s="24">
        <f>IF(AM166&gt;0,ROUND(AN166+ROUND(ROUND(AN166*100,0)*ROUND(AK$7*10000,0)/12000000,0)/100+0.02,2),0)</f>
        <v>0</v>
      </c>
      <c r="AO167" s="24">
        <f>IF(AQ166&gt;0,IF(AND(ROUND(AQ166+AP167-ROUND(AO$6+IF(AO$5=$C167,$E$5+$E167,0),2),2)&gt;0,ROUND(AQ166+AP167-ROUND(AO$6+IF(AO$5=$C167,$E$5+$E167,0),2),2)&lt;=AR167,ROUND(AQ166+AP167-ROUND(AO$6+IF(AO$5=$C167,$E$5+$E167,0),2),2)*10&lt;=ROUND(AO$6+IF(AO$5=$C167,$E$5+$E167,0),2)),ROUND(AQ166+AP167,2),MIN(ROUND(AO$6+IF(AO$5=$C167,$E$5+$E167,0),2),ROUND(AQ166+AP167,2))),0)</f>
        <v>0</v>
      </c>
      <c r="AP167" s="24">
        <f>IF(AQ166&gt;0,ROUND(ROUND(AQ166*100,0)*ROUND(AO$7*10000,0)/12000000,0)/100,0)</f>
        <v>0</v>
      </c>
      <c r="AQ167" s="24">
        <f>IF(AQ166&gt;0,ROUND(AQ166+AP167-AO167,2),0)</f>
        <v>0</v>
      </c>
      <c r="AR167" s="24">
        <f>IF(AQ166&gt;0,ROUND(AR166+ROUND(ROUND(AR166*100,0)*ROUND(AO$7*10000,0)/12000000,0)/100+0.02,2),0)</f>
        <v>0</v>
      </c>
      <c r="AS167" s="24">
        <f>IF(AU166&gt;0,IF(AND(ROUND(AU166+AT167-ROUND(AS$6+IF(AS$5=$C167,$E$5+$E167,0),2),2)&gt;0,ROUND(AU166+AT167-ROUND(AS$6+IF(AS$5=$C167,$E$5+$E167,0),2),2)&lt;=AV167,ROUND(AU166+AT167-ROUND(AS$6+IF(AS$5=$C167,$E$5+$E167,0),2),2)*10&lt;=ROUND(AS$6+IF(AS$5=$C167,$E$5+$E167,0),2)),ROUND(AU166+AT167,2),MIN(ROUND(AS$6+IF(AS$5=$C167,$E$5+$E167,0),2),ROUND(AU166+AT167,2))),0)</f>
        <v>0</v>
      </c>
      <c r="AT167" s="24">
        <f>IF(AU166&gt;0,ROUND(ROUND(AU166*100,0)*ROUND(AS$7*10000,0)/12000000,0)/100,0)</f>
        <v>0</v>
      </c>
      <c r="AU167" s="24">
        <f>IF(AU166&gt;0,ROUND(AU166+AT167-AS167,2),0)</f>
        <v>0</v>
      </c>
      <c r="AV167" s="24">
        <f>IF(AU166&gt;0,ROUND(AV166+ROUND(ROUND(AV166*100,0)*ROUND(AS$7*10000,0)/12000000,0)/100+0.02,2),0)</f>
        <v>0</v>
      </c>
    </row>
    <row r="168" spans="1:48" x14ac:dyDescent="0.25">
      <c r="A168" s="17" t="str">
        <f>IF(F168&gt;0,158,"")</f>
        <v/>
      </c>
      <c r="B168" s="18" t="str">
        <f>IF(F168&gt;0,EDATE($E$6,158),"")</f>
        <v/>
      </c>
      <c r="C168" s="21">
        <f>IF(H167&gt;0,MIN(IF(K167&gt;0,I$5,99),IF(O167&gt;0,M$5,99),IF(S167&gt;0,Q$5,99),IF(W167&gt;0,U$5,99),IF(AA167&gt;0,Y$5,99),IF(AE167&gt;0,AC$5,99),IF(AI167&gt;0,AG$5,99),IF(AM167&gt;0,AK$5,99),IF(AQ167&gt;0,AO$5,99),IF(AU167&gt;0,AS$5,99)),0)</f>
        <v>0</v>
      </c>
      <c r="D168" t="str">
        <f>IF(C168&gt;0,INDEX($I$4:$AV$4,1,MATCH(C168,$I$5:$AV$5,0)),"")</f>
        <v/>
      </c>
      <c r="E168" s="24">
        <f>ROUND(IF(AND(I$8&gt;0,K167=0),I$6,0)+IF(AND(M$8&gt;0,O167=0),M$6,0)+IF(AND(Q$8&gt;0,S167=0),Q$6,0)+IF(AND(U$8&gt;0,W167=0),U$6,0)+IF(AND(Y$8&gt;0,AA167=0),Y$6,0)+IF(AND(AC$8&gt;0,AE167=0),AC$6,0)+IF(AND(AG$8&gt;0,AI167=0),AG$6,0)+IF(AND(AK$8&gt;0,AM167=0),AK$6,0)+IF(AND(AO$8&gt;0,AQ167=0),AO$6,0)+IF(AND(AS$8&gt;0,AU167=0),AS$6,0),2)</f>
        <v>325</v>
      </c>
      <c r="F168" s="24">
        <f>ROUND(I168+M168+Q168+U168+Y168+AC168+AG168+AK168+AO168+AS168,2)</f>
        <v>0</v>
      </c>
      <c r="G168" s="24">
        <f>ROUND(J168+N168+R168+V168+Z168+AD168+AH168+AL168+AP168+AT168,2)</f>
        <v>0</v>
      </c>
      <c r="H168" s="24">
        <f>ROUND(K168+O168+S168+W168+AA168+AE168+AI168+AM168+AQ168+AU168,2)</f>
        <v>0</v>
      </c>
      <c r="I168" s="24">
        <f>IF(K167&gt;0,IF(AND(ROUND(K167+J168-ROUND(I$6+IF(I$5=$C168,$E$5+$E168,0),2),2)&gt;0,ROUND(K167+J168-ROUND(I$6+IF(I$5=$C168,$E$5+$E168,0),2),2)&lt;=L168,ROUND(K167+J168-ROUND(I$6+IF(I$5=$C168,$E$5+$E168,0),2),2)*10&lt;=ROUND(I$6+IF(I$5=$C168,$E$5+$E168,0),2)),ROUND(K167+J168,2),MIN(ROUND(I$6+IF(I$5=$C168,$E$5+$E168,0),2),ROUND(K167+J168,2))),0)</f>
        <v>0</v>
      </c>
      <c r="J168" s="24">
        <f>IF(K167&gt;0,ROUND(ROUND(K167*100,0)*ROUND(I$7*10000,0)/12000000,0)/100,0)</f>
        <v>0</v>
      </c>
      <c r="K168" s="24">
        <f>IF(K167&gt;0,ROUND(K167+J168-I168,2),0)</f>
        <v>0</v>
      </c>
      <c r="L168" s="24">
        <f>IF(K167&gt;0,ROUND(L167+ROUND(ROUND(L167*100,0)*ROUND(I$7*10000,0)/12000000,0)/100+0.02,2),0)</f>
        <v>0</v>
      </c>
      <c r="M168" s="24">
        <f>IF(O167&gt;0,IF(AND(ROUND(O167+N168-ROUND(M$6+IF(M$5=$C168,$E$5+$E168,0),2),2)&gt;0,ROUND(O167+N168-ROUND(M$6+IF(M$5=$C168,$E$5+$E168,0),2),2)&lt;=P168,ROUND(O167+N168-ROUND(M$6+IF(M$5=$C168,$E$5+$E168,0),2),2)*10&lt;=ROUND(M$6+IF(M$5=$C168,$E$5+$E168,0),2)),ROUND(O167+N168,2),MIN(ROUND(M$6+IF(M$5=$C168,$E$5+$E168,0),2),ROUND(O167+N168,2))),0)</f>
        <v>0</v>
      </c>
      <c r="N168" s="24">
        <f>IF(O167&gt;0,ROUND(ROUND(O167*100,0)*ROUND(M$7*10000,0)/12000000,0)/100,0)</f>
        <v>0</v>
      </c>
      <c r="O168" s="24">
        <f>IF(O167&gt;0,ROUND(O167+N168-M168,2),0)</f>
        <v>0</v>
      </c>
      <c r="P168" s="24">
        <f>IF(O167&gt;0,ROUND(P167+ROUND(ROUND(P167*100,0)*ROUND(M$7*10000,0)/12000000,0)/100+0.02,2),0)</f>
        <v>0</v>
      </c>
      <c r="Q168" s="24">
        <f>IF(S167&gt;0,IF(AND(ROUND(S167+R168-ROUND(Q$6+IF(Q$5=$C168,$E$5+$E168,0),2),2)&gt;0,ROUND(S167+R168-ROUND(Q$6+IF(Q$5=$C168,$E$5+$E168,0),2),2)&lt;=T168,ROUND(S167+R168-ROUND(Q$6+IF(Q$5=$C168,$E$5+$E168,0),2),2)*10&lt;=ROUND(Q$6+IF(Q$5=$C168,$E$5+$E168,0),2)),ROUND(S167+R168,2),MIN(ROUND(Q$6+IF(Q$5=$C168,$E$5+$E168,0),2),ROUND(S167+R168,2))),0)</f>
        <v>0</v>
      </c>
      <c r="R168" s="24">
        <f>IF(S167&gt;0,ROUND(ROUND(S167*100,0)*ROUND(Q$7*10000,0)/12000000,0)/100,0)</f>
        <v>0</v>
      </c>
      <c r="S168" s="24">
        <f>IF(S167&gt;0,ROUND(S167+R168-Q168,2),0)</f>
        <v>0</v>
      </c>
      <c r="T168" s="24">
        <f>IF(S167&gt;0,ROUND(T167+ROUND(ROUND(T167*100,0)*ROUND(Q$7*10000,0)/12000000,0)/100+0.02,2),0)</f>
        <v>0</v>
      </c>
      <c r="U168" s="24">
        <f>IF(W167&gt;0,IF(AND(ROUND(W167+V168-ROUND(U$6+IF(U$5=$C168,$E$5+$E168,0),2),2)&gt;0,ROUND(W167+V168-ROUND(U$6+IF(U$5=$C168,$E$5+$E168,0),2),2)&lt;=X168,ROUND(W167+V168-ROUND(U$6+IF(U$5=$C168,$E$5+$E168,0),2),2)*10&lt;=ROUND(U$6+IF(U$5=$C168,$E$5+$E168,0),2)),ROUND(W167+V168,2),MIN(ROUND(U$6+IF(U$5=$C168,$E$5+$E168,0),2),ROUND(W167+V168,2))),0)</f>
        <v>0</v>
      </c>
      <c r="V168" s="24">
        <f>IF(W167&gt;0,ROUND(ROUND(W167*100,0)*ROUND(U$7*10000,0)/12000000,0)/100,0)</f>
        <v>0</v>
      </c>
      <c r="W168" s="24">
        <f>IF(W167&gt;0,ROUND(W167+V168-U168,2),0)</f>
        <v>0</v>
      </c>
      <c r="X168" s="24">
        <f>IF(W167&gt;0,ROUND(X167+ROUND(ROUND(X167*100,0)*ROUND(U$7*10000,0)/12000000,0)/100+0.02,2),0)</f>
        <v>0</v>
      </c>
      <c r="Y168" s="24">
        <f>IF(AA167&gt;0,IF(AND(ROUND(AA167+Z168-ROUND(Y$6+IF(Y$5=$C168,$E$5+$E168,0),2),2)&gt;0,ROUND(AA167+Z168-ROUND(Y$6+IF(Y$5=$C168,$E$5+$E168,0),2),2)&lt;=AB168,ROUND(AA167+Z168-ROUND(Y$6+IF(Y$5=$C168,$E$5+$E168,0),2),2)*10&lt;=ROUND(Y$6+IF(Y$5=$C168,$E$5+$E168,0),2)),ROUND(AA167+Z168,2),MIN(ROUND(Y$6+IF(Y$5=$C168,$E$5+$E168,0),2),ROUND(AA167+Z168,2))),0)</f>
        <v>0</v>
      </c>
      <c r="Z168" s="24">
        <f>IF(AA167&gt;0,ROUND(ROUND(AA167*100,0)*ROUND(Y$7*10000,0)/12000000,0)/100,0)</f>
        <v>0</v>
      </c>
      <c r="AA168" s="24">
        <f>IF(AA167&gt;0,ROUND(AA167+Z168-Y168,2),0)</f>
        <v>0</v>
      </c>
      <c r="AB168" s="24">
        <f>IF(AA167&gt;0,ROUND(AB167+ROUND(ROUND(AB167*100,0)*ROUND(Y$7*10000,0)/12000000,0)/100+0.02,2),0)</f>
        <v>0</v>
      </c>
      <c r="AC168" s="24">
        <f>IF(AE167&gt;0,IF(AND(ROUND(AE167+AD168-ROUND(AC$6+IF(AC$5=$C168,$E$5+$E168,0),2),2)&gt;0,ROUND(AE167+AD168-ROUND(AC$6+IF(AC$5=$C168,$E$5+$E168,0),2),2)&lt;=AF168,ROUND(AE167+AD168-ROUND(AC$6+IF(AC$5=$C168,$E$5+$E168,0),2),2)*10&lt;=ROUND(AC$6+IF(AC$5=$C168,$E$5+$E168,0),2)),ROUND(AE167+AD168,2),MIN(ROUND(AC$6+IF(AC$5=$C168,$E$5+$E168,0),2),ROUND(AE167+AD168,2))),0)</f>
        <v>0</v>
      </c>
      <c r="AD168" s="24">
        <f>IF(AE167&gt;0,ROUND(ROUND(AE167*100,0)*ROUND(AC$7*10000,0)/12000000,0)/100,0)</f>
        <v>0</v>
      </c>
      <c r="AE168" s="24">
        <f>IF(AE167&gt;0,ROUND(AE167+AD168-AC168,2),0)</f>
        <v>0</v>
      </c>
      <c r="AF168" s="24">
        <f>IF(AE167&gt;0,ROUND(AF167+ROUND(ROUND(AF167*100,0)*ROUND(AC$7*10000,0)/12000000,0)/100+0.02,2),0)</f>
        <v>0</v>
      </c>
      <c r="AG168" s="24">
        <f>IF(AI167&gt;0,IF(AND(ROUND(AI167+AH168-ROUND(AG$6+IF(AG$5=$C168,$E$5+$E168,0),2),2)&gt;0,ROUND(AI167+AH168-ROUND(AG$6+IF(AG$5=$C168,$E$5+$E168,0),2),2)&lt;=AJ168,ROUND(AI167+AH168-ROUND(AG$6+IF(AG$5=$C168,$E$5+$E168,0),2),2)*10&lt;=ROUND(AG$6+IF(AG$5=$C168,$E$5+$E168,0),2)),ROUND(AI167+AH168,2),MIN(ROUND(AG$6+IF(AG$5=$C168,$E$5+$E168,0),2),ROUND(AI167+AH168,2))),0)</f>
        <v>0</v>
      </c>
      <c r="AH168" s="24">
        <f>IF(AI167&gt;0,ROUND(ROUND(AI167*100,0)*ROUND(AG$7*10000,0)/12000000,0)/100,0)</f>
        <v>0</v>
      </c>
      <c r="AI168" s="24">
        <f>IF(AI167&gt;0,ROUND(AI167+AH168-AG168,2),0)</f>
        <v>0</v>
      </c>
      <c r="AJ168" s="24">
        <f>IF(AI167&gt;0,ROUND(AJ167+ROUND(ROUND(AJ167*100,0)*ROUND(AG$7*10000,0)/12000000,0)/100+0.02,2),0)</f>
        <v>0</v>
      </c>
      <c r="AK168" s="24">
        <f>IF(AM167&gt;0,IF(AND(ROUND(AM167+AL168-ROUND(AK$6+IF(AK$5=$C168,$E$5+$E168,0),2),2)&gt;0,ROUND(AM167+AL168-ROUND(AK$6+IF(AK$5=$C168,$E$5+$E168,0),2),2)&lt;=AN168,ROUND(AM167+AL168-ROUND(AK$6+IF(AK$5=$C168,$E$5+$E168,0),2),2)*10&lt;=ROUND(AK$6+IF(AK$5=$C168,$E$5+$E168,0),2)),ROUND(AM167+AL168,2),MIN(ROUND(AK$6+IF(AK$5=$C168,$E$5+$E168,0),2),ROUND(AM167+AL168,2))),0)</f>
        <v>0</v>
      </c>
      <c r="AL168" s="24">
        <f>IF(AM167&gt;0,ROUND(ROUND(AM167*100,0)*ROUND(AK$7*10000,0)/12000000,0)/100,0)</f>
        <v>0</v>
      </c>
      <c r="AM168" s="24">
        <f>IF(AM167&gt;0,ROUND(AM167+AL168-AK168,2),0)</f>
        <v>0</v>
      </c>
      <c r="AN168" s="24">
        <f>IF(AM167&gt;0,ROUND(AN167+ROUND(ROUND(AN167*100,0)*ROUND(AK$7*10000,0)/12000000,0)/100+0.02,2),0)</f>
        <v>0</v>
      </c>
      <c r="AO168" s="24">
        <f>IF(AQ167&gt;0,IF(AND(ROUND(AQ167+AP168-ROUND(AO$6+IF(AO$5=$C168,$E$5+$E168,0),2),2)&gt;0,ROUND(AQ167+AP168-ROUND(AO$6+IF(AO$5=$C168,$E$5+$E168,0),2),2)&lt;=AR168,ROUND(AQ167+AP168-ROUND(AO$6+IF(AO$5=$C168,$E$5+$E168,0),2),2)*10&lt;=ROUND(AO$6+IF(AO$5=$C168,$E$5+$E168,0),2)),ROUND(AQ167+AP168,2),MIN(ROUND(AO$6+IF(AO$5=$C168,$E$5+$E168,0),2),ROUND(AQ167+AP168,2))),0)</f>
        <v>0</v>
      </c>
      <c r="AP168" s="24">
        <f>IF(AQ167&gt;0,ROUND(ROUND(AQ167*100,0)*ROUND(AO$7*10000,0)/12000000,0)/100,0)</f>
        <v>0</v>
      </c>
      <c r="AQ168" s="24">
        <f>IF(AQ167&gt;0,ROUND(AQ167+AP168-AO168,2),0)</f>
        <v>0</v>
      </c>
      <c r="AR168" s="24">
        <f>IF(AQ167&gt;0,ROUND(AR167+ROUND(ROUND(AR167*100,0)*ROUND(AO$7*10000,0)/12000000,0)/100+0.02,2),0)</f>
        <v>0</v>
      </c>
      <c r="AS168" s="24">
        <f>IF(AU167&gt;0,IF(AND(ROUND(AU167+AT168-ROUND(AS$6+IF(AS$5=$C168,$E$5+$E168,0),2),2)&gt;0,ROUND(AU167+AT168-ROUND(AS$6+IF(AS$5=$C168,$E$5+$E168,0),2),2)&lt;=AV168,ROUND(AU167+AT168-ROUND(AS$6+IF(AS$5=$C168,$E$5+$E168,0),2),2)*10&lt;=ROUND(AS$6+IF(AS$5=$C168,$E$5+$E168,0),2)),ROUND(AU167+AT168,2),MIN(ROUND(AS$6+IF(AS$5=$C168,$E$5+$E168,0),2),ROUND(AU167+AT168,2))),0)</f>
        <v>0</v>
      </c>
      <c r="AT168" s="24">
        <f>IF(AU167&gt;0,ROUND(ROUND(AU167*100,0)*ROUND(AS$7*10000,0)/12000000,0)/100,0)</f>
        <v>0</v>
      </c>
      <c r="AU168" s="24">
        <f>IF(AU167&gt;0,ROUND(AU167+AT168-AS168,2),0)</f>
        <v>0</v>
      </c>
      <c r="AV168" s="24">
        <f>IF(AU167&gt;0,ROUND(AV167+ROUND(ROUND(AV167*100,0)*ROUND(AS$7*10000,0)/12000000,0)/100+0.02,2),0)</f>
        <v>0</v>
      </c>
    </row>
    <row r="169" spans="1:48" x14ac:dyDescent="0.25">
      <c r="A169" s="17" t="str">
        <f>IF(F169&gt;0,159,"")</f>
        <v/>
      </c>
      <c r="B169" s="18" t="str">
        <f>IF(F169&gt;0,EDATE($E$6,159),"")</f>
        <v/>
      </c>
      <c r="C169" s="21">
        <f>IF(H168&gt;0,MIN(IF(K168&gt;0,I$5,99),IF(O168&gt;0,M$5,99),IF(S168&gt;0,Q$5,99),IF(W168&gt;0,U$5,99),IF(AA168&gt;0,Y$5,99),IF(AE168&gt;0,AC$5,99),IF(AI168&gt;0,AG$5,99),IF(AM168&gt;0,AK$5,99),IF(AQ168&gt;0,AO$5,99),IF(AU168&gt;0,AS$5,99)),0)</f>
        <v>0</v>
      </c>
      <c r="D169" t="str">
        <f>IF(C169&gt;0,INDEX($I$4:$AV$4,1,MATCH(C169,$I$5:$AV$5,0)),"")</f>
        <v/>
      </c>
      <c r="E169" s="24">
        <f>ROUND(IF(AND(I$8&gt;0,K168=0),I$6,0)+IF(AND(M$8&gt;0,O168=0),M$6,0)+IF(AND(Q$8&gt;0,S168=0),Q$6,0)+IF(AND(U$8&gt;0,W168=0),U$6,0)+IF(AND(Y$8&gt;0,AA168=0),Y$6,0)+IF(AND(AC$8&gt;0,AE168=0),AC$6,0)+IF(AND(AG$8&gt;0,AI168=0),AG$6,0)+IF(AND(AK$8&gt;0,AM168=0),AK$6,0)+IF(AND(AO$8&gt;0,AQ168=0),AO$6,0)+IF(AND(AS$8&gt;0,AU168=0),AS$6,0),2)</f>
        <v>325</v>
      </c>
      <c r="F169" s="24">
        <f>ROUND(I169+M169+Q169+U169+Y169+AC169+AG169+AK169+AO169+AS169,2)</f>
        <v>0</v>
      </c>
      <c r="G169" s="24">
        <f>ROUND(J169+N169+R169+V169+Z169+AD169+AH169+AL169+AP169+AT169,2)</f>
        <v>0</v>
      </c>
      <c r="H169" s="24">
        <f>ROUND(K169+O169+S169+W169+AA169+AE169+AI169+AM169+AQ169+AU169,2)</f>
        <v>0</v>
      </c>
      <c r="I169" s="24">
        <f>IF(K168&gt;0,IF(AND(ROUND(K168+J169-ROUND(I$6+IF(I$5=$C169,$E$5+$E169,0),2),2)&gt;0,ROUND(K168+J169-ROUND(I$6+IF(I$5=$C169,$E$5+$E169,0),2),2)&lt;=L169,ROUND(K168+J169-ROUND(I$6+IF(I$5=$C169,$E$5+$E169,0),2),2)*10&lt;=ROUND(I$6+IF(I$5=$C169,$E$5+$E169,0),2)),ROUND(K168+J169,2),MIN(ROUND(I$6+IF(I$5=$C169,$E$5+$E169,0),2),ROUND(K168+J169,2))),0)</f>
        <v>0</v>
      </c>
      <c r="J169" s="24">
        <f>IF(K168&gt;0,ROUND(ROUND(K168*100,0)*ROUND(I$7*10000,0)/12000000,0)/100,0)</f>
        <v>0</v>
      </c>
      <c r="K169" s="24">
        <f>IF(K168&gt;0,ROUND(K168+J169-I169,2),0)</f>
        <v>0</v>
      </c>
      <c r="L169" s="24">
        <f>IF(K168&gt;0,ROUND(L168+ROUND(ROUND(L168*100,0)*ROUND(I$7*10000,0)/12000000,0)/100+0.02,2),0)</f>
        <v>0</v>
      </c>
      <c r="M169" s="24">
        <f>IF(O168&gt;0,IF(AND(ROUND(O168+N169-ROUND(M$6+IF(M$5=$C169,$E$5+$E169,0),2),2)&gt;0,ROUND(O168+N169-ROUND(M$6+IF(M$5=$C169,$E$5+$E169,0),2),2)&lt;=P169,ROUND(O168+N169-ROUND(M$6+IF(M$5=$C169,$E$5+$E169,0),2),2)*10&lt;=ROUND(M$6+IF(M$5=$C169,$E$5+$E169,0),2)),ROUND(O168+N169,2),MIN(ROUND(M$6+IF(M$5=$C169,$E$5+$E169,0),2),ROUND(O168+N169,2))),0)</f>
        <v>0</v>
      </c>
      <c r="N169" s="24">
        <f>IF(O168&gt;0,ROUND(ROUND(O168*100,0)*ROUND(M$7*10000,0)/12000000,0)/100,0)</f>
        <v>0</v>
      </c>
      <c r="O169" s="24">
        <f>IF(O168&gt;0,ROUND(O168+N169-M169,2),0)</f>
        <v>0</v>
      </c>
      <c r="P169" s="24">
        <f>IF(O168&gt;0,ROUND(P168+ROUND(ROUND(P168*100,0)*ROUND(M$7*10000,0)/12000000,0)/100+0.02,2),0)</f>
        <v>0</v>
      </c>
      <c r="Q169" s="24">
        <f>IF(S168&gt;0,IF(AND(ROUND(S168+R169-ROUND(Q$6+IF(Q$5=$C169,$E$5+$E169,0),2),2)&gt;0,ROUND(S168+R169-ROUND(Q$6+IF(Q$5=$C169,$E$5+$E169,0),2),2)&lt;=T169,ROUND(S168+R169-ROUND(Q$6+IF(Q$5=$C169,$E$5+$E169,0),2),2)*10&lt;=ROUND(Q$6+IF(Q$5=$C169,$E$5+$E169,0),2)),ROUND(S168+R169,2),MIN(ROUND(Q$6+IF(Q$5=$C169,$E$5+$E169,0),2),ROUND(S168+R169,2))),0)</f>
        <v>0</v>
      </c>
      <c r="R169" s="24">
        <f>IF(S168&gt;0,ROUND(ROUND(S168*100,0)*ROUND(Q$7*10000,0)/12000000,0)/100,0)</f>
        <v>0</v>
      </c>
      <c r="S169" s="24">
        <f>IF(S168&gt;0,ROUND(S168+R169-Q169,2),0)</f>
        <v>0</v>
      </c>
      <c r="T169" s="24">
        <f>IF(S168&gt;0,ROUND(T168+ROUND(ROUND(T168*100,0)*ROUND(Q$7*10000,0)/12000000,0)/100+0.02,2),0)</f>
        <v>0</v>
      </c>
      <c r="U169" s="24">
        <f>IF(W168&gt;0,IF(AND(ROUND(W168+V169-ROUND(U$6+IF(U$5=$C169,$E$5+$E169,0),2),2)&gt;0,ROUND(W168+V169-ROUND(U$6+IF(U$5=$C169,$E$5+$E169,0),2),2)&lt;=X169,ROUND(W168+V169-ROUND(U$6+IF(U$5=$C169,$E$5+$E169,0),2),2)*10&lt;=ROUND(U$6+IF(U$5=$C169,$E$5+$E169,0),2)),ROUND(W168+V169,2),MIN(ROUND(U$6+IF(U$5=$C169,$E$5+$E169,0),2),ROUND(W168+V169,2))),0)</f>
        <v>0</v>
      </c>
      <c r="V169" s="24">
        <f>IF(W168&gt;0,ROUND(ROUND(W168*100,0)*ROUND(U$7*10000,0)/12000000,0)/100,0)</f>
        <v>0</v>
      </c>
      <c r="W169" s="24">
        <f>IF(W168&gt;0,ROUND(W168+V169-U169,2),0)</f>
        <v>0</v>
      </c>
      <c r="X169" s="24">
        <f>IF(W168&gt;0,ROUND(X168+ROUND(ROUND(X168*100,0)*ROUND(U$7*10000,0)/12000000,0)/100+0.02,2),0)</f>
        <v>0</v>
      </c>
      <c r="Y169" s="24">
        <f>IF(AA168&gt;0,IF(AND(ROUND(AA168+Z169-ROUND(Y$6+IF(Y$5=$C169,$E$5+$E169,0),2),2)&gt;0,ROUND(AA168+Z169-ROUND(Y$6+IF(Y$5=$C169,$E$5+$E169,0),2),2)&lt;=AB169,ROUND(AA168+Z169-ROUND(Y$6+IF(Y$5=$C169,$E$5+$E169,0),2),2)*10&lt;=ROUND(Y$6+IF(Y$5=$C169,$E$5+$E169,0),2)),ROUND(AA168+Z169,2),MIN(ROUND(Y$6+IF(Y$5=$C169,$E$5+$E169,0),2),ROUND(AA168+Z169,2))),0)</f>
        <v>0</v>
      </c>
      <c r="Z169" s="24">
        <f>IF(AA168&gt;0,ROUND(ROUND(AA168*100,0)*ROUND(Y$7*10000,0)/12000000,0)/100,0)</f>
        <v>0</v>
      </c>
      <c r="AA169" s="24">
        <f>IF(AA168&gt;0,ROUND(AA168+Z169-Y169,2),0)</f>
        <v>0</v>
      </c>
      <c r="AB169" s="24">
        <f>IF(AA168&gt;0,ROUND(AB168+ROUND(ROUND(AB168*100,0)*ROUND(Y$7*10000,0)/12000000,0)/100+0.02,2),0)</f>
        <v>0</v>
      </c>
      <c r="AC169" s="24">
        <f>IF(AE168&gt;0,IF(AND(ROUND(AE168+AD169-ROUND(AC$6+IF(AC$5=$C169,$E$5+$E169,0),2),2)&gt;0,ROUND(AE168+AD169-ROUND(AC$6+IF(AC$5=$C169,$E$5+$E169,0),2),2)&lt;=AF169,ROUND(AE168+AD169-ROUND(AC$6+IF(AC$5=$C169,$E$5+$E169,0),2),2)*10&lt;=ROUND(AC$6+IF(AC$5=$C169,$E$5+$E169,0),2)),ROUND(AE168+AD169,2),MIN(ROUND(AC$6+IF(AC$5=$C169,$E$5+$E169,0),2),ROUND(AE168+AD169,2))),0)</f>
        <v>0</v>
      </c>
      <c r="AD169" s="24">
        <f>IF(AE168&gt;0,ROUND(ROUND(AE168*100,0)*ROUND(AC$7*10000,0)/12000000,0)/100,0)</f>
        <v>0</v>
      </c>
      <c r="AE169" s="24">
        <f>IF(AE168&gt;0,ROUND(AE168+AD169-AC169,2),0)</f>
        <v>0</v>
      </c>
      <c r="AF169" s="24">
        <f>IF(AE168&gt;0,ROUND(AF168+ROUND(ROUND(AF168*100,0)*ROUND(AC$7*10000,0)/12000000,0)/100+0.02,2),0)</f>
        <v>0</v>
      </c>
      <c r="AG169" s="24">
        <f>IF(AI168&gt;0,IF(AND(ROUND(AI168+AH169-ROUND(AG$6+IF(AG$5=$C169,$E$5+$E169,0),2),2)&gt;0,ROUND(AI168+AH169-ROUND(AG$6+IF(AG$5=$C169,$E$5+$E169,0),2),2)&lt;=AJ169,ROUND(AI168+AH169-ROUND(AG$6+IF(AG$5=$C169,$E$5+$E169,0),2),2)*10&lt;=ROUND(AG$6+IF(AG$5=$C169,$E$5+$E169,0),2)),ROUND(AI168+AH169,2),MIN(ROUND(AG$6+IF(AG$5=$C169,$E$5+$E169,0),2),ROUND(AI168+AH169,2))),0)</f>
        <v>0</v>
      </c>
      <c r="AH169" s="24">
        <f>IF(AI168&gt;0,ROUND(ROUND(AI168*100,0)*ROUND(AG$7*10000,0)/12000000,0)/100,0)</f>
        <v>0</v>
      </c>
      <c r="AI169" s="24">
        <f>IF(AI168&gt;0,ROUND(AI168+AH169-AG169,2),0)</f>
        <v>0</v>
      </c>
      <c r="AJ169" s="24">
        <f>IF(AI168&gt;0,ROUND(AJ168+ROUND(ROUND(AJ168*100,0)*ROUND(AG$7*10000,0)/12000000,0)/100+0.02,2),0)</f>
        <v>0</v>
      </c>
      <c r="AK169" s="24">
        <f>IF(AM168&gt;0,IF(AND(ROUND(AM168+AL169-ROUND(AK$6+IF(AK$5=$C169,$E$5+$E169,0),2),2)&gt;0,ROUND(AM168+AL169-ROUND(AK$6+IF(AK$5=$C169,$E$5+$E169,0),2),2)&lt;=AN169,ROUND(AM168+AL169-ROUND(AK$6+IF(AK$5=$C169,$E$5+$E169,0),2),2)*10&lt;=ROUND(AK$6+IF(AK$5=$C169,$E$5+$E169,0),2)),ROUND(AM168+AL169,2),MIN(ROUND(AK$6+IF(AK$5=$C169,$E$5+$E169,0),2),ROUND(AM168+AL169,2))),0)</f>
        <v>0</v>
      </c>
      <c r="AL169" s="24">
        <f>IF(AM168&gt;0,ROUND(ROUND(AM168*100,0)*ROUND(AK$7*10000,0)/12000000,0)/100,0)</f>
        <v>0</v>
      </c>
      <c r="AM169" s="24">
        <f>IF(AM168&gt;0,ROUND(AM168+AL169-AK169,2),0)</f>
        <v>0</v>
      </c>
      <c r="AN169" s="24">
        <f>IF(AM168&gt;0,ROUND(AN168+ROUND(ROUND(AN168*100,0)*ROUND(AK$7*10000,0)/12000000,0)/100+0.02,2),0)</f>
        <v>0</v>
      </c>
      <c r="AO169" s="24">
        <f>IF(AQ168&gt;0,IF(AND(ROUND(AQ168+AP169-ROUND(AO$6+IF(AO$5=$C169,$E$5+$E169,0),2),2)&gt;0,ROUND(AQ168+AP169-ROUND(AO$6+IF(AO$5=$C169,$E$5+$E169,0),2),2)&lt;=AR169,ROUND(AQ168+AP169-ROUND(AO$6+IF(AO$5=$C169,$E$5+$E169,0),2),2)*10&lt;=ROUND(AO$6+IF(AO$5=$C169,$E$5+$E169,0),2)),ROUND(AQ168+AP169,2),MIN(ROUND(AO$6+IF(AO$5=$C169,$E$5+$E169,0),2),ROUND(AQ168+AP169,2))),0)</f>
        <v>0</v>
      </c>
      <c r="AP169" s="24">
        <f>IF(AQ168&gt;0,ROUND(ROUND(AQ168*100,0)*ROUND(AO$7*10000,0)/12000000,0)/100,0)</f>
        <v>0</v>
      </c>
      <c r="AQ169" s="24">
        <f>IF(AQ168&gt;0,ROUND(AQ168+AP169-AO169,2),0)</f>
        <v>0</v>
      </c>
      <c r="AR169" s="24">
        <f>IF(AQ168&gt;0,ROUND(AR168+ROUND(ROUND(AR168*100,0)*ROUND(AO$7*10000,0)/12000000,0)/100+0.02,2),0)</f>
        <v>0</v>
      </c>
      <c r="AS169" s="24">
        <f>IF(AU168&gt;0,IF(AND(ROUND(AU168+AT169-ROUND(AS$6+IF(AS$5=$C169,$E$5+$E169,0),2),2)&gt;0,ROUND(AU168+AT169-ROUND(AS$6+IF(AS$5=$C169,$E$5+$E169,0),2),2)&lt;=AV169,ROUND(AU168+AT169-ROUND(AS$6+IF(AS$5=$C169,$E$5+$E169,0),2),2)*10&lt;=ROUND(AS$6+IF(AS$5=$C169,$E$5+$E169,0),2)),ROUND(AU168+AT169,2),MIN(ROUND(AS$6+IF(AS$5=$C169,$E$5+$E169,0),2),ROUND(AU168+AT169,2))),0)</f>
        <v>0</v>
      </c>
      <c r="AT169" s="24">
        <f>IF(AU168&gt;0,ROUND(ROUND(AU168*100,0)*ROUND(AS$7*10000,0)/12000000,0)/100,0)</f>
        <v>0</v>
      </c>
      <c r="AU169" s="24">
        <f>IF(AU168&gt;0,ROUND(AU168+AT169-AS169,2),0)</f>
        <v>0</v>
      </c>
      <c r="AV169" s="24">
        <f>IF(AU168&gt;0,ROUND(AV168+ROUND(ROUND(AV168*100,0)*ROUND(AS$7*10000,0)/12000000,0)/100+0.02,2),0)</f>
        <v>0</v>
      </c>
    </row>
    <row r="170" spans="1:48" x14ac:dyDescent="0.25">
      <c r="A170" s="17" t="str">
        <f>IF(F170&gt;0,160,"")</f>
        <v/>
      </c>
      <c r="B170" s="18" t="str">
        <f>IF(F170&gt;0,EDATE($E$6,160),"")</f>
        <v/>
      </c>
      <c r="C170" s="21">
        <f>IF(H169&gt;0,MIN(IF(K169&gt;0,I$5,99),IF(O169&gt;0,M$5,99),IF(S169&gt;0,Q$5,99),IF(W169&gt;0,U$5,99),IF(AA169&gt;0,Y$5,99),IF(AE169&gt;0,AC$5,99),IF(AI169&gt;0,AG$5,99),IF(AM169&gt;0,AK$5,99),IF(AQ169&gt;0,AO$5,99),IF(AU169&gt;0,AS$5,99)),0)</f>
        <v>0</v>
      </c>
      <c r="D170" t="str">
        <f>IF(C170&gt;0,INDEX($I$4:$AV$4,1,MATCH(C170,$I$5:$AV$5,0)),"")</f>
        <v/>
      </c>
      <c r="E170" s="24">
        <f>ROUND(IF(AND(I$8&gt;0,K169=0),I$6,0)+IF(AND(M$8&gt;0,O169=0),M$6,0)+IF(AND(Q$8&gt;0,S169=0),Q$6,0)+IF(AND(U$8&gt;0,W169=0),U$6,0)+IF(AND(Y$8&gt;0,AA169=0),Y$6,0)+IF(AND(AC$8&gt;0,AE169=0),AC$6,0)+IF(AND(AG$8&gt;0,AI169=0),AG$6,0)+IF(AND(AK$8&gt;0,AM169=0),AK$6,0)+IF(AND(AO$8&gt;0,AQ169=0),AO$6,0)+IF(AND(AS$8&gt;0,AU169=0),AS$6,0),2)</f>
        <v>325</v>
      </c>
      <c r="F170" s="24">
        <f>ROUND(I170+M170+Q170+U170+Y170+AC170+AG170+AK170+AO170+AS170,2)</f>
        <v>0</v>
      </c>
      <c r="G170" s="24">
        <f>ROUND(J170+N170+R170+V170+Z170+AD170+AH170+AL170+AP170+AT170,2)</f>
        <v>0</v>
      </c>
      <c r="H170" s="24">
        <f>ROUND(K170+O170+S170+W170+AA170+AE170+AI170+AM170+AQ170+AU170,2)</f>
        <v>0</v>
      </c>
      <c r="I170" s="24">
        <f>IF(K169&gt;0,IF(AND(ROUND(K169+J170-ROUND(I$6+IF(I$5=$C170,$E$5+$E170,0),2),2)&gt;0,ROUND(K169+J170-ROUND(I$6+IF(I$5=$C170,$E$5+$E170,0),2),2)&lt;=L170,ROUND(K169+J170-ROUND(I$6+IF(I$5=$C170,$E$5+$E170,0),2),2)*10&lt;=ROUND(I$6+IF(I$5=$C170,$E$5+$E170,0),2)),ROUND(K169+J170,2),MIN(ROUND(I$6+IF(I$5=$C170,$E$5+$E170,0),2),ROUND(K169+J170,2))),0)</f>
        <v>0</v>
      </c>
      <c r="J170" s="24">
        <f>IF(K169&gt;0,ROUND(ROUND(K169*100,0)*ROUND(I$7*10000,0)/12000000,0)/100,0)</f>
        <v>0</v>
      </c>
      <c r="K170" s="24">
        <f>IF(K169&gt;0,ROUND(K169+J170-I170,2),0)</f>
        <v>0</v>
      </c>
      <c r="L170" s="24">
        <f>IF(K169&gt;0,ROUND(L169+ROUND(ROUND(L169*100,0)*ROUND(I$7*10000,0)/12000000,0)/100+0.02,2),0)</f>
        <v>0</v>
      </c>
      <c r="M170" s="24">
        <f>IF(O169&gt;0,IF(AND(ROUND(O169+N170-ROUND(M$6+IF(M$5=$C170,$E$5+$E170,0),2),2)&gt;0,ROUND(O169+N170-ROUND(M$6+IF(M$5=$C170,$E$5+$E170,0),2),2)&lt;=P170,ROUND(O169+N170-ROUND(M$6+IF(M$5=$C170,$E$5+$E170,0),2),2)*10&lt;=ROUND(M$6+IF(M$5=$C170,$E$5+$E170,0),2)),ROUND(O169+N170,2),MIN(ROUND(M$6+IF(M$5=$C170,$E$5+$E170,0),2),ROUND(O169+N170,2))),0)</f>
        <v>0</v>
      </c>
      <c r="N170" s="24">
        <f>IF(O169&gt;0,ROUND(ROUND(O169*100,0)*ROUND(M$7*10000,0)/12000000,0)/100,0)</f>
        <v>0</v>
      </c>
      <c r="O170" s="24">
        <f>IF(O169&gt;0,ROUND(O169+N170-M170,2),0)</f>
        <v>0</v>
      </c>
      <c r="P170" s="24">
        <f>IF(O169&gt;0,ROUND(P169+ROUND(ROUND(P169*100,0)*ROUND(M$7*10000,0)/12000000,0)/100+0.02,2),0)</f>
        <v>0</v>
      </c>
      <c r="Q170" s="24">
        <f>IF(S169&gt;0,IF(AND(ROUND(S169+R170-ROUND(Q$6+IF(Q$5=$C170,$E$5+$E170,0),2),2)&gt;0,ROUND(S169+R170-ROUND(Q$6+IF(Q$5=$C170,$E$5+$E170,0),2),2)&lt;=T170,ROUND(S169+R170-ROUND(Q$6+IF(Q$5=$C170,$E$5+$E170,0),2),2)*10&lt;=ROUND(Q$6+IF(Q$5=$C170,$E$5+$E170,0),2)),ROUND(S169+R170,2),MIN(ROUND(Q$6+IF(Q$5=$C170,$E$5+$E170,0),2),ROUND(S169+R170,2))),0)</f>
        <v>0</v>
      </c>
      <c r="R170" s="24">
        <f>IF(S169&gt;0,ROUND(ROUND(S169*100,0)*ROUND(Q$7*10000,0)/12000000,0)/100,0)</f>
        <v>0</v>
      </c>
      <c r="S170" s="24">
        <f>IF(S169&gt;0,ROUND(S169+R170-Q170,2),0)</f>
        <v>0</v>
      </c>
      <c r="T170" s="24">
        <f>IF(S169&gt;0,ROUND(T169+ROUND(ROUND(T169*100,0)*ROUND(Q$7*10000,0)/12000000,0)/100+0.02,2),0)</f>
        <v>0</v>
      </c>
      <c r="U170" s="24">
        <f>IF(W169&gt;0,IF(AND(ROUND(W169+V170-ROUND(U$6+IF(U$5=$C170,$E$5+$E170,0),2),2)&gt;0,ROUND(W169+V170-ROUND(U$6+IF(U$5=$C170,$E$5+$E170,0),2),2)&lt;=X170,ROUND(W169+V170-ROUND(U$6+IF(U$5=$C170,$E$5+$E170,0),2),2)*10&lt;=ROUND(U$6+IF(U$5=$C170,$E$5+$E170,0),2)),ROUND(W169+V170,2),MIN(ROUND(U$6+IF(U$5=$C170,$E$5+$E170,0),2),ROUND(W169+V170,2))),0)</f>
        <v>0</v>
      </c>
      <c r="V170" s="24">
        <f>IF(W169&gt;0,ROUND(ROUND(W169*100,0)*ROUND(U$7*10000,0)/12000000,0)/100,0)</f>
        <v>0</v>
      </c>
      <c r="W170" s="24">
        <f>IF(W169&gt;0,ROUND(W169+V170-U170,2),0)</f>
        <v>0</v>
      </c>
      <c r="X170" s="24">
        <f>IF(W169&gt;0,ROUND(X169+ROUND(ROUND(X169*100,0)*ROUND(U$7*10000,0)/12000000,0)/100+0.02,2),0)</f>
        <v>0</v>
      </c>
      <c r="Y170" s="24">
        <f>IF(AA169&gt;0,IF(AND(ROUND(AA169+Z170-ROUND(Y$6+IF(Y$5=$C170,$E$5+$E170,0),2),2)&gt;0,ROUND(AA169+Z170-ROUND(Y$6+IF(Y$5=$C170,$E$5+$E170,0),2),2)&lt;=AB170,ROUND(AA169+Z170-ROUND(Y$6+IF(Y$5=$C170,$E$5+$E170,0),2),2)*10&lt;=ROUND(Y$6+IF(Y$5=$C170,$E$5+$E170,0),2)),ROUND(AA169+Z170,2),MIN(ROUND(Y$6+IF(Y$5=$C170,$E$5+$E170,0),2),ROUND(AA169+Z170,2))),0)</f>
        <v>0</v>
      </c>
      <c r="Z170" s="24">
        <f>IF(AA169&gt;0,ROUND(ROUND(AA169*100,0)*ROUND(Y$7*10000,0)/12000000,0)/100,0)</f>
        <v>0</v>
      </c>
      <c r="AA170" s="24">
        <f>IF(AA169&gt;0,ROUND(AA169+Z170-Y170,2),0)</f>
        <v>0</v>
      </c>
      <c r="AB170" s="24">
        <f>IF(AA169&gt;0,ROUND(AB169+ROUND(ROUND(AB169*100,0)*ROUND(Y$7*10000,0)/12000000,0)/100+0.02,2),0)</f>
        <v>0</v>
      </c>
      <c r="AC170" s="24">
        <f>IF(AE169&gt;0,IF(AND(ROUND(AE169+AD170-ROUND(AC$6+IF(AC$5=$C170,$E$5+$E170,0),2),2)&gt;0,ROUND(AE169+AD170-ROUND(AC$6+IF(AC$5=$C170,$E$5+$E170,0),2),2)&lt;=AF170,ROUND(AE169+AD170-ROUND(AC$6+IF(AC$5=$C170,$E$5+$E170,0),2),2)*10&lt;=ROUND(AC$6+IF(AC$5=$C170,$E$5+$E170,0),2)),ROUND(AE169+AD170,2),MIN(ROUND(AC$6+IF(AC$5=$C170,$E$5+$E170,0),2),ROUND(AE169+AD170,2))),0)</f>
        <v>0</v>
      </c>
      <c r="AD170" s="24">
        <f>IF(AE169&gt;0,ROUND(ROUND(AE169*100,0)*ROUND(AC$7*10000,0)/12000000,0)/100,0)</f>
        <v>0</v>
      </c>
      <c r="AE170" s="24">
        <f>IF(AE169&gt;0,ROUND(AE169+AD170-AC170,2),0)</f>
        <v>0</v>
      </c>
      <c r="AF170" s="24">
        <f>IF(AE169&gt;0,ROUND(AF169+ROUND(ROUND(AF169*100,0)*ROUND(AC$7*10000,0)/12000000,0)/100+0.02,2),0)</f>
        <v>0</v>
      </c>
      <c r="AG170" s="24">
        <f>IF(AI169&gt;0,IF(AND(ROUND(AI169+AH170-ROUND(AG$6+IF(AG$5=$C170,$E$5+$E170,0),2),2)&gt;0,ROUND(AI169+AH170-ROUND(AG$6+IF(AG$5=$C170,$E$5+$E170,0),2),2)&lt;=AJ170,ROUND(AI169+AH170-ROUND(AG$6+IF(AG$5=$C170,$E$5+$E170,0),2),2)*10&lt;=ROUND(AG$6+IF(AG$5=$C170,$E$5+$E170,0),2)),ROUND(AI169+AH170,2),MIN(ROUND(AG$6+IF(AG$5=$C170,$E$5+$E170,0),2),ROUND(AI169+AH170,2))),0)</f>
        <v>0</v>
      </c>
      <c r="AH170" s="24">
        <f>IF(AI169&gt;0,ROUND(ROUND(AI169*100,0)*ROUND(AG$7*10000,0)/12000000,0)/100,0)</f>
        <v>0</v>
      </c>
      <c r="AI170" s="24">
        <f>IF(AI169&gt;0,ROUND(AI169+AH170-AG170,2),0)</f>
        <v>0</v>
      </c>
      <c r="AJ170" s="24">
        <f>IF(AI169&gt;0,ROUND(AJ169+ROUND(ROUND(AJ169*100,0)*ROUND(AG$7*10000,0)/12000000,0)/100+0.02,2),0)</f>
        <v>0</v>
      </c>
      <c r="AK170" s="24">
        <f>IF(AM169&gt;0,IF(AND(ROUND(AM169+AL170-ROUND(AK$6+IF(AK$5=$C170,$E$5+$E170,0),2),2)&gt;0,ROUND(AM169+AL170-ROUND(AK$6+IF(AK$5=$C170,$E$5+$E170,0),2),2)&lt;=AN170,ROUND(AM169+AL170-ROUND(AK$6+IF(AK$5=$C170,$E$5+$E170,0),2),2)*10&lt;=ROUND(AK$6+IF(AK$5=$C170,$E$5+$E170,0),2)),ROUND(AM169+AL170,2),MIN(ROUND(AK$6+IF(AK$5=$C170,$E$5+$E170,0),2),ROUND(AM169+AL170,2))),0)</f>
        <v>0</v>
      </c>
      <c r="AL170" s="24">
        <f>IF(AM169&gt;0,ROUND(ROUND(AM169*100,0)*ROUND(AK$7*10000,0)/12000000,0)/100,0)</f>
        <v>0</v>
      </c>
      <c r="AM170" s="24">
        <f>IF(AM169&gt;0,ROUND(AM169+AL170-AK170,2),0)</f>
        <v>0</v>
      </c>
      <c r="AN170" s="24">
        <f>IF(AM169&gt;0,ROUND(AN169+ROUND(ROUND(AN169*100,0)*ROUND(AK$7*10000,0)/12000000,0)/100+0.02,2),0)</f>
        <v>0</v>
      </c>
      <c r="AO170" s="24">
        <f>IF(AQ169&gt;0,IF(AND(ROUND(AQ169+AP170-ROUND(AO$6+IF(AO$5=$C170,$E$5+$E170,0),2),2)&gt;0,ROUND(AQ169+AP170-ROUND(AO$6+IF(AO$5=$C170,$E$5+$E170,0),2),2)&lt;=AR170,ROUND(AQ169+AP170-ROUND(AO$6+IF(AO$5=$C170,$E$5+$E170,0),2),2)*10&lt;=ROUND(AO$6+IF(AO$5=$C170,$E$5+$E170,0),2)),ROUND(AQ169+AP170,2),MIN(ROUND(AO$6+IF(AO$5=$C170,$E$5+$E170,0),2),ROUND(AQ169+AP170,2))),0)</f>
        <v>0</v>
      </c>
      <c r="AP170" s="24">
        <f>IF(AQ169&gt;0,ROUND(ROUND(AQ169*100,0)*ROUND(AO$7*10000,0)/12000000,0)/100,0)</f>
        <v>0</v>
      </c>
      <c r="AQ170" s="24">
        <f>IF(AQ169&gt;0,ROUND(AQ169+AP170-AO170,2),0)</f>
        <v>0</v>
      </c>
      <c r="AR170" s="24">
        <f>IF(AQ169&gt;0,ROUND(AR169+ROUND(ROUND(AR169*100,0)*ROUND(AO$7*10000,0)/12000000,0)/100+0.02,2),0)</f>
        <v>0</v>
      </c>
      <c r="AS170" s="24">
        <f>IF(AU169&gt;0,IF(AND(ROUND(AU169+AT170-ROUND(AS$6+IF(AS$5=$C170,$E$5+$E170,0),2),2)&gt;0,ROUND(AU169+AT170-ROUND(AS$6+IF(AS$5=$C170,$E$5+$E170,0),2),2)&lt;=AV170,ROUND(AU169+AT170-ROUND(AS$6+IF(AS$5=$C170,$E$5+$E170,0),2),2)*10&lt;=ROUND(AS$6+IF(AS$5=$C170,$E$5+$E170,0),2)),ROUND(AU169+AT170,2),MIN(ROUND(AS$6+IF(AS$5=$C170,$E$5+$E170,0),2),ROUND(AU169+AT170,2))),0)</f>
        <v>0</v>
      </c>
      <c r="AT170" s="24">
        <f>IF(AU169&gt;0,ROUND(ROUND(AU169*100,0)*ROUND(AS$7*10000,0)/12000000,0)/100,0)</f>
        <v>0</v>
      </c>
      <c r="AU170" s="24">
        <f>IF(AU169&gt;0,ROUND(AU169+AT170-AS170,2),0)</f>
        <v>0</v>
      </c>
      <c r="AV170" s="24">
        <f>IF(AU169&gt;0,ROUND(AV169+ROUND(ROUND(AV169*100,0)*ROUND(AS$7*10000,0)/12000000,0)/100+0.02,2),0)</f>
        <v>0</v>
      </c>
    </row>
    <row r="171" spans="1:48" x14ac:dyDescent="0.25">
      <c r="A171" s="17" t="str">
        <f>IF(F171&gt;0,161,"")</f>
        <v/>
      </c>
      <c r="B171" s="18" t="str">
        <f>IF(F171&gt;0,EDATE($E$6,161),"")</f>
        <v/>
      </c>
      <c r="C171" s="21">
        <f>IF(H170&gt;0,MIN(IF(K170&gt;0,I$5,99),IF(O170&gt;0,M$5,99),IF(S170&gt;0,Q$5,99),IF(W170&gt;0,U$5,99),IF(AA170&gt;0,Y$5,99),IF(AE170&gt;0,AC$5,99),IF(AI170&gt;0,AG$5,99),IF(AM170&gt;0,AK$5,99),IF(AQ170&gt;0,AO$5,99),IF(AU170&gt;0,AS$5,99)),0)</f>
        <v>0</v>
      </c>
      <c r="D171" t="str">
        <f>IF(C171&gt;0,INDEX($I$4:$AV$4,1,MATCH(C171,$I$5:$AV$5,0)),"")</f>
        <v/>
      </c>
      <c r="E171" s="24">
        <f>ROUND(IF(AND(I$8&gt;0,K170=0),I$6,0)+IF(AND(M$8&gt;0,O170=0),M$6,0)+IF(AND(Q$8&gt;0,S170=0),Q$6,0)+IF(AND(U$8&gt;0,W170=0),U$6,0)+IF(AND(Y$8&gt;0,AA170=0),Y$6,0)+IF(AND(AC$8&gt;0,AE170=0),AC$6,0)+IF(AND(AG$8&gt;0,AI170=0),AG$6,0)+IF(AND(AK$8&gt;0,AM170=0),AK$6,0)+IF(AND(AO$8&gt;0,AQ170=0),AO$6,0)+IF(AND(AS$8&gt;0,AU170=0),AS$6,0),2)</f>
        <v>325</v>
      </c>
      <c r="F171" s="24">
        <f>ROUND(I171+M171+Q171+U171+Y171+AC171+AG171+AK171+AO171+AS171,2)</f>
        <v>0</v>
      </c>
      <c r="G171" s="24">
        <f>ROUND(J171+N171+R171+V171+Z171+AD171+AH171+AL171+AP171+AT171,2)</f>
        <v>0</v>
      </c>
      <c r="H171" s="24">
        <f>ROUND(K171+O171+S171+W171+AA171+AE171+AI171+AM171+AQ171+AU171,2)</f>
        <v>0</v>
      </c>
      <c r="I171" s="24">
        <f>IF(K170&gt;0,IF(AND(ROUND(K170+J171-ROUND(I$6+IF(I$5=$C171,$E$5+$E171,0),2),2)&gt;0,ROUND(K170+J171-ROUND(I$6+IF(I$5=$C171,$E$5+$E171,0),2),2)&lt;=L171,ROUND(K170+J171-ROUND(I$6+IF(I$5=$C171,$E$5+$E171,0),2),2)*10&lt;=ROUND(I$6+IF(I$5=$C171,$E$5+$E171,0),2)),ROUND(K170+J171,2),MIN(ROUND(I$6+IF(I$5=$C171,$E$5+$E171,0),2),ROUND(K170+J171,2))),0)</f>
        <v>0</v>
      </c>
      <c r="J171" s="24">
        <f>IF(K170&gt;0,ROUND(ROUND(K170*100,0)*ROUND(I$7*10000,0)/12000000,0)/100,0)</f>
        <v>0</v>
      </c>
      <c r="K171" s="24">
        <f>IF(K170&gt;0,ROUND(K170+J171-I171,2),0)</f>
        <v>0</v>
      </c>
      <c r="L171" s="24">
        <f>IF(K170&gt;0,ROUND(L170+ROUND(ROUND(L170*100,0)*ROUND(I$7*10000,0)/12000000,0)/100+0.02,2),0)</f>
        <v>0</v>
      </c>
      <c r="M171" s="24">
        <f>IF(O170&gt;0,IF(AND(ROUND(O170+N171-ROUND(M$6+IF(M$5=$C171,$E$5+$E171,0),2),2)&gt;0,ROUND(O170+N171-ROUND(M$6+IF(M$5=$C171,$E$5+$E171,0),2),2)&lt;=P171,ROUND(O170+N171-ROUND(M$6+IF(M$5=$C171,$E$5+$E171,0),2),2)*10&lt;=ROUND(M$6+IF(M$5=$C171,$E$5+$E171,0),2)),ROUND(O170+N171,2),MIN(ROUND(M$6+IF(M$5=$C171,$E$5+$E171,0),2),ROUND(O170+N171,2))),0)</f>
        <v>0</v>
      </c>
      <c r="N171" s="24">
        <f>IF(O170&gt;0,ROUND(ROUND(O170*100,0)*ROUND(M$7*10000,0)/12000000,0)/100,0)</f>
        <v>0</v>
      </c>
      <c r="O171" s="24">
        <f>IF(O170&gt;0,ROUND(O170+N171-M171,2),0)</f>
        <v>0</v>
      </c>
      <c r="P171" s="24">
        <f>IF(O170&gt;0,ROUND(P170+ROUND(ROUND(P170*100,0)*ROUND(M$7*10000,0)/12000000,0)/100+0.02,2),0)</f>
        <v>0</v>
      </c>
      <c r="Q171" s="24">
        <f>IF(S170&gt;0,IF(AND(ROUND(S170+R171-ROUND(Q$6+IF(Q$5=$C171,$E$5+$E171,0),2),2)&gt;0,ROUND(S170+R171-ROUND(Q$6+IF(Q$5=$C171,$E$5+$E171,0),2),2)&lt;=T171,ROUND(S170+R171-ROUND(Q$6+IF(Q$5=$C171,$E$5+$E171,0),2),2)*10&lt;=ROUND(Q$6+IF(Q$5=$C171,$E$5+$E171,0),2)),ROUND(S170+R171,2),MIN(ROUND(Q$6+IF(Q$5=$C171,$E$5+$E171,0),2),ROUND(S170+R171,2))),0)</f>
        <v>0</v>
      </c>
      <c r="R171" s="24">
        <f>IF(S170&gt;0,ROUND(ROUND(S170*100,0)*ROUND(Q$7*10000,0)/12000000,0)/100,0)</f>
        <v>0</v>
      </c>
      <c r="S171" s="24">
        <f>IF(S170&gt;0,ROUND(S170+R171-Q171,2),0)</f>
        <v>0</v>
      </c>
      <c r="T171" s="24">
        <f>IF(S170&gt;0,ROUND(T170+ROUND(ROUND(T170*100,0)*ROUND(Q$7*10000,0)/12000000,0)/100+0.02,2),0)</f>
        <v>0</v>
      </c>
      <c r="U171" s="24">
        <f>IF(W170&gt;0,IF(AND(ROUND(W170+V171-ROUND(U$6+IF(U$5=$C171,$E$5+$E171,0),2),2)&gt;0,ROUND(W170+V171-ROUND(U$6+IF(U$5=$C171,$E$5+$E171,0),2),2)&lt;=X171,ROUND(W170+V171-ROUND(U$6+IF(U$5=$C171,$E$5+$E171,0),2),2)*10&lt;=ROUND(U$6+IF(U$5=$C171,$E$5+$E171,0),2)),ROUND(W170+V171,2),MIN(ROUND(U$6+IF(U$5=$C171,$E$5+$E171,0),2),ROUND(W170+V171,2))),0)</f>
        <v>0</v>
      </c>
      <c r="V171" s="24">
        <f>IF(W170&gt;0,ROUND(ROUND(W170*100,0)*ROUND(U$7*10000,0)/12000000,0)/100,0)</f>
        <v>0</v>
      </c>
      <c r="W171" s="24">
        <f>IF(W170&gt;0,ROUND(W170+V171-U171,2),0)</f>
        <v>0</v>
      </c>
      <c r="X171" s="24">
        <f>IF(W170&gt;0,ROUND(X170+ROUND(ROUND(X170*100,0)*ROUND(U$7*10000,0)/12000000,0)/100+0.02,2),0)</f>
        <v>0</v>
      </c>
      <c r="Y171" s="24">
        <f>IF(AA170&gt;0,IF(AND(ROUND(AA170+Z171-ROUND(Y$6+IF(Y$5=$C171,$E$5+$E171,0),2),2)&gt;0,ROUND(AA170+Z171-ROUND(Y$6+IF(Y$5=$C171,$E$5+$E171,0),2),2)&lt;=AB171,ROUND(AA170+Z171-ROUND(Y$6+IF(Y$5=$C171,$E$5+$E171,0),2),2)*10&lt;=ROUND(Y$6+IF(Y$5=$C171,$E$5+$E171,0),2)),ROUND(AA170+Z171,2),MIN(ROUND(Y$6+IF(Y$5=$C171,$E$5+$E171,0),2),ROUND(AA170+Z171,2))),0)</f>
        <v>0</v>
      </c>
      <c r="Z171" s="24">
        <f>IF(AA170&gt;0,ROUND(ROUND(AA170*100,0)*ROUND(Y$7*10000,0)/12000000,0)/100,0)</f>
        <v>0</v>
      </c>
      <c r="AA171" s="24">
        <f>IF(AA170&gt;0,ROUND(AA170+Z171-Y171,2),0)</f>
        <v>0</v>
      </c>
      <c r="AB171" s="24">
        <f>IF(AA170&gt;0,ROUND(AB170+ROUND(ROUND(AB170*100,0)*ROUND(Y$7*10000,0)/12000000,0)/100+0.02,2),0)</f>
        <v>0</v>
      </c>
      <c r="AC171" s="24">
        <f>IF(AE170&gt;0,IF(AND(ROUND(AE170+AD171-ROUND(AC$6+IF(AC$5=$C171,$E$5+$E171,0),2),2)&gt;0,ROUND(AE170+AD171-ROUND(AC$6+IF(AC$5=$C171,$E$5+$E171,0),2),2)&lt;=AF171,ROUND(AE170+AD171-ROUND(AC$6+IF(AC$5=$C171,$E$5+$E171,0),2),2)*10&lt;=ROUND(AC$6+IF(AC$5=$C171,$E$5+$E171,0),2)),ROUND(AE170+AD171,2),MIN(ROUND(AC$6+IF(AC$5=$C171,$E$5+$E171,0),2),ROUND(AE170+AD171,2))),0)</f>
        <v>0</v>
      </c>
      <c r="AD171" s="24">
        <f>IF(AE170&gt;0,ROUND(ROUND(AE170*100,0)*ROUND(AC$7*10000,0)/12000000,0)/100,0)</f>
        <v>0</v>
      </c>
      <c r="AE171" s="24">
        <f>IF(AE170&gt;0,ROUND(AE170+AD171-AC171,2),0)</f>
        <v>0</v>
      </c>
      <c r="AF171" s="24">
        <f>IF(AE170&gt;0,ROUND(AF170+ROUND(ROUND(AF170*100,0)*ROUND(AC$7*10000,0)/12000000,0)/100+0.02,2),0)</f>
        <v>0</v>
      </c>
      <c r="AG171" s="24">
        <f>IF(AI170&gt;0,IF(AND(ROUND(AI170+AH171-ROUND(AG$6+IF(AG$5=$C171,$E$5+$E171,0),2),2)&gt;0,ROUND(AI170+AH171-ROUND(AG$6+IF(AG$5=$C171,$E$5+$E171,0),2),2)&lt;=AJ171,ROUND(AI170+AH171-ROUND(AG$6+IF(AG$5=$C171,$E$5+$E171,0),2),2)*10&lt;=ROUND(AG$6+IF(AG$5=$C171,$E$5+$E171,0),2)),ROUND(AI170+AH171,2),MIN(ROUND(AG$6+IF(AG$5=$C171,$E$5+$E171,0),2),ROUND(AI170+AH171,2))),0)</f>
        <v>0</v>
      </c>
      <c r="AH171" s="24">
        <f>IF(AI170&gt;0,ROUND(ROUND(AI170*100,0)*ROUND(AG$7*10000,0)/12000000,0)/100,0)</f>
        <v>0</v>
      </c>
      <c r="AI171" s="24">
        <f>IF(AI170&gt;0,ROUND(AI170+AH171-AG171,2),0)</f>
        <v>0</v>
      </c>
      <c r="AJ171" s="24">
        <f>IF(AI170&gt;0,ROUND(AJ170+ROUND(ROUND(AJ170*100,0)*ROUND(AG$7*10000,0)/12000000,0)/100+0.02,2),0)</f>
        <v>0</v>
      </c>
      <c r="AK171" s="24">
        <f>IF(AM170&gt;0,IF(AND(ROUND(AM170+AL171-ROUND(AK$6+IF(AK$5=$C171,$E$5+$E171,0),2),2)&gt;0,ROUND(AM170+AL171-ROUND(AK$6+IF(AK$5=$C171,$E$5+$E171,0),2),2)&lt;=AN171,ROUND(AM170+AL171-ROUND(AK$6+IF(AK$5=$C171,$E$5+$E171,0),2),2)*10&lt;=ROUND(AK$6+IF(AK$5=$C171,$E$5+$E171,0),2)),ROUND(AM170+AL171,2),MIN(ROUND(AK$6+IF(AK$5=$C171,$E$5+$E171,0),2),ROUND(AM170+AL171,2))),0)</f>
        <v>0</v>
      </c>
      <c r="AL171" s="24">
        <f>IF(AM170&gt;0,ROUND(ROUND(AM170*100,0)*ROUND(AK$7*10000,0)/12000000,0)/100,0)</f>
        <v>0</v>
      </c>
      <c r="AM171" s="24">
        <f>IF(AM170&gt;0,ROUND(AM170+AL171-AK171,2),0)</f>
        <v>0</v>
      </c>
      <c r="AN171" s="24">
        <f>IF(AM170&gt;0,ROUND(AN170+ROUND(ROUND(AN170*100,0)*ROUND(AK$7*10000,0)/12000000,0)/100+0.02,2),0)</f>
        <v>0</v>
      </c>
      <c r="AO171" s="24">
        <f>IF(AQ170&gt;0,IF(AND(ROUND(AQ170+AP171-ROUND(AO$6+IF(AO$5=$C171,$E$5+$E171,0),2),2)&gt;0,ROUND(AQ170+AP171-ROUND(AO$6+IF(AO$5=$C171,$E$5+$E171,0),2),2)&lt;=AR171,ROUND(AQ170+AP171-ROUND(AO$6+IF(AO$5=$C171,$E$5+$E171,0),2),2)*10&lt;=ROUND(AO$6+IF(AO$5=$C171,$E$5+$E171,0),2)),ROUND(AQ170+AP171,2),MIN(ROUND(AO$6+IF(AO$5=$C171,$E$5+$E171,0),2),ROUND(AQ170+AP171,2))),0)</f>
        <v>0</v>
      </c>
      <c r="AP171" s="24">
        <f>IF(AQ170&gt;0,ROUND(ROUND(AQ170*100,0)*ROUND(AO$7*10000,0)/12000000,0)/100,0)</f>
        <v>0</v>
      </c>
      <c r="AQ171" s="24">
        <f>IF(AQ170&gt;0,ROUND(AQ170+AP171-AO171,2),0)</f>
        <v>0</v>
      </c>
      <c r="AR171" s="24">
        <f>IF(AQ170&gt;0,ROUND(AR170+ROUND(ROUND(AR170*100,0)*ROUND(AO$7*10000,0)/12000000,0)/100+0.02,2),0)</f>
        <v>0</v>
      </c>
      <c r="AS171" s="24">
        <f>IF(AU170&gt;0,IF(AND(ROUND(AU170+AT171-ROUND(AS$6+IF(AS$5=$C171,$E$5+$E171,0),2),2)&gt;0,ROUND(AU170+AT171-ROUND(AS$6+IF(AS$5=$C171,$E$5+$E171,0),2),2)&lt;=AV171,ROUND(AU170+AT171-ROUND(AS$6+IF(AS$5=$C171,$E$5+$E171,0),2),2)*10&lt;=ROUND(AS$6+IF(AS$5=$C171,$E$5+$E171,0),2)),ROUND(AU170+AT171,2),MIN(ROUND(AS$6+IF(AS$5=$C171,$E$5+$E171,0),2),ROUND(AU170+AT171,2))),0)</f>
        <v>0</v>
      </c>
      <c r="AT171" s="24">
        <f>IF(AU170&gt;0,ROUND(ROUND(AU170*100,0)*ROUND(AS$7*10000,0)/12000000,0)/100,0)</f>
        <v>0</v>
      </c>
      <c r="AU171" s="24">
        <f>IF(AU170&gt;0,ROUND(AU170+AT171-AS171,2),0)</f>
        <v>0</v>
      </c>
      <c r="AV171" s="24">
        <f>IF(AU170&gt;0,ROUND(AV170+ROUND(ROUND(AV170*100,0)*ROUND(AS$7*10000,0)/12000000,0)/100+0.02,2),0)</f>
        <v>0</v>
      </c>
    </row>
    <row r="172" spans="1:48" x14ac:dyDescent="0.25">
      <c r="A172" s="17" t="str">
        <f>IF(F172&gt;0,162,"")</f>
        <v/>
      </c>
      <c r="B172" s="18" t="str">
        <f>IF(F172&gt;0,EDATE($E$6,162),"")</f>
        <v/>
      </c>
      <c r="C172" s="21">
        <f>IF(H171&gt;0,MIN(IF(K171&gt;0,I$5,99),IF(O171&gt;0,M$5,99),IF(S171&gt;0,Q$5,99),IF(W171&gt;0,U$5,99),IF(AA171&gt;0,Y$5,99),IF(AE171&gt;0,AC$5,99),IF(AI171&gt;0,AG$5,99),IF(AM171&gt;0,AK$5,99),IF(AQ171&gt;0,AO$5,99),IF(AU171&gt;0,AS$5,99)),0)</f>
        <v>0</v>
      </c>
      <c r="D172" t="str">
        <f>IF(C172&gt;0,INDEX($I$4:$AV$4,1,MATCH(C172,$I$5:$AV$5,0)),"")</f>
        <v/>
      </c>
      <c r="E172" s="24">
        <f>ROUND(IF(AND(I$8&gt;0,K171=0),I$6,0)+IF(AND(M$8&gt;0,O171=0),M$6,0)+IF(AND(Q$8&gt;0,S171=0),Q$6,0)+IF(AND(U$8&gt;0,W171=0),U$6,0)+IF(AND(Y$8&gt;0,AA171=0),Y$6,0)+IF(AND(AC$8&gt;0,AE171=0),AC$6,0)+IF(AND(AG$8&gt;0,AI171=0),AG$6,0)+IF(AND(AK$8&gt;0,AM171=0),AK$6,0)+IF(AND(AO$8&gt;0,AQ171=0),AO$6,0)+IF(AND(AS$8&gt;0,AU171=0),AS$6,0),2)</f>
        <v>325</v>
      </c>
      <c r="F172" s="24">
        <f>ROUND(I172+M172+Q172+U172+Y172+AC172+AG172+AK172+AO172+AS172,2)</f>
        <v>0</v>
      </c>
      <c r="G172" s="24">
        <f>ROUND(J172+N172+R172+V172+Z172+AD172+AH172+AL172+AP172+AT172,2)</f>
        <v>0</v>
      </c>
      <c r="H172" s="24">
        <f>ROUND(K172+O172+S172+W172+AA172+AE172+AI172+AM172+AQ172+AU172,2)</f>
        <v>0</v>
      </c>
      <c r="I172" s="24">
        <f>IF(K171&gt;0,IF(AND(ROUND(K171+J172-ROUND(I$6+IF(I$5=$C172,$E$5+$E172,0),2),2)&gt;0,ROUND(K171+J172-ROUND(I$6+IF(I$5=$C172,$E$5+$E172,0),2),2)&lt;=L172,ROUND(K171+J172-ROUND(I$6+IF(I$5=$C172,$E$5+$E172,0),2),2)*10&lt;=ROUND(I$6+IF(I$5=$C172,$E$5+$E172,0),2)),ROUND(K171+J172,2),MIN(ROUND(I$6+IF(I$5=$C172,$E$5+$E172,0),2),ROUND(K171+J172,2))),0)</f>
        <v>0</v>
      </c>
      <c r="J172" s="24">
        <f>IF(K171&gt;0,ROUND(ROUND(K171*100,0)*ROUND(I$7*10000,0)/12000000,0)/100,0)</f>
        <v>0</v>
      </c>
      <c r="K172" s="24">
        <f>IF(K171&gt;0,ROUND(K171+J172-I172,2),0)</f>
        <v>0</v>
      </c>
      <c r="L172" s="24">
        <f>IF(K171&gt;0,ROUND(L171+ROUND(ROUND(L171*100,0)*ROUND(I$7*10000,0)/12000000,0)/100+0.02,2),0)</f>
        <v>0</v>
      </c>
      <c r="M172" s="24">
        <f>IF(O171&gt;0,IF(AND(ROUND(O171+N172-ROUND(M$6+IF(M$5=$C172,$E$5+$E172,0),2),2)&gt;0,ROUND(O171+N172-ROUND(M$6+IF(M$5=$C172,$E$5+$E172,0),2),2)&lt;=P172,ROUND(O171+N172-ROUND(M$6+IF(M$5=$C172,$E$5+$E172,0),2),2)*10&lt;=ROUND(M$6+IF(M$5=$C172,$E$5+$E172,0),2)),ROUND(O171+N172,2),MIN(ROUND(M$6+IF(M$5=$C172,$E$5+$E172,0),2),ROUND(O171+N172,2))),0)</f>
        <v>0</v>
      </c>
      <c r="N172" s="24">
        <f>IF(O171&gt;0,ROUND(ROUND(O171*100,0)*ROUND(M$7*10000,0)/12000000,0)/100,0)</f>
        <v>0</v>
      </c>
      <c r="O172" s="24">
        <f>IF(O171&gt;0,ROUND(O171+N172-M172,2),0)</f>
        <v>0</v>
      </c>
      <c r="P172" s="24">
        <f>IF(O171&gt;0,ROUND(P171+ROUND(ROUND(P171*100,0)*ROUND(M$7*10000,0)/12000000,0)/100+0.02,2),0)</f>
        <v>0</v>
      </c>
      <c r="Q172" s="24">
        <f>IF(S171&gt;0,IF(AND(ROUND(S171+R172-ROUND(Q$6+IF(Q$5=$C172,$E$5+$E172,0),2),2)&gt;0,ROUND(S171+R172-ROUND(Q$6+IF(Q$5=$C172,$E$5+$E172,0),2),2)&lt;=T172,ROUND(S171+R172-ROUND(Q$6+IF(Q$5=$C172,$E$5+$E172,0),2),2)*10&lt;=ROUND(Q$6+IF(Q$5=$C172,$E$5+$E172,0),2)),ROUND(S171+R172,2),MIN(ROUND(Q$6+IF(Q$5=$C172,$E$5+$E172,0),2),ROUND(S171+R172,2))),0)</f>
        <v>0</v>
      </c>
      <c r="R172" s="24">
        <f>IF(S171&gt;0,ROUND(ROUND(S171*100,0)*ROUND(Q$7*10000,0)/12000000,0)/100,0)</f>
        <v>0</v>
      </c>
      <c r="S172" s="24">
        <f>IF(S171&gt;0,ROUND(S171+R172-Q172,2),0)</f>
        <v>0</v>
      </c>
      <c r="T172" s="24">
        <f>IF(S171&gt;0,ROUND(T171+ROUND(ROUND(T171*100,0)*ROUND(Q$7*10000,0)/12000000,0)/100+0.02,2),0)</f>
        <v>0</v>
      </c>
      <c r="U172" s="24">
        <f>IF(W171&gt;0,IF(AND(ROUND(W171+V172-ROUND(U$6+IF(U$5=$C172,$E$5+$E172,0),2),2)&gt;0,ROUND(W171+V172-ROUND(U$6+IF(U$5=$C172,$E$5+$E172,0),2),2)&lt;=X172,ROUND(W171+V172-ROUND(U$6+IF(U$5=$C172,$E$5+$E172,0),2),2)*10&lt;=ROUND(U$6+IF(U$5=$C172,$E$5+$E172,0),2)),ROUND(W171+V172,2),MIN(ROUND(U$6+IF(U$5=$C172,$E$5+$E172,0),2),ROUND(W171+V172,2))),0)</f>
        <v>0</v>
      </c>
      <c r="V172" s="24">
        <f>IF(W171&gt;0,ROUND(ROUND(W171*100,0)*ROUND(U$7*10000,0)/12000000,0)/100,0)</f>
        <v>0</v>
      </c>
      <c r="W172" s="24">
        <f>IF(W171&gt;0,ROUND(W171+V172-U172,2),0)</f>
        <v>0</v>
      </c>
      <c r="X172" s="24">
        <f>IF(W171&gt;0,ROUND(X171+ROUND(ROUND(X171*100,0)*ROUND(U$7*10000,0)/12000000,0)/100+0.02,2),0)</f>
        <v>0</v>
      </c>
      <c r="Y172" s="24">
        <f>IF(AA171&gt;0,IF(AND(ROUND(AA171+Z172-ROUND(Y$6+IF(Y$5=$C172,$E$5+$E172,0),2),2)&gt;0,ROUND(AA171+Z172-ROUND(Y$6+IF(Y$5=$C172,$E$5+$E172,0),2),2)&lt;=AB172,ROUND(AA171+Z172-ROUND(Y$6+IF(Y$5=$C172,$E$5+$E172,0),2),2)*10&lt;=ROUND(Y$6+IF(Y$5=$C172,$E$5+$E172,0),2)),ROUND(AA171+Z172,2),MIN(ROUND(Y$6+IF(Y$5=$C172,$E$5+$E172,0),2),ROUND(AA171+Z172,2))),0)</f>
        <v>0</v>
      </c>
      <c r="Z172" s="24">
        <f>IF(AA171&gt;0,ROUND(ROUND(AA171*100,0)*ROUND(Y$7*10000,0)/12000000,0)/100,0)</f>
        <v>0</v>
      </c>
      <c r="AA172" s="24">
        <f>IF(AA171&gt;0,ROUND(AA171+Z172-Y172,2),0)</f>
        <v>0</v>
      </c>
      <c r="AB172" s="24">
        <f>IF(AA171&gt;0,ROUND(AB171+ROUND(ROUND(AB171*100,0)*ROUND(Y$7*10000,0)/12000000,0)/100+0.02,2),0)</f>
        <v>0</v>
      </c>
      <c r="AC172" s="24">
        <f>IF(AE171&gt;0,IF(AND(ROUND(AE171+AD172-ROUND(AC$6+IF(AC$5=$C172,$E$5+$E172,0),2),2)&gt;0,ROUND(AE171+AD172-ROUND(AC$6+IF(AC$5=$C172,$E$5+$E172,0),2),2)&lt;=AF172,ROUND(AE171+AD172-ROUND(AC$6+IF(AC$5=$C172,$E$5+$E172,0),2),2)*10&lt;=ROUND(AC$6+IF(AC$5=$C172,$E$5+$E172,0),2)),ROUND(AE171+AD172,2),MIN(ROUND(AC$6+IF(AC$5=$C172,$E$5+$E172,0),2),ROUND(AE171+AD172,2))),0)</f>
        <v>0</v>
      </c>
      <c r="AD172" s="24">
        <f>IF(AE171&gt;0,ROUND(ROUND(AE171*100,0)*ROUND(AC$7*10000,0)/12000000,0)/100,0)</f>
        <v>0</v>
      </c>
      <c r="AE172" s="24">
        <f>IF(AE171&gt;0,ROUND(AE171+AD172-AC172,2),0)</f>
        <v>0</v>
      </c>
      <c r="AF172" s="24">
        <f>IF(AE171&gt;0,ROUND(AF171+ROUND(ROUND(AF171*100,0)*ROUND(AC$7*10000,0)/12000000,0)/100+0.02,2),0)</f>
        <v>0</v>
      </c>
      <c r="AG172" s="24">
        <f>IF(AI171&gt;0,IF(AND(ROUND(AI171+AH172-ROUND(AG$6+IF(AG$5=$C172,$E$5+$E172,0),2),2)&gt;0,ROUND(AI171+AH172-ROUND(AG$6+IF(AG$5=$C172,$E$5+$E172,0),2),2)&lt;=AJ172,ROUND(AI171+AH172-ROUND(AG$6+IF(AG$5=$C172,$E$5+$E172,0),2),2)*10&lt;=ROUND(AG$6+IF(AG$5=$C172,$E$5+$E172,0),2)),ROUND(AI171+AH172,2),MIN(ROUND(AG$6+IF(AG$5=$C172,$E$5+$E172,0),2),ROUND(AI171+AH172,2))),0)</f>
        <v>0</v>
      </c>
      <c r="AH172" s="24">
        <f>IF(AI171&gt;0,ROUND(ROUND(AI171*100,0)*ROUND(AG$7*10000,0)/12000000,0)/100,0)</f>
        <v>0</v>
      </c>
      <c r="AI172" s="24">
        <f>IF(AI171&gt;0,ROUND(AI171+AH172-AG172,2),0)</f>
        <v>0</v>
      </c>
      <c r="AJ172" s="24">
        <f>IF(AI171&gt;0,ROUND(AJ171+ROUND(ROUND(AJ171*100,0)*ROUND(AG$7*10000,0)/12000000,0)/100+0.02,2),0)</f>
        <v>0</v>
      </c>
      <c r="AK172" s="24">
        <f>IF(AM171&gt;0,IF(AND(ROUND(AM171+AL172-ROUND(AK$6+IF(AK$5=$C172,$E$5+$E172,0),2),2)&gt;0,ROUND(AM171+AL172-ROUND(AK$6+IF(AK$5=$C172,$E$5+$E172,0),2),2)&lt;=AN172,ROUND(AM171+AL172-ROUND(AK$6+IF(AK$5=$C172,$E$5+$E172,0),2),2)*10&lt;=ROUND(AK$6+IF(AK$5=$C172,$E$5+$E172,0),2)),ROUND(AM171+AL172,2),MIN(ROUND(AK$6+IF(AK$5=$C172,$E$5+$E172,0),2),ROUND(AM171+AL172,2))),0)</f>
        <v>0</v>
      </c>
      <c r="AL172" s="24">
        <f>IF(AM171&gt;0,ROUND(ROUND(AM171*100,0)*ROUND(AK$7*10000,0)/12000000,0)/100,0)</f>
        <v>0</v>
      </c>
      <c r="AM172" s="24">
        <f>IF(AM171&gt;0,ROUND(AM171+AL172-AK172,2),0)</f>
        <v>0</v>
      </c>
      <c r="AN172" s="24">
        <f>IF(AM171&gt;0,ROUND(AN171+ROUND(ROUND(AN171*100,0)*ROUND(AK$7*10000,0)/12000000,0)/100+0.02,2),0)</f>
        <v>0</v>
      </c>
      <c r="AO172" s="24">
        <f>IF(AQ171&gt;0,IF(AND(ROUND(AQ171+AP172-ROUND(AO$6+IF(AO$5=$C172,$E$5+$E172,0),2),2)&gt;0,ROUND(AQ171+AP172-ROUND(AO$6+IF(AO$5=$C172,$E$5+$E172,0),2),2)&lt;=AR172,ROUND(AQ171+AP172-ROUND(AO$6+IF(AO$5=$C172,$E$5+$E172,0),2),2)*10&lt;=ROUND(AO$6+IF(AO$5=$C172,$E$5+$E172,0),2)),ROUND(AQ171+AP172,2),MIN(ROUND(AO$6+IF(AO$5=$C172,$E$5+$E172,0),2),ROUND(AQ171+AP172,2))),0)</f>
        <v>0</v>
      </c>
      <c r="AP172" s="24">
        <f>IF(AQ171&gt;0,ROUND(ROUND(AQ171*100,0)*ROUND(AO$7*10000,0)/12000000,0)/100,0)</f>
        <v>0</v>
      </c>
      <c r="AQ172" s="24">
        <f>IF(AQ171&gt;0,ROUND(AQ171+AP172-AO172,2),0)</f>
        <v>0</v>
      </c>
      <c r="AR172" s="24">
        <f>IF(AQ171&gt;0,ROUND(AR171+ROUND(ROUND(AR171*100,0)*ROUND(AO$7*10000,0)/12000000,0)/100+0.02,2),0)</f>
        <v>0</v>
      </c>
      <c r="AS172" s="24">
        <f>IF(AU171&gt;0,IF(AND(ROUND(AU171+AT172-ROUND(AS$6+IF(AS$5=$C172,$E$5+$E172,0),2),2)&gt;0,ROUND(AU171+AT172-ROUND(AS$6+IF(AS$5=$C172,$E$5+$E172,0),2),2)&lt;=AV172,ROUND(AU171+AT172-ROUND(AS$6+IF(AS$5=$C172,$E$5+$E172,0),2),2)*10&lt;=ROUND(AS$6+IF(AS$5=$C172,$E$5+$E172,0),2)),ROUND(AU171+AT172,2),MIN(ROUND(AS$6+IF(AS$5=$C172,$E$5+$E172,0),2),ROUND(AU171+AT172,2))),0)</f>
        <v>0</v>
      </c>
      <c r="AT172" s="24">
        <f>IF(AU171&gt;0,ROUND(ROUND(AU171*100,0)*ROUND(AS$7*10000,0)/12000000,0)/100,0)</f>
        <v>0</v>
      </c>
      <c r="AU172" s="24">
        <f>IF(AU171&gt;0,ROUND(AU171+AT172-AS172,2),0)</f>
        <v>0</v>
      </c>
      <c r="AV172" s="24">
        <f>IF(AU171&gt;0,ROUND(AV171+ROUND(ROUND(AV171*100,0)*ROUND(AS$7*10000,0)/12000000,0)/100+0.02,2),0)</f>
        <v>0</v>
      </c>
    </row>
    <row r="173" spans="1:48" x14ac:dyDescent="0.25">
      <c r="A173" s="17" t="str">
        <f>IF(F173&gt;0,163,"")</f>
        <v/>
      </c>
      <c r="B173" s="18" t="str">
        <f>IF(F173&gt;0,EDATE($E$6,163),"")</f>
        <v/>
      </c>
      <c r="C173" s="21">
        <f>IF(H172&gt;0,MIN(IF(K172&gt;0,I$5,99),IF(O172&gt;0,M$5,99),IF(S172&gt;0,Q$5,99),IF(W172&gt;0,U$5,99),IF(AA172&gt;0,Y$5,99),IF(AE172&gt;0,AC$5,99),IF(AI172&gt;0,AG$5,99),IF(AM172&gt;0,AK$5,99),IF(AQ172&gt;0,AO$5,99),IF(AU172&gt;0,AS$5,99)),0)</f>
        <v>0</v>
      </c>
      <c r="D173" t="str">
        <f>IF(C173&gt;0,INDEX($I$4:$AV$4,1,MATCH(C173,$I$5:$AV$5,0)),"")</f>
        <v/>
      </c>
      <c r="E173" s="24">
        <f>ROUND(IF(AND(I$8&gt;0,K172=0),I$6,0)+IF(AND(M$8&gt;0,O172=0),M$6,0)+IF(AND(Q$8&gt;0,S172=0),Q$6,0)+IF(AND(U$8&gt;0,W172=0),U$6,0)+IF(AND(Y$8&gt;0,AA172=0),Y$6,0)+IF(AND(AC$8&gt;0,AE172=0),AC$6,0)+IF(AND(AG$8&gt;0,AI172=0),AG$6,0)+IF(AND(AK$8&gt;0,AM172=0),AK$6,0)+IF(AND(AO$8&gt;0,AQ172=0),AO$6,0)+IF(AND(AS$8&gt;0,AU172=0),AS$6,0),2)</f>
        <v>325</v>
      </c>
      <c r="F173" s="24">
        <f>ROUND(I173+M173+Q173+U173+Y173+AC173+AG173+AK173+AO173+AS173,2)</f>
        <v>0</v>
      </c>
      <c r="G173" s="24">
        <f>ROUND(J173+N173+R173+V173+Z173+AD173+AH173+AL173+AP173+AT173,2)</f>
        <v>0</v>
      </c>
      <c r="H173" s="24">
        <f>ROUND(K173+O173+S173+W173+AA173+AE173+AI173+AM173+AQ173+AU173,2)</f>
        <v>0</v>
      </c>
      <c r="I173" s="24">
        <f>IF(K172&gt;0,IF(AND(ROUND(K172+J173-ROUND(I$6+IF(I$5=$C173,$E$5+$E173,0),2),2)&gt;0,ROUND(K172+J173-ROUND(I$6+IF(I$5=$C173,$E$5+$E173,0),2),2)&lt;=L173,ROUND(K172+J173-ROUND(I$6+IF(I$5=$C173,$E$5+$E173,0),2),2)*10&lt;=ROUND(I$6+IF(I$5=$C173,$E$5+$E173,0),2)),ROUND(K172+J173,2),MIN(ROUND(I$6+IF(I$5=$C173,$E$5+$E173,0),2),ROUND(K172+J173,2))),0)</f>
        <v>0</v>
      </c>
      <c r="J173" s="24">
        <f>IF(K172&gt;0,ROUND(ROUND(K172*100,0)*ROUND(I$7*10000,0)/12000000,0)/100,0)</f>
        <v>0</v>
      </c>
      <c r="K173" s="24">
        <f>IF(K172&gt;0,ROUND(K172+J173-I173,2),0)</f>
        <v>0</v>
      </c>
      <c r="L173" s="24">
        <f>IF(K172&gt;0,ROUND(L172+ROUND(ROUND(L172*100,0)*ROUND(I$7*10000,0)/12000000,0)/100+0.02,2),0)</f>
        <v>0</v>
      </c>
      <c r="M173" s="24">
        <f>IF(O172&gt;0,IF(AND(ROUND(O172+N173-ROUND(M$6+IF(M$5=$C173,$E$5+$E173,0),2),2)&gt;0,ROUND(O172+N173-ROUND(M$6+IF(M$5=$C173,$E$5+$E173,0),2),2)&lt;=P173,ROUND(O172+N173-ROUND(M$6+IF(M$5=$C173,$E$5+$E173,0),2),2)*10&lt;=ROUND(M$6+IF(M$5=$C173,$E$5+$E173,0),2)),ROUND(O172+N173,2),MIN(ROUND(M$6+IF(M$5=$C173,$E$5+$E173,0),2),ROUND(O172+N173,2))),0)</f>
        <v>0</v>
      </c>
      <c r="N173" s="24">
        <f>IF(O172&gt;0,ROUND(ROUND(O172*100,0)*ROUND(M$7*10000,0)/12000000,0)/100,0)</f>
        <v>0</v>
      </c>
      <c r="O173" s="24">
        <f>IF(O172&gt;0,ROUND(O172+N173-M173,2),0)</f>
        <v>0</v>
      </c>
      <c r="P173" s="24">
        <f>IF(O172&gt;0,ROUND(P172+ROUND(ROUND(P172*100,0)*ROUND(M$7*10000,0)/12000000,0)/100+0.02,2),0)</f>
        <v>0</v>
      </c>
      <c r="Q173" s="24">
        <f>IF(S172&gt;0,IF(AND(ROUND(S172+R173-ROUND(Q$6+IF(Q$5=$C173,$E$5+$E173,0),2),2)&gt;0,ROUND(S172+R173-ROUND(Q$6+IF(Q$5=$C173,$E$5+$E173,0),2),2)&lt;=T173,ROUND(S172+R173-ROUND(Q$6+IF(Q$5=$C173,$E$5+$E173,0),2),2)*10&lt;=ROUND(Q$6+IF(Q$5=$C173,$E$5+$E173,0),2)),ROUND(S172+R173,2),MIN(ROUND(Q$6+IF(Q$5=$C173,$E$5+$E173,0),2),ROUND(S172+R173,2))),0)</f>
        <v>0</v>
      </c>
      <c r="R173" s="24">
        <f>IF(S172&gt;0,ROUND(ROUND(S172*100,0)*ROUND(Q$7*10000,0)/12000000,0)/100,0)</f>
        <v>0</v>
      </c>
      <c r="S173" s="24">
        <f>IF(S172&gt;0,ROUND(S172+R173-Q173,2),0)</f>
        <v>0</v>
      </c>
      <c r="T173" s="24">
        <f>IF(S172&gt;0,ROUND(T172+ROUND(ROUND(T172*100,0)*ROUND(Q$7*10000,0)/12000000,0)/100+0.02,2),0)</f>
        <v>0</v>
      </c>
      <c r="U173" s="24">
        <f>IF(W172&gt;0,IF(AND(ROUND(W172+V173-ROUND(U$6+IF(U$5=$C173,$E$5+$E173,0),2),2)&gt;0,ROUND(W172+V173-ROUND(U$6+IF(U$5=$C173,$E$5+$E173,0),2),2)&lt;=X173,ROUND(W172+V173-ROUND(U$6+IF(U$5=$C173,$E$5+$E173,0),2),2)*10&lt;=ROUND(U$6+IF(U$5=$C173,$E$5+$E173,0),2)),ROUND(W172+V173,2),MIN(ROUND(U$6+IF(U$5=$C173,$E$5+$E173,0),2),ROUND(W172+V173,2))),0)</f>
        <v>0</v>
      </c>
      <c r="V173" s="24">
        <f>IF(W172&gt;0,ROUND(ROUND(W172*100,0)*ROUND(U$7*10000,0)/12000000,0)/100,0)</f>
        <v>0</v>
      </c>
      <c r="W173" s="24">
        <f>IF(W172&gt;0,ROUND(W172+V173-U173,2),0)</f>
        <v>0</v>
      </c>
      <c r="X173" s="24">
        <f>IF(W172&gt;0,ROUND(X172+ROUND(ROUND(X172*100,0)*ROUND(U$7*10000,0)/12000000,0)/100+0.02,2),0)</f>
        <v>0</v>
      </c>
      <c r="Y173" s="24">
        <f>IF(AA172&gt;0,IF(AND(ROUND(AA172+Z173-ROUND(Y$6+IF(Y$5=$C173,$E$5+$E173,0),2),2)&gt;0,ROUND(AA172+Z173-ROUND(Y$6+IF(Y$5=$C173,$E$5+$E173,0),2),2)&lt;=AB173,ROUND(AA172+Z173-ROUND(Y$6+IF(Y$5=$C173,$E$5+$E173,0),2),2)*10&lt;=ROUND(Y$6+IF(Y$5=$C173,$E$5+$E173,0),2)),ROUND(AA172+Z173,2),MIN(ROUND(Y$6+IF(Y$5=$C173,$E$5+$E173,0),2),ROUND(AA172+Z173,2))),0)</f>
        <v>0</v>
      </c>
      <c r="Z173" s="24">
        <f>IF(AA172&gt;0,ROUND(ROUND(AA172*100,0)*ROUND(Y$7*10000,0)/12000000,0)/100,0)</f>
        <v>0</v>
      </c>
      <c r="AA173" s="24">
        <f>IF(AA172&gt;0,ROUND(AA172+Z173-Y173,2),0)</f>
        <v>0</v>
      </c>
      <c r="AB173" s="24">
        <f>IF(AA172&gt;0,ROUND(AB172+ROUND(ROUND(AB172*100,0)*ROUND(Y$7*10000,0)/12000000,0)/100+0.02,2),0)</f>
        <v>0</v>
      </c>
      <c r="AC173" s="24">
        <f>IF(AE172&gt;0,IF(AND(ROUND(AE172+AD173-ROUND(AC$6+IF(AC$5=$C173,$E$5+$E173,0),2),2)&gt;0,ROUND(AE172+AD173-ROUND(AC$6+IF(AC$5=$C173,$E$5+$E173,0),2),2)&lt;=AF173,ROUND(AE172+AD173-ROUND(AC$6+IF(AC$5=$C173,$E$5+$E173,0),2),2)*10&lt;=ROUND(AC$6+IF(AC$5=$C173,$E$5+$E173,0),2)),ROUND(AE172+AD173,2),MIN(ROUND(AC$6+IF(AC$5=$C173,$E$5+$E173,0),2),ROUND(AE172+AD173,2))),0)</f>
        <v>0</v>
      </c>
      <c r="AD173" s="24">
        <f>IF(AE172&gt;0,ROUND(ROUND(AE172*100,0)*ROUND(AC$7*10000,0)/12000000,0)/100,0)</f>
        <v>0</v>
      </c>
      <c r="AE173" s="24">
        <f>IF(AE172&gt;0,ROUND(AE172+AD173-AC173,2),0)</f>
        <v>0</v>
      </c>
      <c r="AF173" s="24">
        <f>IF(AE172&gt;0,ROUND(AF172+ROUND(ROUND(AF172*100,0)*ROUND(AC$7*10000,0)/12000000,0)/100+0.02,2),0)</f>
        <v>0</v>
      </c>
      <c r="AG173" s="24">
        <f>IF(AI172&gt;0,IF(AND(ROUND(AI172+AH173-ROUND(AG$6+IF(AG$5=$C173,$E$5+$E173,0),2),2)&gt;0,ROUND(AI172+AH173-ROUND(AG$6+IF(AG$5=$C173,$E$5+$E173,0),2),2)&lt;=AJ173,ROUND(AI172+AH173-ROUND(AG$6+IF(AG$5=$C173,$E$5+$E173,0),2),2)*10&lt;=ROUND(AG$6+IF(AG$5=$C173,$E$5+$E173,0),2)),ROUND(AI172+AH173,2),MIN(ROUND(AG$6+IF(AG$5=$C173,$E$5+$E173,0),2),ROUND(AI172+AH173,2))),0)</f>
        <v>0</v>
      </c>
      <c r="AH173" s="24">
        <f>IF(AI172&gt;0,ROUND(ROUND(AI172*100,0)*ROUND(AG$7*10000,0)/12000000,0)/100,0)</f>
        <v>0</v>
      </c>
      <c r="AI173" s="24">
        <f>IF(AI172&gt;0,ROUND(AI172+AH173-AG173,2),0)</f>
        <v>0</v>
      </c>
      <c r="AJ173" s="24">
        <f>IF(AI172&gt;0,ROUND(AJ172+ROUND(ROUND(AJ172*100,0)*ROUND(AG$7*10000,0)/12000000,0)/100+0.02,2),0)</f>
        <v>0</v>
      </c>
      <c r="AK173" s="24">
        <f>IF(AM172&gt;0,IF(AND(ROUND(AM172+AL173-ROUND(AK$6+IF(AK$5=$C173,$E$5+$E173,0),2),2)&gt;0,ROUND(AM172+AL173-ROUND(AK$6+IF(AK$5=$C173,$E$5+$E173,0),2),2)&lt;=AN173,ROUND(AM172+AL173-ROUND(AK$6+IF(AK$5=$C173,$E$5+$E173,0),2),2)*10&lt;=ROUND(AK$6+IF(AK$5=$C173,$E$5+$E173,0),2)),ROUND(AM172+AL173,2),MIN(ROUND(AK$6+IF(AK$5=$C173,$E$5+$E173,0),2),ROUND(AM172+AL173,2))),0)</f>
        <v>0</v>
      </c>
      <c r="AL173" s="24">
        <f>IF(AM172&gt;0,ROUND(ROUND(AM172*100,0)*ROUND(AK$7*10000,0)/12000000,0)/100,0)</f>
        <v>0</v>
      </c>
      <c r="AM173" s="24">
        <f>IF(AM172&gt;0,ROUND(AM172+AL173-AK173,2),0)</f>
        <v>0</v>
      </c>
      <c r="AN173" s="24">
        <f>IF(AM172&gt;0,ROUND(AN172+ROUND(ROUND(AN172*100,0)*ROUND(AK$7*10000,0)/12000000,0)/100+0.02,2),0)</f>
        <v>0</v>
      </c>
      <c r="AO173" s="24">
        <f>IF(AQ172&gt;0,IF(AND(ROUND(AQ172+AP173-ROUND(AO$6+IF(AO$5=$C173,$E$5+$E173,0),2),2)&gt;0,ROUND(AQ172+AP173-ROUND(AO$6+IF(AO$5=$C173,$E$5+$E173,0),2),2)&lt;=AR173,ROUND(AQ172+AP173-ROUND(AO$6+IF(AO$5=$C173,$E$5+$E173,0),2),2)*10&lt;=ROUND(AO$6+IF(AO$5=$C173,$E$5+$E173,0),2)),ROUND(AQ172+AP173,2),MIN(ROUND(AO$6+IF(AO$5=$C173,$E$5+$E173,0),2),ROUND(AQ172+AP173,2))),0)</f>
        <v>0</v>
      </c>
      <c r="AP173" s="24">
        <f>IF(AQ172&gt;0,ROUND(ROUND(AQ172*100,0)*ROUND(AO$7*10000,0)/12000000,0)/100,0)</f>
        <v>0</v>
      </c>
      <c r="AQ173" s="24">
        <f>IF(AQ172&gt;0,ROUND(AQ172+AP173-AO173,2),0)</f>
        <v>0</v>
      </c>
      <c r="AR173" s="24">
        <f>IF(AQ172&gt;0,ROUND(AR172+ROUND(ROUND(AR172*100,0)*ROUND(AO$7*10000,0)/12000000,0)/100+0.02,2),0)</f>
        <v>0</v>
      </c>
      <c r="AS173" s="24">
        <f>IF(AU172&gt;0,IF(AND(ROUND(AU172+AT173-ROUND(AS$6+IF(AS$5=$C173,$E$5+$E173,0),2),2)&gt;0,ROUND(AU172+AT173-ROUND(AS$6+IF(AS$5=$C173,$E$5+$E173,0),2),2)&lt;=AV173,ROUND(AU172+AT173-ROUND(AS$6+IF(AS$5=$C173,$E$5+$E173,0),2),2)*10&lt;=ROUND(AS$6+IF(AS$5=$C173,$E$5+$E173,0),2)),ROUND(AU172+AT173,2),MIN(ROUND(AS$6+IF(AS$5=$C173,$E$5+$E173,0),2),ROUND(AU172+AT173,2))),0)</f>
        <v>0</v>
      </c>
      <c r="AT173" s="24">
        <f>IF(AU172&gt;0,ROUND(ROUND(AU172*100,0)*ROUND(AS$7*10000,0)/12000000,0)/100,0)</f>
        <v>0</v>
      </c>
      <c r="AU173" s="24">
        <f>IF(AU172&gt;0,ROUND(AU172+AT173-AS173,2),0)</f>
        <v>0</v>
      </c>
      <c r="AV173" s="24">
        <f>IF(AU172&gt;0,ROUND(AV172+ROUND(ROUND(AV172*100,0)*ROUND(AS$7*10000,0)/12000000,0)/100+0.02,2),0)</f>
        <v>0</v>
      </c>
    </row>
    <row r="174" spans="1:48" x14ac:dyDescent="0.25">
      <c r="A174" s="17" t="str">
        <f>IF(F174&gt;0,164,"")</f>
        <v/>
      </c>
      <c r="B174" s="18" t="str">
        <f>IF(F174&gt;0,EDATE($E$6,164),"")</f>
        <v/>
      </c>
      <c r="C174" s="21">
        <f>IF(H173&gt;0,MIN(IF(K173&gt;0,I$5,99),IF(O173&gt;0,M$5,99),IF(S173&gt;0,Q$5,99),IF(W173&gt;0,U$5,99),IF(AA173&gt;0,Y$5,99),IF(AE173&gt;0,AC$5,99),IF(AI173&gt;0,AG$5,99),IF(AM173&gt;0,AK$5,99),IF(AQ173&gt;0,AO$5,99),IF(AU173&gt;0,AS$5,99)),0)</f>
        <v>0</v>
      </c>
      <c r="D174" t="str">
        <f>IF(C174&gt;0,INDEX($I$4:$AV$4,1,MATCH(C174,$I$5:$AV$5,0)),"")</f>
        <v/>
      </c>
      <c r="E174" s="24">
        <f>ROUND(IF(AND(I$8&gt;0,K173=0),I$6,0)+IF(AND(M$8&gt;0,O173=0),M$6,0)+IF(AND(Q$8&gt;0,S173=0),Q$6,0)+IF(AND(U$8&gt;0,W173=0),U$6,0)+IF(AND(Y$8&gt;0,AA173=0),Y$6,0)+IF(AND(AC$8&gt;0,AE173=0),AC$6,0)+IF(AND(AG$8&gt;0,AI173=0),AG$6,0)+IF(AND(AK$8&gt;0,AM173=0),AK$6,0)+IF(AND(AO$8&gt;0,AQ173=0),AO$6,0)+IF(AND(AS$8&gt;0,AU173=0),AS$6,0),2)</f>
        <v>325</v>
      </c>
      <c r="F174" s="24">
        <f>ROUND(I174+M174+Q174+U174+Y174+AC174+AG174+AK174+AO174+AS174,2)</f>
        <v>0</v>
      </c>
      <c r="G174" s="24">
        <f>ROUND(J174+N174+R174+V174+Z174+AD174+AH174+AL174+AP174+AT174,2)</f>
        <v>0</v>
      </c>
      <c r="H174" s="24">
        <f>ROUND(K174+O174+S174+W174+AA174+AE174+AI174+AM174+AQ174+AU174,2)</f>
        <v>0</v>
      </c>
      <c r="I174" s="24">
        <f>IF(K173&gt;0,IF(AND(ROUND(K173+J174-ROUND(I$6+IF(I$5=$C174,$E$5+$E174,0),2),2)&gt;0,ROUND(K173+J174-ROUND(I$6+IF(I$5=$C174,$E$5+$E174,0),2),2)&lt;=L174,ROUND(K173+J174-ROUND(I$6+IF(I$5=$C174,$E$5+$E174,0),2),2)*10&lt;=ROUND(I$6+IF(I$5=$C174,$E$5+$E174,0),2)),ROUND(K173+J174,2),MIN(ROUND(I$6+IF(I$5=$C174,$E$5+$E174,0),2),ROUND(K173+J174,2))),0)</f>
        <v>0</v>
      </c>
      <c r="J174" s="24">
        <f>IF(K173&gt;0,ROUND(ROUND(K173*100,0)*ROUND(I$7*10000,0)/12000000,0)/100,0)</f>
        <v>0</v>
      </c>
      <c r="K174" s="24">
        <f>IF(K173&gt;0,ROUND(K173+J174-I174,2),0)</f>
        <v>0</v>
      </c>
      <c r="L174" s="24">
        <f>IF(K173&gt;0,ROUND(L173+ROUND(ROUND(L173*100,0)*ROUND(I$7*10000,0)/12000000,0)/100+0.02,2),0)</f>
        <v>0</v>
      </c>
      <c r="M174" s="24">
        <f>IF(O173&gt;0,IF(AND(ROUND(O173+N174-ROUND(M$6+IF(M$5=$C174,$E$5+$E174,0),2),2)&gt;0,ROUND(O173+N174-ROUND(M$6+IF(M$5=$C174,$E$5+$E174,0),2),2)&lt;=P174,ROUND(O173+N174-ROUND(M$6+IF(M$5=$C174,$E$5+$E174,0),2),2)*10&lt;=ROUND(M$6+IF(M$5=$C174,$E$5+$E174,0),2)),ROUND(O173+N174,2),MIN(ROUND(M$6+IF(M$5=$C174,$E$5+$E174,0),2),ROUND(O173+N174,2))),0)</f>
        <v>0</v>
      </c>
      <c r="N174" s="24">
        <f>IF(O173&gt;0,ROUND(ROUND(O173*100,0)*ROUND(M$7*10000,0)/12000000,0)/100,0)</f>
        <v>0</v>
      </c>
      <c r="O174" s="24">
        <f>IF(O173&gt;0,ROUND(O173+N174-M174,2),0)</f>
        <v>0</v>
      </c>
      <c r="P174" s="24">
        <f>IF(O173&gt;0,ROUND(P173+ROUND(ROUND(P173*100,0)*ROUND(M$7*10000,0)/12000000,0)/100+0.02,2),0)</f>
        <v>0</v>
      </c>
      <c r="Q174" s="24">
        <f>IF(S173&gt;0,IF(AND(ROUND(S173+R174-ROUND(Q$6+IF(Q$5=$C174,$E$5+$E174,0),2),2)&gt;0,ROUND(S173+R174-ROUND(Q$6+IF(Q$5=$C174,$E$5+$E174,0),2),2)&lt;=T174,ROUND(S173+R174-ROUND(Q$6+IF(Q$5=$C174,$E$5+$E174,0),2),2)*10&lt;=ROUND(Q$6+IF(Q$5=$C174,$E$5+$E174,0),2)),ROUND(S173+R174,2),MIN(ROUND(Q$6+IF(Q$5=$C174,$E$5+$E174,0),2),ROUND(S173+R174,2))),0)</f>
        <v>0</v>
      </c>
      <c r="R174" s="24">
        <f>IF(S173&gt;0,ROUND(ROUND(S173*100,0)*ROUND(Q$7*10000,0)/12000000,0)/100,0)</f>
        <v>0</v>
      </c>
      <c r="S174" s="24">
        <f>IF(S173&gt;0,ROUND(S173+R174-Q174,2),0)</f>
        <v>0</v>
      </c>
      <c r="T174" s="24">
        <f>IF(S173&gt;0,ROUND(T173+ROUND(ROUND(T173*100,0)*ROUND(Q$7*10000,0)/12000000,0)/100+0.02,2),0)</f>
        <v>0</v>
      </c>
      <c r="U174" s="24">
        <f>IF(W173&gt;0,IF(AND(ROUND(W173+V174-ROUND(U$6+IF(U$5=$C174,$E$5+$E174,0),2),2)&gt;0,ROUND(W173+V174-ROUND(U$6+IF(U$5=$C174,$E$5+$E174,0),2),2)&lt;=X174,ROUND(W173+V174-ROUND(U$6+IF(U$5=$C174,$E$5+$E174,0),2),2)*10&lt;=ROUND(U$6+IF(U$5=$C174,$E$5+$E174,0),2)),ROUND(W173+V174,2),MIN(ROUND(U$6+IF(U$5=$C174,$E$5+$E174,0),2),ROUND(W173+V174,2))),0)</f>
        <v>0</v>
      </c>
      <c r="V174" s="24">
        <f>IF(W173&gt;0,ROUND(ROUND(W173*100,0)*ROUND(U$7*10000,0)/12000000,0)/100,0)</f>
        <v>0</v>
      </c>
      <c r="W174" s="24">
        <f>IF(W173&gt;0,ROUND(W173+V174-U174,2),0)</f>
        <v>0</v>
      </c>
      <c r="X174" s="24">
        <f>IF(W173&gt;0,ROUND(X173+ROUND(ROUND(X173*100,0)*ROUND(U$7*10000,0)/12000000,0)/100+0.02,2),0)</f>
        <v>0</v>
      </c>
      <c r="Y174" s="24">
        <f>IF(AA173&gt;0,IF(AND(ROUND(AA173+Z174-ROUND(Y$6+IF(Y$5=$C174,$E$5+$E174,0),2),2)&gt;0,ROUND(AA173+Z174-ROUND(Y$6+IF(Y$5=$C174,$E$5+$E174,0),2),2)&lt;=AB174,ROUND(AA173+Z174-ROUND(Y$6+IF(Y$5=$C174,$E$5+$E174,0),2),2)*10&lt;=ROUND(Y$6+IF(Y$5=$C174,$E$5+$E174,0),2)),ROUND(AA173+Z174,2),MIN(ROUND(Y$6+IF(Y$5=$C174,$E$5+$E174,0),2),ROUND(AA173+Z174,2))),0)</f>
        <v>0</v>
      </c>
      <c r="Z174" s="24">
        <f>IF(AA173&gt;0,ROUND(ROUND(AA173*100,0)*ROUND(Y$7*10000,0)/12000000,0)/100,0)</f>
        <v>0</v>
      </c>
      <c r="AA174" s="24">
        <f>IF(AA173&gt;0,ROUND(AA173+Z174-Y174,2),0)</f>
        <v>0</v>
      </c>
      <c r="AB174" s="24">
        <f>IF(AA173&gt;0,ROUND(AB173+ROUND(ROUND(AB173*100,0)*ROUND(Y$7*10000,0)/12000000,0)/100+0.02,2),0)</f>
        <v>0</v>
      </c>
      <c r="AC174" s="24">
        <f>IF(AE173&gt;0,IF(AND(ROUND(AE173+AD174-ROUND(AC$6+IF(AC$5=$C174,$E$5+$E174,0),2),2)&gt;0,ROUND(AE173+AD174-ROUND(AC$6+IF(AC$5=$C174,$E$5+$E174,0),2),2)&lt;=AF174,ROUND(AE173+AD174-ROUND(AC$6+IF(AC$5=$C174,$E$5+$E174,0),2),2)*10&lt;=ROUND(AC$6+IF(AC$5=$C174,$E$5+$E174,0),2)),ROUND(AE173+AD174,2),MIN(ROUND(AC$6+IF(AC$5=$C174,$E$5+$E174,0),2),ROUND(AE173+AD174,2))),0)</f>
        <v>0</v>
      </c>
      <c r="AD174" s="24">
        <f>IF(AE173&gt;0,ROUND(ROUND(AE173*100,0)*ROUND(AC$7*10000,0)/12000000,0)/100,0)</f>
        <v>0</v>
      </c>
      <c r="AE174" s="24">
        <f>IF(AE173&gt;0,ROUND(AE173+AD174-AC174,2),0)</f>
        <v>0</v>
      </c>
      <c r="AF174" s="24">
        <f>IF(AE173&gt;0,ROUND(AF173+ROUND(ROUND(AF173*100,0)*ROUND(AC$7*10000,0)/12000000,0)/100+0.02,2),0)</f>
        <v>0</v>
      </c>
      <c r="AG174" s="24">
        <f>IF(AI173&gt;0,IF(AND(ROUND(AI173+AH174-ROUND(AG$6+IF(AG$5=$C174,$E$5+$E174,0),2),2)&gt;0,ROUND(AI173+AH174-ROUND(AG$6+IF(AG$5=$C174,$E$5+$E174,0),2),2)&lt;=AJ174,ROUND(AI173+AH174-ROUND(AG$6+IF(AG$5=$C174,$E$5+$E174,0),2),2)*10&lt;=ROUND(AG$6+IF(AG$5=$C174,$E$5+$E174,0),2)),ROUND(AI173+AH174,2),MIN(ROUND(AG$6+IF(AG$5=$C174,$E$5+$E174,0),2),ROUND(AI173+AH174,2))),0)</f>
        <v>0</v>
      </c>
      <c r="AH174" s="24">
        <f>IF(AI173&gt;0,ROUND(ROUND(AI173*100,0)*ROUND(AG$7*10000,0)/12000000,0)/100,0)</f>
        <v>0</v>
      </c>
      <c r="AI174" s="24">
        <f>IF(AI173&gt;0,ROUND(AI173+AH174-AG174,2),0)</f>
        <v>0</v>
      </c>
      <c r="AJ174" s="24">
        <f>IF(AI173&gt;0,ROUND(AJ173+ROUND(ROUND(AJ173*100,0)*ROUND(AG$7*10000,0)/12000000,0)/100+0.02,2),0)</f>
        <v>0</v>
      </c>
      <c r="AK174" s="24">
        <f>IF(AM173&gt;0,IF(AND(ROUND(AM173+AL174-ROUND(AK$6+IF(AK$5=$C174,$E$5+$E174,0),2),2)&gt;0,ROUND(AM173+AL174-ROUND(AK$6+IF(AK$5=$C174,$E$5+$E174,0),2),2)&lt;=AN174,ROUND(AM173+AL174-ROUND(AK$6+IF(AK$5=$C174,$E$5+$E174,0),2),2)*10&lt;=ROUND(AK$6+IF(AK$5=$C174,$E$5+$E174,0),2)),ROUND(AM173+AL174,2),MIN(ROUND(AK$6+IF(AK$5=$C174,$E$5+$E174,0),2),ROUND(AM173+AL174,2))),0)</f>
        <v>0</v>
      </c>
      <c r="AL174" s="24">
        <f>IF(AM173&gt;0,ROUND(ROUND(AM173*100,0)*ROUND(AK$7*10000,0)/12000000,0)/100,0)</f>
        <v>0</v>
      </c>
      <c r="AM174" s="24">
        <f>IF(AM173&gt;0,ROUND(AM173+AL174-AK174,2),0)</f>
        <v>0</v>
      </c>
      <c r="AN174" s="24">
        <f>IF(AM173&gt;0,ROUND(AN173+ROUND(ROUND(AN173*100,0)*ROUND(AK$7*10000,0)/12000000,0)/100+0.02,2),0)</f>
        <v>0</v>
      </c>
      <c r="AO174" s="24">
        <f>IF(AQ173&gt;0,IF(AND(ROUND(AQ173+AP174-ROUND(AO$6+IF(AO$5=$C174,$E$5+$E174,0),2),2)&gt;0,ROUND(AQ173+AP174-ROUND(AO$6+IF(AO$5=$C174,$E$5+$E174,0),2),2)&lt;=AR174,ROUND(AQ173+AP174-ROUND(AO$6+IF(AO$5=$C174,$E$5+$E174,0),2),2)*10&lt;=ROUND(AO$6+IF(AO$5=$C174,$E$5+$E174,0),2)),ROUND(AQ173+AP174,2),MIN(ROUND(AO$6+IF(AO$5=$C174,$E$5+$E174,0),2),ROUND(AQ173+AP174,2))),0)</f>
        <v>0</v>
      </c>
      <c r="AP174" s="24">
        <f>IF(AQ173&gt;0,ROUND(ROUND(AQ173*100,0)*ROUND(AO$7*10000,0)/12000000,0)/100,0)</f>
        <v>0</v>
      </c>
      <c r="AQ174" s="24">
        <f>IF(AQ173&gt;0,ROUND(AQ173+AP174-AO174,2),0)</f>
        <v>0</v>
      </c>
      <c r="AR174" s="24">
        <f>IF(AQ173&gt;0,ROUND(AR173+ROUND(ROUND(AR173*100,0)*ROUND(AO$7*10000,0)/12000000,0)/100+0.02,2),0)</f>
        <v>0</v>
      </c>
      <c r="AS174" s="24">
        <f>IF(AU173&gt;0,IF(AND(ROUND(AU173+AT174-ROUND(AS$6+IF(AS$5=$C174,$E$5+$E174,0),2),2)&gt;0,ROUND(AU173+AT174-ROUND(AS$6+IF(AS$5=$C174,$E$5+$E174,0),2),2)&lt;=AV174,ROUND(AU173+AT174-ROUND(AS$6+IF(AS$5=$C174,$E$5+$E174,0),2),2)*10&lt;=ROUND(AS$6+IF(AS$5=$C174,$E$5+$E174,0),2)),ROUND(AU173+AT174,2),MIN(ROUND(AS$6+IF(AS$5=$C174,$E$5+$E174,0),2),ROUND(AU173+AT174,2))),0)</f>
        <v>0</v>
      </c>
      <c r="AT174" s="24">
        <f>IF(AU173&gt;0,ROUND(ROUND(AU173*100,0)*ROUND(AS$7*10000,0)/12000000,0)/100,0)</f>
        <v>0</v>
      </c>
      <c r="AU174" s="24">
        <f>IF(AU173&gt;0,ROUND(AU173+AT174-AS174,2),0)</f>
        <v>0</v>
      </c>
      <c r="AV174" s="24">
        <f>IF(AU173&gt;0,ROUND(AV173+ROUND(ROUND(AV173*100,0)*ROUND(AS$7*10000,0)/12000000,0)/100+0.02,2),0)</f>
        <v>0</v>
      </c>
    </row>
    <row r="175" spans="1:48" x14ac:dyDescent="0.25">
      <c r="A175" s="17" t="str">
        <f>IF(F175&gt;0,165,"")</f>
        <v/>
      </c>
      <c r="B175" s="18" t="str">
        <f>IF(F175&gt;0,EDATE($E$6,165),"")</f>
        <v/>
      </c>
      <c r="C175" s="21">
        <f>IF(H174&gt;0,MIN(IF(K174&gt;0,I$5,99),IF(O174&gt;0,M$5,99),IF(S174&gt;0,Q$5,99),IF(W174&gt;0,U$5,99),IF(AA174&gt;0,Y$5,99),IF(AE174&gt;0,AC$5,99),IF(AI174&gt;0,AG$5,99),IF(AM174&gt;0,AK$5,99),IF(AQ174&gt;0,AO$5,99),IF(AU174&gt;0,AS$5,99)),0)</f>
        <v>0</v>
      </c>
      <c r="D175" t="str">
        <f>IF(C175&gt;0,INDEX($I$4:$AV$4,1,MATCH(C175,$I$5:$AV$5,0)),"")</f>
        <v/>
      </c>
      <c r="E175" s="24">
        <f>ROUND(IF(AND(I$8&gt;0,K174=0),I$6,0)+IF(AND(M$8&gt;0,O174=0),M$6,0)+IF(AND(Q$8&gt;0,S174=0),Q$6,0)+IF(AND(U$8&gt;0,W174=0),U$6,0)+IF(AND(Y$8&gt;0,AA174=0),Y$6,0)+IF(AND(AC$8&gt;0,AE174=0),AC$6,0)+IF(AND(AG$8&gt;0,AI174=0),AG$6,0)+IF(AND(AK$8&gt;0,AM174=0),AK$6,0)+IF(AND(AO$8&gt;0,AQ174=0),AO$6,0)+IF(AND(AS$8&gt;0,AU174=0),AS$6,0),2)</f>
        <v>325</v>
      </c>
      <c r="F175" s="24">
        <f>ROUND(I175+M175+Q175+U175+Y175+AC175+AG175+AK175+AO175+AS175,2)</f>
        <v>0</v>
      </c>
      <c r="G175" s="24">
        <f>ROUND(J175+N175+R175+V175+Z175+AD175+AH175+AL175+AP175+AT175,2)</f>
        <v>0</v>
      </c>
      <c r="H175" s="24">
        <f>ROUND(K175+O175+S175+W175+AA175+AE175+AI175+AM175+AQ175+AU175,2)</f>
        <v>0</v>
      </c>
      <c r="I175" s="24">
        <f>IF(K174&gt;0,IF(AND(ROUND(K174+J175-ROUND(I$6+IF(I$5=$C175,$E$5+$E175,0),2),2)&gt;0,ROUND(K174+J175-ROUND(I$6+IF(I$5=$C175,$E$5+$E175,0),2),2)&lt;=L175,ROUND(K174+J175-ROUND(I$6+IF(I$5=$C175,$E$5+$E175,0),2),2)*10&lt;=ROUND(I$6+IF(I$5=$C175,$E$5+$E175,0),2)),ROUND(K174+J175,2),MIN(ROUND(I$6+IF(I$5=$C175,$E$5+$E175,0),2),ROUND(K174+J175,2))),0)</f>
        <v>0</v>
      </c>
      <c r="J175" s="24">
        <f>IF(K174&gt;0,ROUND(ROUND(K174*100,0)*ROUND(I$7*10000,0)/12000000,0)/100,0)</f>
        <v>0</v>
      </c>
      <c r="K175" s="24">
        <f>IF(K174&gt;0,ROUND(K174+J175-I175,2),0)</f>
        <v>0</v>
      </c>
      <c r="L175" s="24">
        <f>IF(K174&gt;0,ROUND(L174+ROUND(ROUND(L174*100,0)*ROUND(I$7*10000,0)/12000000,0)/100+0.02,2),0)</f>
        <v>0</v>
      </c>
      <c r="M175" s="24">
        <f>IF(O174&gt;0,IF(AND(ROUND(O174+N175-ROUND(M$6+IF(M$5=$C175,$E$5+$E175,0),2),2)&gt;0,ROUND(O174+N175-ROUND(M$6+IF(M$5=$C175,$E$5+$E175,0),2),2)&lt;=P175,ROUND(O174+N175-ROUND(M$6+IF(M$5=$C175,$E$5+$E175,0),2),2)*10&lt;=ROUND(M$6+IF(M$5=$C175,$E$5+$E175,0),2)),ROUND(O174+N175,2),MIN(ROUND(M$6+IF(M$5=$C175,$E$5+$E175,0),2),ROUND(O174+N175,2))),0)</f>
        <v>0</v>
      </c>
      <c r="N175" s="24">
        <f>IF(O174&gt;0,ROUND(ROUND(O174*100,0)*ROUND(M$7*10000,0)/12000000,0)/100,0)</f>
        <v>0</v>
      </c>
      <c r="O175" s="24">
        <f>IF(O174&gt;0,ROUND(O174+N175-M175,2),0)</f>
        <v>0</v>
      </c>
      <c r="P175" s="24">
        <f>IF(O174&gt;0,ROUND(P174+ROUND(ROUND(P174*100,0)*ROUND(M$7*10000,0)/12000000,0)/100+0.02,2),0)</f>
        <v>0</v>
      </c>
      <c r="Q175" s="24">
        <f>IF(S174&gt;0,IF(AND(ROUND(S174+R175-ROUND(Q$6+IF(Q$5=$C175,$E$5+$E175,0),2),2)&gt;0,ROUND(S174+R175-ROUND(Q$6+IF(Q$5=$C175,$E$5+$E175,0),2),2)&lt;=T175,ROUND(S174+R175-ROUND(Q$6+IF(Q$5=$C175,$E$5+$E175,0),2),2)*10&lt;=ROUND(Q$6+IF(Q$5=$C175,$E$5+$E175,0),2)),ROUND(S174+R175,2),MIN(ROUND(Q$6+IF(Q$5=$C175,$E$5+$E175,0),2),ROUND(S174+R175,2))),0)</f>
        <v>0</v>
      </c>
      <c r="R175" s="24">
        <f>IF(S174&gt;0,ROUND(ROUND(S174*100,0)*ROUND(Q$7*10000,0)/12000000,0)/100,0)</f>
        <v>0</v>
      </c>
      <c r="S175" s="24">
        <f>IF(S174&gt;0,ROUND(S174+R175-Q175,2),0)</f>
        <v>0</v>
      </c>
      <c r="T175" s="24">
        <f>IF(S174&gt;0,ROUND(T174+ROUND(ROUND(T174*100,0)*ROUND(Q$7*10000,0)/12000000,0)/100+0.02,2),0)</f>
        <v>0</v>
      </c>
      <c r="U175" s="24">
        <f>IF(W174&gt;0,IF(AND(ROUND(W174+V175-ROUND(U$6+IF(U$5=$C175,$E$5+$E175,0),2),2)&gt;0,ROUND(W174+V175-ROUND(U$6+IF(U$5=$C175,$E$5+$E175,0),2),2)&lt;=X175,ROUND(W174+V175-ROUND(U$6+IF(U$5=$C175,$E$5+$E175,0),2),2)*10&lt;=ROUND(U$6+IF(U$5=$C175,$E$5+$E175,0),2)),ROUND(W174+V175,2),MIN(ROUND(U$6+IF(U$5=$C175,$E$5+$E175,0),2),ROUND(W174+V175,2))),0)</f>
        <v>0</v>
      </c>
      <c r="V175" s="24">
        <f>IF(W174&gt;0,ROUND(ROUND(W174*100,0)*ROUND(U$7*10000,0)/12000000,0)/100,0)</f>
        <v>0</v>
      </c>
      <c r="W175" s="24">
        <f>IF(W174&gt;0,ROUND(W174+V175-U175,2),0)</f>
        <v>0</v>
      </c>
      <c r="X175" s="24">
        <f>IF(W174&gt;0,ROUND(X174+ROUND(ROUND(X174*100,0)*ROUND(U$7*10000,0)/12000000,0)/100+0.02,2),0)</f>
        <v>0</v>
      </c>
      <c r="Y175" s="24">
        <f>IF(AA174&gt;0,IF(AND(ROUND(AA174+Z175-ROUND(Y$6+IF(Y$5=$C175,$E$5+$E175,0),2),2)&gt;0,ROUND(AA174+Z175-ROUND(Y$6+IF(Y$5=$C175,$E$5+$E175,0),2),2)&lt;=AB175,ROUND(AA174+Z175-ROUND(Y$6+IF(Y$5=$C175,$E$5+$E175,0),2),2)*10&lt;=ROUND(Y$6+IF(Y$5=$C175,$E$5+$E175,0),2)),ROUND(AA174+Z175,2),MIN(ROUND(Y$6+IF(Y$5=$C175,$E$5+$E175,0),2),ROUND(AA174+Z175,2))),0)</f>
        <v>0</v>
      </c>
      <c r="Z175" s="24">
        <f>IF(AA174&gt;0,ROUND(ROUND(AA174*100,0)*ROUND(Y$7*10000,0)/12000000,0)/100,0)</f>
        <v>0</v>
      </c>
      <c r="AA175" s="24">
        <f>IF(AA174&gt;0,ROUND(AA174+Z175-Y175,2),0)</f>
        <v>0</v>
      </c>
      <c r="AB175" s="24">
        <f>IF(AA174&gt;0,ROUND(AB174+ROUND(ROUND(AB174*100,0)*ROUND(Y$7*10000,0)/12000000,0)/100+0.02,2),0)</f>
        <v>0</v>
      </c>
      <c r="AC175" s="24">
        <f>IF(AE174&gt;0,IF(AND(ROUND(AE174+AD175-ROUND(AC$6+IF(AC$5=$C175,$E$5+$E175,0),2),2)&gt;0,ROUND(AE174+AD175-ROUND(AC$6+IF(AC$5=$C175,$E$5+$E175,0),2),2)&lt;=AF175,ROUND(AE174+AD175-ROUND(AC$6+IF(AC$5=$C175,$E$5+$E175,0),2),2)*10&lt;=ROUND(AC$6+IF(AC$5=$C175,$E$5+$E175,0),2)),ROUND(AE174+AD175,2),MIN(ROUND(AC$6+IF(AC$5=$C175,$E$5+$E175,0),2),ROUND(AE174+AD175,2))),0)</f>
        <v>0</v>
      </c>
      <c r="AD175" s="24">
        <f>IF(AE174&gt;0,ROUND(ROUND(AE174*100,0)*ROUND(AC$7*10000,0)/12000000,0)/100,0)</f>
        <v>0</v>
      </c>
      <c r="AE175" s="24">
        <f>IF(AE174&gt;0,ROUND(AE174+AD175-AC175,2),0)</f>
        <v>0</v>
      </c>
      <c r="AF175" s="24">
        <f>IF(AE174&gt;0,ROUND(AF174+ROUND(ROUND(AF174*100,0)*ROUND(AC$7*10000,0)/12000000,0)/100+0.02,2),0)</f>
        <v>0</v>
      </c>
      <c r="AG175" s="24">
        <f>IF(AI174&gt;0,IF(AND(ROUND(AI174+AH175-ROUND(AG$6+IF(AG$5=$C175,$E$5+$E175,0),2),2)&gt;0,ROUND(AI174+AH175-ROUND(AG$6+IF(AG$5=$C175,$E$5+$E175,0),2),2)&lt;=AJ175,ROUND(AI174+AH175-ROUND(AG$6+IF(AG$5=$C175,$E$5+$E175,0),2),2)*10&lt;=ROUND(AG$6+IF(AG$5=$C175,$E$5+$E175,0),2)),ROUND(AI174+AH175,2),MIN(ROUND(AG$6+IF(AG$5=$C175,$E$5+$E175,0),2),ROUND(AI174+AH175,2))),0)</f>
        <v>0</v>
      </c>
      <c r="AH175" s="24">
        <f>IF(AI174&gt;0,ROUND(ROUND(AI174*100,0)*ROUND(AG$7*10000,0)/12000000,0)/100,0)</f>
        <v>0</v>
      </c>
      <c r="AI175" s="24">
        <f>IF(AI174&gt;0,ROUND(AI174+AH175-AG175,2),0)</f>
        <v>0</v>
      </c>
      <c r="AJ175" s="24">
        <f>IF(AI174&gt;0,ROUND(AJ174+ROUND(ROUND(AJ174*100,0)*ROUND(AG$7*10000,0)/12000000,0)/100+0.02,2),0)</f>
        <v>0</v>
      </c>
      <c r="AK175" s="24">
        <f>IF(AM174&gt;0,IF(AND(ROUND(AM174+AL175-ROUND(AK$6+IF(AK$5=$C175,$E$5+$E175,0),2),2)&gt;0,ROUND(AM174+AL175-ROUND(AK$6+IF(AK$5=$C175,$E$5+$E175,0),2),2)&lt;=AN175,ROUND(AM174+AL175-ROUND(AK$6+IF(AK$5=$C175,$E$5+$E175,0),2),2)*10&lt;=ROUND(AK$6+IF(AK$5=$C175,$E$5+$E175,0),2)),ROUND(AM174+AL175,2),MIN(ROUND(AK$6+IF(AK$5=$C175,$E$5+$E175,0),2),ROUND(AM174+AL175,2))),0)</f>
        <v>0</v>
      </c>
      <c r="AL175" s="24">
        <f>IF(AM174&gt;0,ROUND(ROUND(AM174*100,0)*ROUND(AK$7*10000,0)/12000000,0)/100,0)</f>
        <v>0</v>
      </c>
      <c r="AM175" s="24">
        <f>IF(AM174&gt;0,ROUND(AM174+AL175-AK175,2),0)</f>
        <v>0</v>
      </c>
      <c r="AN175" s="24">
        <f>IF(AM174&gt;0,ROUND(AN174+ROUND(ROUND(AN174*100,0)*ROUND(AK$7*10000,0)/12000000,0)/100+0.02,2),0)</f>
        <v>0</v>
      </c>
      <c r="AO175" s="24">
        <f>IF(AQ174&gt;0,IF(AND(ROUND(AQ174+AP175-ROUND(AO$6+IF(AO$5=$C175,$E$5+$E175,0),2),2)&gt;0,ROUND(AQ174+AP175-ROUND(AO$6+IF(AO$5=$C175,$E$5+$E175,0),2),2)&lt;=AR175,ROUND(AQ174+AP175-ROUND(AO$6+IF(AO$5=$C175,$E$5+$E175,0),2),2)*10&lt;=ROUND(AO$6+IF(AO$5=$C175,$E$5+$E175,0),2)),ROUND(AQ174+AP175,2),MIN(ROUND(AO$6+IF(AO$5=$C175,$E$5+$E175,0),2),ROUND(AQ174+AP175,2))),0)</f>
        <v>0</v>
      </c>
      <c r="AP175" s="24">
        <f>IF(AQ174&gt;0,ROUND(ROUND(AQ174*100,0)*ROUND(AO$7*10000,0)/12000000,0)/100,0)</f>
        <v>0</v>
      </c>
      <c r="AQ175" s="24">
        <f>IF(AQ174&gt;0,ROUND(AQ174+AP175-AO175,2),0)</f>
        <v>0</v>
      </c>
      <c r="AR175" s="24">
        <f>IF(AQ174&gt;0,ROUND(AR174+ROUND(ROUND(AR174*100,0)*ROUND(AO$7*10000,0)/12000000,0)/100+0.02,2),0)</f>
        <v>0</v>
      </c>
      <c r="AS175" s="24">
        <f>IF(AU174&gt;0,IF(AND(ROUND(AU174+AT175-ROUND(AS$6+IF(AS$5=$C175,$E$5+$E175,0),2),2)&gt;0,ROUND(AU174+AT175-ROUND(AS$6+IF(AS$5=$C175,$E$5+$E175,0),2),2)&lt;=AV175,ROUND(AU174+AT175-ROUND(AS$6+IF(AS$5=$C175,$E$5+$E175,0),2),2)*10&lt;=ROUND(AS$6+IF(AS$5=$C175,$E$5+$E175,0),2)),ROUND(AU174+AT175,2),MIN(ROUND(AS$6+IF(AS$5=$C175,$E$5+$E175,0),2),ROUND(AU174+AT175,2))),0)</f>
        <v>0</v>
      </c>
      <c r="AT175" s="24">
        <f>IF(AU174&gt;0,ROUND(ROUND(AU174*100,0)*ROUND(AS$7*10000,0)/12000000,0)/100,0)</f>
        <v>0</v>
      </c>
      <c r="AU175" s="24">
        <f>IF(AU174&gt;0,ROUND(AU174+AT175-AS175,2),0)</f>
        <v>0</v>
      </c>
      <c r="AV175" s="24">
        <f>IF(AU174&gt;0,ROUND(AV174+ROUND(ROUND(AV174*100,0)*ROUND(AS$7*10000,0)/12000000,0)/100+0.02,2),0)</f>
        <v>0</v>
      </c>
    </row>
    <row r="176" spans="1:48" x14ac:dyDescent="0.25">
      <c r="A176" s="17" t="str">
        <f>IF(F176&gt;0,166,"")</f>
        <v/>
      </c>
      <c r="B176" s="18" t="str">
        <f>IF(F176&gt;0,EDATE($E$6,166),"")</f>
        <v/>
      </c>
      <c r="C176" s="21">
        <f>IF(H175&gt;0,MIN(IF(K175&gt;0,I$5,99),IF(O175&gt;0,M$5,99),IF(S175&gt;0,Q$5,99),IF(W175&gt;0,U$5,99),IF(AA175&gt;0,Y$5,99),IF(AE175&gt;0,AC$5,99),IF(AI175&gt;0,AG$5,99),IF(AM175&gt;0,AK$5,99),IF(AQ175&gt;0,AO$5,99),IF(AU175&gt;0,AS$5,99)),0)</f>
        <v>0</v>
      </c>
      <c r="D176" t="str">
        <f>IF(C176&gt;0,INDEX($I$4:$AV$4,1,MATCH(C176,$I$5:$AV$5,0)),"")</f>
        <v/>
      </c>
      <c r="E176" s="24">
        <f>ROUND(IF(AND(I$8&gt;0,K175=0),I$6,0)+IF(AND(M$8&gt;0,O175=0),M$6,0)+IF(AND(Q$8&gt;0,S175=0),Q$6,0)+IF(AND(U$8&gt;0,W175=0),U$6,0)+IF(AND(Y$8&gt;0,AA175=0),Y$6,0)+IF(AND(AC$8&gt;0,AE175=0),AC$6,0)+IF(AND(AG$8&gt;0,AI175=0),AG$6,0)+IF(AND(AK$8&gt;0,AM175=0),AK$6,0)+IF(AND(AO$8&gt;0,AQ175=0),AO$6,0)+IF(AND(AS$8&gt;0,AU175=0),AS$6,0),2)</f>
        <v>325</v>
      </c>
      <c r="F176" s="24">
        <f>ROUND(I176+M176+Q176+U176+Y176+AC176+AG176+AK176+AO176+AS176,2)</f>
        <v>0</v>
      </c>
      <c r="G176" s="24">
        <f>ROUND(J176+N176+R176+V176+Z176+AD176+AH176+AL176+AP176+AT176,2)</f>
        <v>0</v>
      </c>
      <c r="H176" s="24">
        <f>ROUND(K176+O176+S176+W176+AA176+AE176+AI176+AM176+AQ176+AU176,2)</f>
        <v>0</v>
      </c>
      <c r="I176" s="24">
        <f>IF(K175&gt;0,IF(AND(ROUND(K175+J176-ROUND(I$6+IF(I$5=$C176,$E$5+$E176,0),2),2)&gt;0,ROUND(K175+J176-ROUND(I$6+IF(I$5=$C176,$E$5+$E176,0),2),2)&lt;=L176,ROUND(K175+J176-ROUND(I$6+IF(I$5=$C176,$E$5+$E176,0),2),2)*10&lt;=ROUND(I$6+IF(I$5=$C176,$E$5+$E176,0),2)),ROUND(K175+J176,2),MIN(ROUND(I$6+IF(I$5=$C176,$E$5+$E176,0),2),ROUND(K175+J176,2))),0)</f>
        <v>0</v>
      </c>
      <c r="J176" s="24">
        <f>IF(K175&gt;0,ROUND(ROUND(K175*100,0)*ROUND(I$7*10000,0)/12000000,0)/100,0)</f>
        <v>0</v>
      </c>
      <c r="K176" s="24">
        <f>IF(K175&gt;0,ROUND(K175+J176-I176,2),0)</f>
        <v>0</v>
      </c>
      <c r="L176" s="24">
        <f>IF(K175&gt;0,ROUND(L175+ROUND(ROUND(L175*100,0)*ROUND(I$7*10000,0)/12000000,0)/100+0.02,2),0)</f>
        <v>0</v>
      </c>
      <c r="M176" s="24">
        <f>IF(O175&gt;0,IF(AND(ROUND(O175+N176-ROUND(M$6+IF(M$5=$C176,$E$5+$E176,0),2),2)&gt;0,ROUND(O175+N176-ROUND(M$6+IF(M$5=$C176,$E$5+$E176,0),2),2)&lt;=P176,ROUND(O175+N176-ROUND(M$6+IF(M$5=$C176,$E$5+$E176,0),2),2)*10&lt;=ROUND(M$6+IF(M$5=$C176,$E$5+$E176,0),2)),ROUND(O175+N176,2),MIN(ROUND(M$6+IF(M$5=$C176,$E$5+$E176,0),2),ROUND(O175+N176,2))),0)</f>
        <v>0</v>
      </c>
      <c r="N176" s="24">
        <f>IF(O175&gt;0,ROUND(ROUND(O175*100,0)*ROUND(M$7*10000,0)/12000000,0)/100,0)</f>
        <v>0</v>
      </c>
      <c r="O176" s="24">
        <f>IF(O175&gt;0,ROUND(O175+N176-M176,2),0)</f>
        <v>0</v>
      </c>
      <c r="P176" s="24">
        <f>IF(O175&gt;0,ROUND(P175+ROUND(ROUND(P175*100,0)*ROUND(M$7*10000,0)/12000000,0)/100+0.02,2),0)</f>
        <v>0</v>
      </c>
      <c r="Q176" s="24">
        <f>IF(S175&gt;0,IF(AND(ROUND(S175+R176-ROUND(Q$6+IF(Q$5=$C176,$E$5+$E176,0),2),2)&gt;0,ROUND(S175+R176-ROUND(Q$6+IF(Q$5=$C176,$E$5+$E176,0),2),2)&lt;=T176,ROUND(S175+R176-ROUND(Q$6+IF(Q$5=$C176,$E$5+$E176,0),2),2)*10&lt;=ROUND(Q$6+IF(Q$5=$C176,$E$5+$E176,0),2)),ROUND(S175+R176,2),MIN(ROUND(Q$6+IF(Q$5=$C176,$E$5+$E176,0),2),ROUND(S175+R176,2))),0)</f>
        <v>0</v>
      </c>
      <c r="R176" s="24">
        <f>IF(S175&gt;0,ROUND(ROUND(S175*100,0)*ROUND(Q$7*10000,0)/12000000,0)/100,0)</f>
        <v>0</v>
      </c>
      <c r="S176" s="24">
        <f>IF(S175&gt;0,ROUND(S175+R176-Q176,2),0)</f>
        <v>0</v>
      </c>
      <c r="T176" s="24">
        <f>IF(S175&gt;0,ROUND(T175+ROUND(ROUND(T175*100,0)*ROUND(Q$7*10000,0)/12000000,0)/100+0.02,2),0)</f>
        <v>0</v>
      </c>
      <c r="U176" s="24">
        <f>IF(W175&gt;0,IF(AND(ROUND(W175+V176-ROUND(U$6+IF(U$5=$C176,$E$5+$E176,0),2),2)&gt;0,ROUND(W175+V176-ROUND(U$6+IF(U$5=$C176,$E$5+$E176,0),2),2)&lt;=X176,ROUND(W175+V176-ROUND(U$6+IF(U$5=$C176,$E$5+$E176,0),2),2)*10&lt;=ROUND(U$6+IF(U$5=$C176,$E$5+$E176,0),2)),ROUND(W175+V176,2),MIN(ROUND(U$6+IF(U$5=$C176,$E$5+$E176,0),2),ROUND(W175+V176,2))),0)</f>
        <v>0</v>
      </c>
      <c r="V176" s="24">
        <f>IF(W175&gt;0,ROUND(ROUND(W175*100,0)*ROUND(U$7*10000,0)/12000000,0)/100,0)</f>
        <v>0</v>
      </c>
      <c r="W176" s="24">
        <f>IF(W175&gt;0,ROUND(W175+V176-U176,2),0)</f>
        <v>0</v>
      </c>
      <c r="X176" s="24">
        <f>IF(W175&gt;0,ROUND(X175+ROUND(ROUND(X175*100,0)*ROUND(U$7*10000,0)/12000000,0)/100+0.02,2),0)</f>
        <v>0</v>
      </c>
      <c r="Y176" s="24">
        <f>IF(AA175&gt;0,IF(AND(ROUND(AA175+Z176-ROUND(Y$6+IF(Y$5=$C176,$E$5+$E176,0),2),2)&gt;0,ROUND(AA175+Z176-ROUND(Y$6+IF(Y$5=$C176,$E$5+$E176,0),2),2)&lt;=AB176,ROUND(AA175+Z176-ROUND(Y$6+IF(Y$5=$C176,$E$5+$E176,0),2),2)*10&lt;=ROUND(Y$6+IF(Y$5=$C176,$E$5+$E176,0),2)),ROUND(AA175+Z176,2),MIN(ROUND(Y$6+IF(Y$5=$C176,$E$5+$E176,0),2),ROUND(AA175+Z176,2))),0)</f>
        <v>0</v>
      </c>
      <c r="Z176" s="24">
        <f>IF(AA175&gt;0,ROUND(ROUND(AA175*100,0)*ROUND(Y$7*10000,0)/12000000,0)/100,0)</f>
        <v>0</v>
      </c>
      <c r="AA176" s="24">
        <f>IF(AA175&gt;0,ROUND(AA175+Z176-Y176,2),0)</f>
        <v>0</v>
      </c>
      <c r="AB176" s="24">
        <f>IF(AA175&gt;0,ROUND(AB175+ROUND(ROUND(AB175*100,0)*ROUND(Y$7*10000,0)/12000000,0)/100+0.02,2),0)</f>
        <v>0</v>
      </c>
      <c r="AC176" s="24">
        <f>IF(AE175&gt;0,IF(AND(ROUND(AE175+AD176-ROUND(AC$6+IF(AC$5=$C176,$E$5+$E176,0),2),2)&gt;0,ROUND(AE175+AD176-ROUND(AC$6+IF(AC$5=$C176,$E$5+$E176,0),2),2)&lt;=AF176,ROUND(AE175+AD176-ROUND(AC$6+IF(AC$5=$C176,$E$5+$E176,0),2),2)*10&lt;=ROUND(AC$6+IF(AC$5=$C176,$E$5+$E176,0),2)),ROUND(AE175+AD176,2),MIN(ROUND(AC$6+IF(AC$5=$C176,$E$5+$E176,0),2),ROUND(AE175+AD176,2))),0)</f>
        <v>0</v>
      </c>
      <c r="AD176" s="24">
        <f>IF(AE175&gt;0,ROUND(ROUND(AE175*100,0)*ROUND(AC$7*10000,0)/12000000,0)/100,0)</f>
        <v>0</v>
      </c>
      <c r="AE176" s="24">
        <f>IF(AE175&gt;0,ROUND(AE175+AD176-AC176,2),0)</f>
        <v>0</v>
      </c>
      <c r="AF176" s="24">
        <f>IF(AE175&gt;0,ROUND(AF175+ROUND(ROUND(AF175*100,0)*ROUND(AC$7*10000,0)/12000000,0)/100+0.02,2),0)</f>
        <v>0</v>
      </c>
      <c r="AG176" s="24">
        <f>IF(AI175&gt;0,IF(AND(ROUND(AI175+AH176-ROUND(AG$6+IF(AG$5=$C176,$E$5+$E176,0),2),2)&gt;0,ROUND(AI175+AH176-ROUND(AG$6+IF(AG$5=$C176,$E$5+$E176,0),2),2)&lt;=AJ176,ROUND(AI175+AH176-ROUND(AG$6+IF(AG$5=$C176,$E$5+$E176,0),2),2)*10&lt;=ROUND(AG$6+IF(AG$5=$C176,$E$5+$E176,0),2)),ROUND(AI175+AH176,2),MIN(ROUND(AG$6+IF(AG$5=$C176,$E$5+$E176,0),2),ROUND(AI175+AH176,2))),0)</f>
        <v>0</v>
      </c>
      <c r="AH176" s="24">
        <f>IF(AI175&gt;0,ROUND(ROUND(AI175*100,0)*ROUND(AG$7*10000,0)/12000000,0)/100,0)</f>
        <v>0</v>
      </c>
      <c r="AI176" s="24">
        <f>IF(AI175&gt;0,ROUND(AI175+AH176-AG176,2),0)</f>
        <v>0</v>
      </c>
      <c r="AJ176" s="24">
        <f>IF(AI175&gt;0,ROUND(AJ175+ROUND(ROUND(AJ175*100,0)*ROUND(AG$7*10000,0)/12000000,0)/100+0.02,2),0)</f>
        <v>0</v>
      </c>
      <c r="AK176" s="24">
        <f>IF(AM175&gt;0,IF(AND(ROUND(AM175+AL176-ROUND(AK$6+IF(AK$5=$C176,$E$5+$E176,0),2),2)&gt;0,ROUND(AM175+AL176-ROUND(AK$6+IF(AK$5=$C176,$E$5+$E176,0),2),2)&lt;=AN176,ROUND(AM175+AL176-ROUND(AK$6+IF(AK$5=$C176,$E$5+$E176,0),2),2)*10&lt;=ROUND(AK$6+IF(AK$5=$C176,$E$5+$E176,0),2)),ROUND(AM175+AL176,2),MIN(ROUND(AK$6+IF(AK$5=$C176,$E$5+$E176,0),2),ROUND(AM175+AL176,2))),0)</f>
        <v>0</v>
      </c>
      <c r="AL176" s="24">
        <f>IF(AM175&gt;0,ROUND(ROUND(AM175*100,0)*ROUND(AK$7*10000,0)/12000000,0)/100,0)</f>
        <v>0</v>
      </c>
      <c r="AM176" s="24">
        <f>IF(AM175&gt;0,ROUND(AM175+AL176-AK176,2),0)</f>
        <v>0</v>
      </c>
      <c r="AN176" s="24">
        <f>IF(AM175&gt;0,ROUND(AN175+ROUND(ROUND(AN175*100,0)*ROUND(AK$7*10000,0)/12000000,0)/100+0.02,2),0)</f>
        <v>0</v>
      </c>
      <c r="AO176" s="24">
        <f>IF(AQ175&gt;0,IF(AND(ROUND(AQ175+AP176-ROUND(AO$6+IF(AO$5=$C176,$E$5+$E176,0),2),2)&gt;0,ROUND(AQ175+AP176-ROUND(AO$6+IF(AO$5=$C176,$E$5+$E176,0),2),2)&lt;=AR176,ROUND(AQ175+AP176-ROUND(AO$6+IF(AO$5=$C176,$E$5+$E176,0),2),2)*10&lt;=ROUND(AO$6+IF(AO$5=$C176,$E$5+$E176,0),2)),ROUND(AQ175+AP176,2),MIN(ROUND(AO$6+IF(AO$5=$C176,$E$5+$E176,0),2),ROUND(AQ175+AP176,2))),0)</f>
        <v>0</v>
      </c>
      <c r="AP176" s="24">
        <f>IF(AQ175&gt;0,ROUND(ROUND(AQ175*100,0)*ROUND(AO$7*10000,0)/12000000,0)/100,0)</f>
        <v>0</v>
      </c>
      <c r="AQ176" s="24">
        <f>IF(AQ175&gt;0,ROUND(AQ175+AP176-AO176,2),0)</f>
        <v>0</v>
      </c>
      <c r="AR176" s="24">
        <f>IF(AQ175&gt;0,ROUND(AR175+ROUND(ROUND(AR175*100,0)*ROUND(AO$7*10000,0)/12000000,0)/100+0.02,2),0)</f>
        <v>0</v>
      </c>
      <c r="AS176" s="24">
        <f>IF(AU175&gt;0,IF(AND(ROUND(AU175+AT176-ROUND(AS$6+IF(AS$5=$C176,$E$5+$E176,0),2),2)&gt;0,ROUND(AU175+AT176-ROUND(AS$6+IF(AS$5=$C176,$E$5+$E176,0),2),2)&lt;=AV176,ROUND(AU175+AT176-ROUND(AS$6+IF(AS$5=$C176,$E$5+$E176,0),2),2)*10&lt;=ROUND(AS$6+IF(AS$5=$C176,$E$5+$E176,0),2)),ROUND(AU175+AT176,2),MIN(ROUND(AS$6+IF(AS$5=$C176,$E$5+$E176,0),2),ROUND(AU175+AT176,2))),0)</f>
        <v>0</v>
      </c>
      <c r="AT176" s="24">
        <f>IF(AU175&gt;0,ROUND(ROUND(AU175*100,0)*ROUND(AS$7*10000,0)/12000000,0)/100,0)</f>
        <v>0</v>
      </c>
      <c r="AU176" s="24">
        <f>IF(AU175&gt;0,ROUND(AU175+AT176-AS176,2),0)</f>
        <v>0</v>
      </c>
      <c r="AV176" s="24">
        <f>IF(AU175&gt;0,ROUND(AV175+ROUND(ROUND(AV175*100,0)*ROUND(AS$7*10000,0)/12000000,0)/100+0.02,2),0)</f>
        <v>0</v>
      </c>
    </row>
    <row r="177" spans="1:48" x14ac:dyDescent="0.25">
      <c r="A177" s="17" t="str">
        <f>IF(F177&gt;0,167,"")</f>
        <v/>
      </c>
      <c r="B177" s="18" t="str">
        <f>IF(F177&gt;0,EDATE($E$6,167),"")</f>
        <v/>
      </c>
      <c r="C177" s="21">
        <f>IF(H176&gt;0,MIN(IF(K176&gt;0,I$5,99),IF(O176&gt;0,M$5,99),IF(S176&gt;0,Q$5,99),IF(W176&gt;0,U$5,99),IF(AA176&gt;0,Y$5,99),IF(AE176&gt;0,AC$5,99),IF(AI176&gt;0,AG$5,99),IF(AM176&gt;0,AK$5,99),IF(AQ176&gt;0,AO$5,99),IF(AU176&gt;0,AS$5,99)),0)</f>
        <v>0</v>
      </c>
      <c r="D177" t="str">
        <f>IF(C177&gt;0,INDEX($I$4:$AV$4,1,MATCH(C177,$I$5:$AV$5,0)),"")</f>
        <v/>
      </c>
      <c r="E177" s="24">
        <f>ROUND(IF(AND(I$8&gt;0,K176=0),I$6,0)+IF(AND(M$8&gt;0,O176=0),M$6,0)+IF(AND(Q$8&gt;0,S176=0),Q$6,0)+IF(AND(U$8&gt;0,W176=0),U$6,0)+IF(AND(Y$8&gt;0,AA176=0),Y$6,0)+IF(AND(AC$8&gt;0,AE176=0),AC$6,0)+IF(AND(AG$8&gt;0,AI176=0),AG$6,0)+IF(AND(AK$8&gt;0,AM176=0),AK$6,0)+IF(AND(AO$8&gt;0,AQ176=0),AO$6,0)+IF(AND(AS$8&gt;0,AU176=0),AS$6,0),2)</f>
        <v>325</v>
      </c>
      <c r="F177" s="24">
        <f>ROUND(I177+M177+Q177+U177+Y177+AC177+AG177+AK177+AO177+AS177,2)</f>
        <v>0</v>
      </c>
      <c r="G177" s="24">
        <f>ROUND(J177+N177+R177+V177+Z177+AD177+AH177+AL177+AP177+AT177,2)</f>
        <v>0</v>
      </c>
      <c r="H177" s="24">
        <f>ROUND(K177+O177+S177+W177+AA177+AE177+AI177+AM177+AQ177+AU177,2)</f>
        <v>0</v>
      </c>
      <c r="I177" s="24">
        <f>IF(K176&gt;0,IF(AND(ROUND(K176+J177-ROUND(I$6+IF(I$5=$C177,$E$5+$E177,0),2),2)&gt;0,ROUND(K176+J177-ROUND(I$6+IF(I$5=$C177,$E$5+$E177,0),2),2)&lt;=L177,ROUND(K176+J177-ROUND(I$6+IF(I$5=$C177,$E$5+$E177,0),2),2)*10&lt;=ROUND(I$6+IF(I$5=$C177,$E$5+$E177,0),2)),ROUND(K176+J177,2),MIN(ROUND(I$6+IF(I$5=$C177,$E$5+$E177,0),2),ROUND(K176+J177,2))),0)</f>
        <v>0</v>
      </c>
      <c r="J177" s="24">
        <f>IF(K176&gt;0,ROUND(ROUND(K176*100,0)*ROUND(I$7*10000,0)/12000000,0)/100,0)</f>
        <v>0</v>
      </c>
      <c r="K177" s="24">
        <f>IF(K176&gt;0,ROUND(K176+J177-I177,2),0)</f>
        <v>0</v>
      </c>
      <c r="L177" s="24">
        <f>IF(K176&gt;0,ROUND(L176+ROUND(ROUND(L176*100,0)*ROUND(I$7*10000,0)/12000000,0)/100+0.02,2),0)</f>
        <v>0</v>
      </c>
      <c r="M177" s="24">
        <f>IF(O176&gt;0,IF(AND(ROUND(O176+N177-ROUND(M$6+IF(M$5=$C177,$E$5+$E177,0),2),2)&gt;0,ROUND(O176+N177-ROUND(M$6+IF(M$5=$C177,$E$5+$E177,0),2),2)&lt;=P177,ROUND(O176+N177-ROUND(M$6+IF(M$5=$C177,$E$5+$E177,0),2),2)*10&lt;=ROUND(M$6+IF(M$5=$C177,$E$5+$E177,0),2)),ROUND(O176+N177,2),MIN(ROUND(M$6+IF(M$5=$C177,$E$5+$E177,0),2),ROUND(O176+N177,2))),0)</f>
        <v>0</v>
      </c>
      <c r="N177" s="24">
        <f>IF(O176&gt;0,ROUND(ROUND(O176*100,0)*ROUND(M$7*10000,0)/12000000,0)/100,0)</f>
        <v>0</v>
      </c>
      <c r="O177" s="24">
        <f>IF(O176&gt;0,ROUND(O176+N177-M177,2),0)</f>
        <v>0</v>
      </c>
      <c r="P177" s="24">
        <f>IF(O176&gt;0,ROUND(P176+ROUND(ROUND(P176*100,0)*ROUND(M$7*10000,0)/12000000,0)/100+0.02,2),0)</f>
        <v>0</v>
      </c>
      <c r="Q177" s="24">
        <f>IF(S176&gt;0,IF(AND(ROUND(S176+R177-ROUND(Q$6+IF(Q$5=$C177,$E$5+$E177,0),2),2)&gt;0,ROUND(S176+R177-ROUND(Q$6+IF(Q$5=$C177,$E$5+$E177,0),2),2)&lt;=T177,ROUND(S176+R177-ROUND(Q$6+IF(Q$5=$C177,$E$5+$E177,0),2),2)*10&lt;=ROUND(Q$6+IF(Q$5=$C177,$E$5+$E177,0),2)),ROUND(S176+R177,2),MIN(ROUND(Q$6+IF(Q$5=$C177,$E$5+$E177,0),2),ROUND(S176+R177,2))),0)</f>
        <v>0</v>
      </c>
      <c r="R177" s="24">
        <f>IF(S176&gt;0,ROUND(ROUND(S176*100,0)*ROUND(Q$7*10000,0)/12000000,0)/100,0)</f>
        <v>0</v>
      </c>
      <c r="S177" s="24">
        <f>IF(S176&gt;0,ROUND(S176+R177-Q177,2),0)</f>
        <v>0</v>
      </c>
      <c r="T177" s="24">
        <f>IF(S176&gt;0,ROUND(T176+ROUND(ROUND(T176*100,0)*ROUND(Q$7*10000,0)/12000000,0)/100+0.02,2),0)</f>
        <v>0</v>
      </c>
      <c r="U177" s="24">
        <f>IF(W176&gt;0,IF(AND(ROUND(W176+V177-ROUND(U$6+IF(U$5=$C177,$E$5+$E177,0),2),2)&gt;0,ROUND(W176+V177-ROUND(U$6+IF(U$5=$C177,$E$5+$E177,0),2),2)&lt;=X177,ROUND(W176+V177-ROUND(U$6+IF(U$5=$C177,$E$5+$E177,0),2),2)*10&lt;=ROUND(U$6+IF(U$5=$C177,$E$5+$E177,0),2)),ROUND(W176+V177,2),MIN(ROUND(U$6+IF(U$5=$C177,$E$5+$E177,0),2),ROUND(W176+V177,2))),0)</f>
        <v>0</v>
      </c>
      <c r="V177" s="24">
        <f>IF(W176&gt;0,ROUND(ROUND(W176*100,0)*ROUND(U$7*10000,0)/12000000,0)/100,0)</f>
        <v>0</v>
      </c>
      <c r="W177" s="24">
        <f>IF(W176&gt;0,ROUND(W176+V177-U177,2),0)</f>
        <v>0</v>
      </c>
      <c r="X177" s="24">
        <f>IF(W176&gt;0,ROUND(X176+ROUND(ROUND(X176*100,0)*ROUND(U$7*10000,0)/12000000,0)/100+0.02,2),0)</f>
        <v>0</v>
      </c>
      <c r="Y177" s="24">
        <f>IF(AA176&gt;0,IF(AND(ROUND(AA176+Z177-ROUND(Y$6+IF(Y$5=$C177,$E$5+$E177,0),2),2)&gt;0,ROUND(AA176+Z177-ROUND(Y$6+IF(Y$5=$C177,$E$5+$E177,0),2),2)&lt;=AB177,ROUND(AA176+Z177-ROUND(Y$6+IF(Y$5=$C177,$E$5+$E177,0),2),2)*10&lt;=ROUND(Y$6+IF(Y$5=$C177,$E$5+$E177,0),2)),ROUND(AA176+Z177,2),MIN(ROUND(Y$6+IF(Y$5=$C177,$E$5+$E177,0),2),ROUND(AA176+Z177,2))),0)</f>
        <v>0</v>
      </c>
      <c r="Z177" s="24">
        <f>IF(AA176&gt;0,ROUND(ROUND(AA176*100,0)*ROUND(Y$7*10000,0)/12000000,0)/100,0)</f>
        <v>0</v>
      </c>
      <c r="AA177" s="24">
        <f>IF(AA176&gt;0,ROUND(AA176+Z177-Y177,2),0)</f>
        <v>0</v>
      </c>
      <c r="AB177" s="24">
        <f>IF(AA176&gt;0,ROUND(AB176+ROUND(ROUND(AB176*100,0)*ROUND(Y$7*10000,0)/12000000,0)/100+0.02,2),0)</f>
        <v>0</v>
      </c>
      <c r="AC177" s="24">
        <f>IF(AE176&gt;0,IF(AND(ROUND(AE176+AD177-ROUND(AC$6+IF(AC$5=$C177,$E$5+$E177,0),2),2)&gt;0,ROUND(AE176+AD177-ROUND(AC$6+IF(AC$5=$C177,$E$5+$E177,0),2),2)&lt;=AF177,ROUND(AE176+AD177-ROUND(AC$6+IF(AC$5=$C177,$E$5+$E177,0),2),2)*10&lt;=ROUND(AC$6+IF(AC$5=$C177,$E$5+$E177,0),2)),ROUND(AE176+AD177,2),MIN(ROUND(AC$6+IF(AC$5=$C177,$E$5+$E177,0),2),ROUND(AE176+AD177,2))),0)</f>
        <v>0</v>
      </c>
      <c r="AD177" s="24">
        <f>IF(AE176&gt;0,ROUND(ROUND(AE176*100,0)*ROUND(AC$7*10000,0)/12000000,0)/100,0)</f>
        <v>0</v>
      </c>
      <c r="AE177" s="24">
        <f>IF(AE176&gt;0,ROUND(AE176+AD177-AC177,2),0)</f>
        <v>0</v>
      </c>
      <c r="AF177" s="24">
        <f>IF(AE176&gt;0,ROUND(AF176+ROUND(ROUND(AF176*100,0)*ROUND(AC$7*10000,0)/12000000,0)/100+0.02,2),0)</f>
        <v>0</v>
      </c>
      <c r="AG177" s="24">
        <f>IF(AI176&gt;0,IF(AND(ROUND(AI176+AH177-ROUND(AG$6+IF(AG$5=$C177,$E$5+$E177,0),2),2)&gt;0,ROUND(AI176+AH177-ROUND(AG$6+IF(AG$5=$C177,$E$5+$E177,0),2),2)&lt;=AJ177,ROUND(AI176+AH177-ROUND(AG$6+IF(AG$5=$C177,$E$5+$E177,0),2),2)*10&lt;=ROUND(AG$6+IF(AG$5=$C177,$E$5+$E177,0),2)),ROUND(AI176+AH177,2),MIN(ROUND(AG$6+IF(AG$5=$C177,$E$5+$E177,0),2),ROUND(AI176+AH177,2))),0)</f>
        <v>0</v>
      </c>
      <c r="AH177" s="24">
        <f>IF(AI176&gt;0,ROUND(ROUND(AI176*100,0)*ROUND(AG$7*10000,0)/12000000,0)/100,0)</f>
        <v>0</v>
      </c>
      <c r="AI177" s="24">
        <f>IF(AI176&gt;0,ROUND(AI176+AH177-AG177,2),0)</f>
        <v>0</v>
      </c>
      <c r="AJ177" s="24">
        <f>IF(AI176&gt;0,ROUND(AJ176+ROUND(ROUND(AJ176*100,0)*ROUND(AG$7*10000,0)/12000000,0)/100+0.02,2),0)</f>
        <v>0</v>
      </c>
      <c r="AK177" s="24">
        <f>IF(AM176&gt;0,IF(AND(ROUND(AM176+AL177-ROUND(AK$6+IF(AK$5=$C177,$E$5+$E177,0),2),2)&gt;0,ROUND(AM176+AL177-ROUND(AK$6+IF(AK$5=$C177,$E$5+$E177,0),2),2)&lt;=AN177,ROUND(AM176+AL177-ROUND(AK$6+IF(AK$5=$C177,$E$5+$E177,0),2),2)*10&lt;=ROUND(AK$6+IF(AK$5=$C177,$E$5+$E177,0),2)),ROUND(AM176+AL177,2),MIN(ROUND(AK$6+IF(AK$5=$C177,$E$5+$E177,0),2),ROUND(AM176+AL177,2))),0)</f>
        <v>0</v>
      </c>
      <c r="AL177" s="24">
        <f>IF(AM176&gt;0,ROUND(ROUND(AM176*100,0)*ROUND(AK$7*10000,0)/12000000,0)/100,0)</f>
        <v>0</v>
      </c>
      <c r="AM177" s="24">
        <f>IF(AM176&gt;0,ROUND(AM176+AL177-AK177,2),0)</f>
        <v>0</v>
      </c>
      <c r="AN177" s="24">
        <f>IF(AM176&gt;0,ROUND(AN176+ROUND(ROUND(AN176*100,0)*ROUND(AK$7*10000,0)/12000000,0)/100+0.02,2),0)</f>
        <v>0</v>
      </c>
      <c r="AO177" s="24">
        <f>IF(AQ176&gt;0,IF(AND(ROUND(AQ176+AP177-ROUND(AO$6+IF(AO$5=$C177,$E$5+$E177,0),2),2)&gt;0,ROUND(AQ176+AP177-ROUND(AO$6+IF(AO$5=$C177,$E$5+$E177,0),2),2)&lt;=AR177,ROUND(AQ176+AP177-ROUND(AO$6+IF(AO$5=$C177,$E$5+$E177,0),2),2)*10&lt;=ROUND(AO$6+IF(AO$5=$C177,$E$5+$E177,0),2)),ROUND(AQ176+AP177,2),MIN(ROUND(AO$6+IF(AO$5=$C177,$E$5+$E177,0),2),ROUND(AQ176+AP177,2))),0)</f>
        <v>0</v>
      </c>
      <c r="AP177" s="24">
        <f>IF(AQ176&gt;0,ROUND(ROUND(AQ176*100,0)*ROUND(AO$7*10000,0)/12000000,0)/100,0)</f>
        <v>0</v>
      </c>
      <c r="AQ177" s="24">
        <f>IF(AQ176&gt;0,ROUND(AQ176+AP177-AO177,2),0)</f>
        <v>0</v>
      </c>
      <c r="AR177" s="24">
        <f>IF(AQ176&gt;0,ROUND(AR176+ROUND(ROUND(AR176*100,0)*ROUND(AO$7*10000,0)/12000000,0)/100+0.02,2),0)</f>
        <v>0</v>
      </c>
      <c r="AS177" s="24">
        <f>IF(AU176&gt;0,IF(AND(ROUND(AU176+AT177-ROUND(AS$6+IF(AS$5=$C177,$E$5+$E177,0),2),2)&gt;0,ROUND(AU176+AT177-ROUND(AS$6+IF(AS$5=$C177,$E$5+$E177,0),2),2)&lt;=AV177,ROUND(AU176+AT177-ROUND(AS$6+IF(AS$5=$C177,$E$5+$E177,0),2),2)*10&lt;=ROUND(AS$6+IF(AS$5=$C177,$E$5+$E177,0),2)),ROUND(AU176+AT177,2),MIN(ROUND(AS$6+IF(AS$5=$C177,$E$5+$E177,0),2),ROUND(AU176+AT177,2))),0)</f>
        <v>0</v>
      </c>
      <c r="AT177" s="24">
        <f>IF(AU176&gt;0,ROUND(ROUND(AU176*100,0)*ROUND(AS$7*10000,0)/12000000,0)/100,0)</f>
        <v>0</v>
      </c>
      <c r="AU177" s="24">
        <f>IF(AU176&gt;0,ROUND(AU176+AT177-AS177,2),0)</f>
        <v>0</v>
      </c>
      <c r="AV177" s="24">
        <f>IF(AU176&gt;0,ROUND(AV176+ROUND(ROUND(AV176*100,0)*ROUND(AS$7*10000,0)/12000000,0)/100+0.02,2),0)</f>
        <v>0</v>
      </c>
    </row>
    <row r="178" spans="1:48" x14ac:dyDescent="0.25">
      <c r="A178" s="17" t="str">
        <f>IF(F178&gt;0,168,"")</f>
        <v/>
      </c>
      <c r="B178" s="18" t="str">
        <f>IF(F178&gt;0,EDATE($E$6,168),"")</f>
        <v/>
      </c>
      <c r="C178" s="21">
        <f>IF(H177&gt;0,MIN(IF(K177&gt;0,I$5,99),IF(O177&gt;0,M$5,99),IF(S177&gt;0,Q$5,99),IF(W177&gt;0,U$5,99),IF(AA177&gt;0,Y$5,99),IF(AE177&gt;0,AC$5,99),IF(AI177&gt;0,AG$5,99),IF(AM177&gt;0,AK$5,99),IF(AQ177&gt;0,AO$5,99),IF(AU177&gt;0,AS$5,99)),0)</f>
        <v>0</v>
      </c>
      <c r="D178" t="str">
        <f>IF(C178&gt;0,INDEX($I$4:$AV$4,1,MATCH(C178,$I$5:$AV$5,0)),"")</f>
        <v/>
      </c>
      <c r="E178" s="24">
        <f>ROUND(IF(AND(I$8&gt;0,K177=0),I$6,0)+IF(AND(M$8&gt;0,O177=0),M$6,0)+IF(AND(Q$8&gt;0,S177=0),Q$6,0)+IF(AND(U$8&gt;0,W177=0),U$6,0)+IF(AND(Y$8&gt;0,AA177=0),Y$6,0)+IF(AND(AC$8&gt;0,AE177=0),AC$6,0)+IF(AND(AG$8&gt;0,AI177=0),AG$6,0)+IF(AND(AK$8&gt;0,AM177=0),AK$6,0)+IF(AND(AO$8&gt;0,AQ177=0),AO$6,0)+IF(AND(AS$8&gt;0,AU177=0),AS$6,0),2)</f>
        <v>325</v>
      </c>
      <c r="F178" s="24">
        <f>ROUND(I178+M178+Q178+U178+Y178+AC178+AG178+AK178+AO178+AS178,2)</f>
        <v>0</v>
      </c>
      <c r="G178" s="24">
        <f>ROUND(J178+N178+R178+V178+Z178+AD178+AH178+AL178+AP178+AT178,2)</f>
        <v>0</v>
      </c>
      <c r="H178" s="24">
        <f>ROUND(K178+O178+S178+W178+AA178+AE178+AI178+AM178+AQ178+AU178,2)</f>
        <v>0</v>
      </c>
      <c r="I178" s="24">
        <f>IF(K177&gt;0,IF(AND(ROUND(K177+J178-ROUND(I$6+IF(I$5=$C178,$E$5+$E178,0),2),2)&gt;0,ROUND(K177+J178-ROUND(I$6+IF(I$5=$C178,$E$5+$E178,0),2),2)&lt;=L178,ROUND(K177+J178-ROUND(I$6+IF(I$5=$C178,$E$5+$E178,0),2),2)*10&lt;=ROUND(I$6+IF(I$5=$C178,$E$5+$E178,0),2)),ROUND(K177+J178,2),MIN(ROUND(I$6+IF(I$5=$C178,$E$5+$E178,0),2),ROUND(K177+J178,2))),0)</f>
        <v>0</v>
      </c>
      <c r="J178" s="24">
        <f>IF(K177&gt;0,ROUND(ROUND(K177*100,0)*ROUND(I$7*10000,0)/12000000,0)/100,0)</f>
        <v>0</v>
      </c>
      <c r="K178" s="24">
        <f>IF(K177&gt;0,ROUND(K177+J178-I178,2),0)</f>
        <v>0</v>
      </c>
      <c r="L178" s="24">
        <f>IF(K177&gt;0,ROUND(L177+ROUND(ROUND(L177*100,0)*ROUND(I$7*10000,0)/12000000,0)/100+0.02,2),0)</f>
        <v>0</v>
      </c>
      <c r="M178" s="24">
        <f>IF(O177&gt;0,IF(AND(ROUND(O177+N178-ROUND(M$6+IF(M$5=$C178,$E$5+$E178,0),2),2)&gt;0,ROUND(O177+N178-ROUND(M$6+IF(M$5=$C178,$E$5+$E178,0),2),2)&lt;=P178,ROUND(O177+N178-ROUND(M$6+IF(M$5=$C178,$E$5+$E178,0),2),2)*10&lt;=ROUND(M$6+IF(M$5=$C178,$E$5+$E178,0),2)),ROUND(O177+N178,2),MIN(ROUND(M$6+IF(M$5=$C178,$E$5+$E178,0),2),ROUND(O177+N178,2))),0)</f>
        <v>0</v>
      </c>
      <c r="N178" s="24">
        <f>IF(O177&gt;0,ROUND(ROUND(O177*100,0)*ROUND(M$7*10000,0)/12000000,0)/100,0)</f>
        <v>0</v>
      </c>
      <c r="O178" s="24">
        <f>IF(O177&gt;0,ROUND(O177+N178-M178,2),0)</f>
        <v>0</v>
      </c>
      <c r="P178" s="24">
        <f>IF(O177&gt;0,ROUND(P177+ROUND(ROUND(P177*100,0)*ROUND(M$7*10000,0)/12000000,0)/100+0.02,2),0)</f>
        <v>0</v>
      </c>
      <c r="Q178" s="24">
        <f>IF(S177&gt;0,IF(AND(ROUND(S177+R178-ROUND(Q$6+IF(Q$5=$C178,$E$5+$E178,0),2),2)&gt;0,ROUND(S177+R178-ROUND(Q$6+IF(Q$5=$C178,$E$5+$E178,0),2),2)&lt;=T178,ROUND(S177+R178-ROUND(Q$6+IF(Q$5=$C178,$E$5+$E178,0),2),2)*10&lt;=ROUND(Q$6+IF(Q$5=$C178,$E$5+$E178,0),2)),ROUND(S177+R178,2),MIN(ROUND(Q$6+IF(Q$5=$C178,$E$5+$E178,0),2),ROUND(S177+R178,2))),0)</f>
        <v>0</v>
      </c>
      <c r="R178" s="24">
        <f>IF(S177&gt;0,ROUND(ROUND(S177*100,0)*ROUND(Q$7*10000,0)/12000000,0)/100,0)</f>
        <v>0</v>
      </c>
      <c r="S178" s="24">
        <f>IF(S177&gt;0,ROUND(S177+R178-Q178,2),0)</f>
        <v>0</v>
      </c>
      <c r="T178" s="24">
        <f>IF(S177&gt;0,ROUND(T177+ROUND(ROUND(T177*100,0)*ROUND(Q$7*10000,0)/12000000,0)/100+0.02,2),0)</f>
        <v>0</v>
      </c>
      <c r="U178" s="24">
        <f>IF(W177&gt;0,IF(AND(ROUND(W177+V178-ROUND(U$6+IF(U$5=$C178,$E$5+$E178,0),2),2)&gt;0,ROUND(W177+V178-ROUND(U$6+IF(U$5=$C178,$E$5+$E178,0),2),2)&lt;=X178,ROUND(W177+V178-ROUND(U$6+IF(U$5=$C178,$E$5+$E178,0),2),2)*10&lt;=ROUND(U$6+IF(U$5=$C178,$E$5+$E178,0),2)),ROUND(W177+V178,2),MIN(ROUND(U$6+IF(U$5=$C178,$E$5+$E178,0),2),ROUND(W177+V178,2))),0)</f>
        <v>0</v>
      </c>
      <c r="V178" s="24">
        <f>IF(W177&gt;0,ROUND(ROUND(W177*100,0)*ROUND(U$7*10000,0)/12000000,0)/100,0)</f>
        <v>0</v>
      </c>
      <c r="W178" s="24">
        <f>IF(W177&gt;0,ROUND(W177+V178-U178,2),0)</f>
        <v>0</v>
      </c>
      <c r="X178" s="24">
        <f>IF(W177&gt;0,ROUND(X177+ROUND(ROUND(X177*100,0)*ROUND(U$7*10000,0)/12000000,0)/100+0.02,2),0)</f>
        <v>0</v>
      </c>
      <c r="Y178" s="24">
        <f>IF(AA177&gt;0,IF(AND(ROUND(AA177+Z178-ROUND(Y$6+IF(Y$5=$C178,$E$5+$E178,0),2),2)&gt;0,ROUND(AA177+Z178-ROUND(Y$6+IF(Y$5=$C178,$E$5+$E178,0),2),2)&lt;=AB178,ROUND(AA177+Z178-ROUND(Y$6+IF(Y$5=$C178,$E$5+$E178,0),2),2)*10&lt;=ROUND(Y$6+IF(Y$5=$C178,$E$5+$E178,0),2)),ROUND(AA177+Z178,2),MIN(ROUND(Y$6+IF(Y$5=$C178,$E$5+$E178,0),2),ROUND(AA177+Z178,2))),0)</f>
        <v>0</v>
      </c>
      <c r="Z178" s="24">
        <f>IF(AA177&gt;0,ROUND(ROUND(AA177*100,0)*ROUND(Y$7*10000,0)/12000000,0)/100,0)</f>
        <v>0</v>
      </c>
      <c r="AA178" s="24">
        <f>IF(AA177&gt;0,ROUND(AA177+Z178-Y178,2),0)</f>
        <v>0</v>
      </c>
      <c r="AB178" s="24">
        <f>IF(AA177&gt;0,ROUND(AB177+ROUND(ROUND(AB177*100,0)*ROUND(Y$7*10000,0)/12000000,0)/100+0.02,2),0)</f>
        <v>0</v>
      </c>
      <c r="AC178" s="24">
        <f>IF(AE177&gt;0,IF(AND(ROUND(AE177+AD178-ROUND(AC$6+IF(AC$5=$C178,$E$5+$E178,0),2),2)&gt;0,ROUND(AE177+AD178-ROUND(AC$6+IF(AC$5=$C178,$E$5+$E178,0),2),2)&lt;=AF178,ROUND(AE177+AD178-ROUND(AC$6+IF(AC$5=$C178,$E$5+$E178,0),2),2)*10&lt;=ROUND(AC$6+IF(AC$5=$C178,$E$5+$E178,0),2)),ROUND(AE177+AD178,2),MIN(ROUND(AC$6+IF(AC$5=$C178,$E$5+$E178,0),2),ROUND(AE177+AD178,2))),0)</f>
        <v>0</v>
      </c>
      <c r="AD178" s="24">
        <f>IF(AE177&gt;0,ROUND(ROUND(AE177*100,0)*ROUND(AC$7*10000,0)/12000000,0)/100,0)</f>
        <v>0</v>
      </c>
      <c r="AE178" s="24">
        <f>IF(AE177&gt;0,ROUND(AE177+AD178-AC178,2),0)</f>
        <v>0</v>
      </c>
      <c r="AF178" s="24">
        <f>IF(AE177&gt;0,ROUND(AF177+ROUND(ROUND(AF177*100,0)*ROUND(AC$7*10000,0)/12000000,0)/100+0.02,2),0)</f>
        <v>0</v>
      </c>
      <c r="AG178" s="24">
        <f>IF(AI177&gt;0,IF(AND(ROUND(AI177+AH178-ROUND(AG$6+IF(AG$5=$C178,$E$5+$E178,0),2),2)&gt;0,ROUND(AI177+AH178-ROUND(AG$6+IF(AG$5=$C178,$E$5+$E178,0),2),2)&lt;=AJ178,ROUND(AI177+AH178-ROUND(AG$6+IF(AG$5=$C178,$E$5+$E178,0),2),2)*10&lt;=ROUND(AG$6+IF(AG$5=$C178,$E$5+$E178,0),2)),ROUND(AI177+AH178,2),MIN(ROUND(AG$6+IF(AG$5=$C178,$E$5+$E178,0),2),ROUND(AI177+AH178,2))),0)</f>
        <v>0</v>
      </c>
      <c r="AH178" s="24">
        <f>IF(AI177&gt;0,ROUND(ROUND(AI177*100,0)*ROUND(AG$7*10000,0)/12000000,0)/100,0)</f>
        <v>0</v>
      </c>
      <c r="AI178" s="24">
        <f>IF(AI177&gt;0,ROUND(AI177+AH178-AG178,2),0)</f>
        <v>0</v>
      </c>
      <c r="AJ178" s="24">
        <f>IF(AI177&gt;0,ROUND(AJ177+ROUND(ROUND(AJ177*100,0)*ROUND(AG$7*10000,0)/12000000,0)/100+0.02,2),0)</f>
        <v>0</v>
      </c>
      <c r="AK178" s="24">
        <f>IF(AM177&gt;0,IF(AND(ROUND(AM177+AL178-ROUND(AK$6+IF(AK$5=$C178,$E$5+$E178,0),2),2)&gt;0,ROUND(AM177+AL178-ROUND(AK$6+IF(AK$5=$C178,$E$5+$E178,0),2),2)&lt;=AN178,ROUND(AM177+AL178-ROUND(AK$6+IF(AK$5=$C178,$E$5+$E178,0),2),2)*10&lt;=ROUND(AK$6+IF(AK$5=$C178,$E$5+$E178,0),2)),ROUND(AM177+AL178,2),MIN(ROUND(AK$6+IF(AK$5=$C178,$E$5+$E178,0),2),ROUND(AM177+AL178,2))),0)</f>
        <v>0</v>
      </c>
      <c r="AL178" s="24">
        <f>IF(AM177&gt;0,ROUND(ROUND(AM177*100,0)*ROUND(AK$7*10000,0)/12000000,0)/100,0)</f>
        <v>0</v>
      </c>
      <c r="AM178" s="24">
        <f>IF(AM177&gt;0,ROUND(AM177+AL178-AK178,2),0)</f>
        <v>0</v>
      </c>
      <c r="AN178" s="24">
        <f>IF(AM177&gt;0,ROUND(AN177+ROUND(ROUND(AN177*100,0)*ROUND(AK$7*10000,0)/12000000,0)/100+0.02,2),0)</f>
        <v>0</v>
      </c>
      <c r="AO178" s="24">
        <f>IF(AQ177&gt;0,IF(AND(ROUND(AQ177+AP178-ROUND(AO$6+IF(AO$5=$C178,$E$5+$E178,0),2),2)&gt;0,ROUND(AQ177+AP178-ROUND(AO$6+IF(AO$5=$C178,$E$5+$E178,0),2),2)&lt;=AR178,ROUND(AQ177+AP178-ROUND(AO$6+IF(AO$5=$C178,$E$5+$E178,0),2),2)*10&lt;=ROUND(AO$6+IF(AO$5=$C178,$E$5+$E178,0),2)),ROUND(AQ177+AP178,2),MIN(ROUND(AO$6+IF(AO$5=$C178,$E$5+$E178,0),2),ROUND(AQ177+AP178,2))),0)</f>
        <v>0</v>
      </c>
      <c r="AP178" s="24">
        <f>IF(AQ177&gt;0,ROUND(ROUND(AQ177*100,0)*ROUND(AO$7*10000,0)/12000000,0)/100,0)</f>
        <v>0</v>
      </c>
      <c r="AQ178" s="24">
        <f>IF(AQ177&gt;0,ROUND(AQ177+AP178-AO178,2),0)</f>
        <v>0</v>
      </c>
      <c r="AR178" s="24">
        <f>IF(AQ177&gt;0,ROUND(AR177+ROUND(ROUND(AR177*100,0)*ROUND(AO$7*10000,0)/12000000,0)/100+0.02,2),0)</f>
        <v>0</v>
      </c>
      <c r="AS178" s="24">
        <f>IF(AU177&gt;0,IF(AND(ROUND(AU177+AT178-ROUND(AS$6+IF(AS$5=$C178,$E$5+$E178,0),2),2)&gt;0,ROUND(AU177+AT178-ROUND(AS$6+IF(AS$5=$C178,$E$5+$E178,0),2),2)&lt;=AV178,ROUND(AU177+AT178-ROUND(AS$6+IF(AS$5=$C178,$E$5+$E178,0),2),2)*10&lt;=ROUND(AS$6+IF(AS$5=$C178,$E$5+$E178,0),2)),ROUND(AU177+AT178,2),MIN(ROUND(AS$6+IF(AS$5=$C178,$E$5+$E178,0),2),ROUND(AU177+AT178,2))),0)</f>
        <v>0</v>
      </c>
      <c r="AT178" s="24">
        <f>IF(AU177&gt;0,ROUND(ROUND(AU177*100,0)*ROUND(AS$7*10000,0)/12000000,0)/100,0)</f>
        <v>0</v>
      </c>
      <c r="AU178" s="24">
        <f>IF(AU177&gt;0,ROUND(AU177+AT178-AS178,2),0)</f>
        <v>0</v>
      </c>
      <c r="AV178" s="24">
        <f>IF(AU177&gt;0,ROUND(AV177+ROUND(ROUND(AV177*100,0)*ROUND(AS$7*10000,0)/12000000,0)/100+0.02,2),0)</f>
        <v>0</v>
      </c>
    </row>
    <row r="179" spans="1:48" x14ac:dyDescent="0.25">
      <c r="A179" s="17" t="str">
        <f>IF(F179&gt;0,169,"")</f>
        <v/>
      </c>
      <c r="B179" s="18" t="str">
        <f>IF(F179&gt;0,EDATE($E$6,169),"")</f>
        <v/>
      </c>
      <c r="C179" s="21">
        <f>IF(H178&gt;0,MIN(IF(K178&gt;0,I$5,99),IF(O178&gt;0,M$5,99),IF(S178&gt;0,Q$5,99),IF(W178&gt;0,U$5,99),IF(AA178&gt;0,Y$5,99),IF(AE178&gt;0,AC$5,99),IF(AI178&gt;0,AG$5,99),IF(AM178&gt;0,AK$5,99),IF(AQ178&gt;0,AO$5,99),IF(AU178&gt;0,AS$5,99)),0)</f>
        <v>0</v>
      </c>
      <c r="D179" t="str">
        <f>IF(C179&gt;0,INDEX($I$4:$AV$4,1,MATCH(C179,$I$5:$AV$5,0)),"")</f>
        <v/>
      </c>
      <c r="E179" s="24">
        <f>ROUND(IF(AND(I$8&gt;0,K178=0),I$6,0)+IF(AND(M$8&gt;0,O178=0),M$6,0)+IF(AND(Q$8&gt;0,S178=0),Q$6,0)+IF(AND(U$8&gt;0,W178=0),U$6,0)+IF(AND(Y$8&gt;0,AA178=0),Y$6,0)+IF(AND(AC$8&gt;0,AE178=0),AC$6,0)+IF(AND(AG$8&gt;0,AI178=0),AG$6,0)+IF(AND(AK$8&gt;0,AM178=0),AK$6,0)+IF(AND(AO$8&gt;0,AQ178=0),AO$6,0)+IF(AND(AS$8&gt;0,AU178=0),AS$6,0),2)</f>
        <v>325</v>
      </c>
      <c r="F179" s="24">
        <f>ROUND(I179+M179+Q179+U179+Y179+AC179+AG179+AK179+AO179+AS179,2)</f>
        <v>0</v>
      </c>
      <c r="G179" s="24">
        <f>ROUND(J179+N179+R179+V179+Z179+AD179+AH179+AL179+AP179+AT179,2)</f>
        <v>0</v>
      </c>
      <c r="H179" s="24">
        <f>ROUND(K179+O179+S179+W179+AA179+AE179+AI179+AM179+AQ179+AU179,2)</f>
        <v>0</v>
      </c>
      <c r="I179" s="24">
        <f>IF(K178&gt;0,IF(AND(ROUND(K178+J179-ROUND(I$6+IF(I$5=$C179,$E$5+$E179,0),2),2)&gt;0,ROUND(K178+J179-ROUND(I$6+IF(I$5=$C179,$E$5+$E179,0),2),2)&lt;=L179,ROUND(K178+J179-ROUND(I$6+IF(I$5=$C179,$E$5+$E179,0),2),2)*10&lt;=ROUND(I$6+IF(I$5=$C179,$E$5+$E179,0),2)),ROUND(K178+J179,2),MIN(ROUND(I$6+IF(I$5=$C179,$E$5+$E179,0),2),ROUND(K178+J179,2))),0)</f>
        <v>0</v>
      </c>
      <c r="J179" s="24">
        <f>IF(K178&gt;0,ROUND(ROUND(K178*100,0)*ROUND(I$7*10000,0)/12000000,0)/100,0)</f>
        <v>0</v>
      </c>
      <c r="K179" s="24">
        <f>IF(K178&gt;0,ROUND(K178+J179-I179,2),0)</f>
        <v>0</v>
      </c>
      <c r="L179" s="24">
        <f>IF(K178&gt;0,ROUND(L178+ROUND(ROUND(L178*100,0)*ROUND(I$7*10000,0)/12000000,0)/100+0.02,2),0)</f>
        <v>0</v>
      </c>
      <c r="M179" s="24">
        <f>IF(O178&gt;0,IF(AND(ROUND(O178+N179-ROUND(M$6+IF(M$5=$C179,$E$5+$E179,0),2),2)&gt;0,ROUND(O178+N179-ROUND(M$6+IF(M$5=$C179,$E$5+$E179,0),2),2)&lt;=P179,ROUND(O178+N179-ROUND(M$6+IF(M$5=$C179,$E$5+$E179,0),2),2)*10&lt;=ROUND(M$6+IF(M$5=$C179,$E$5+$E179,0),2)),ROUND(O178+N179,2),MIN(ROUND(M$6+IF(M$5=$C179,$E$5+$E179,0),2),ROUND(O178+N179,2))),0)</f>
        <v>0</v>
      </c>
      <c r="N179" s="24">
        <f>IF(O178&gt;0,ROUND(ROUND(O178*100,0)*ROUND(M$7*10000,0)/12000000,0)/100,0)</f>
        <v>0</v>
      </c>
      <c r="O179" s="24">
        <f>IF(O178&gt;0,ROUND(O178+N179-M179,2),0)</f>
        <v>0</v>
      </c>
      <c r="P179" s="24">
        <f>IF(O178&gt;0,ROUND(P178+ROUND(ROUND(P178*100,0)*ROUND(M$7*10000,0)/12000000,0)/100+0.02,2),0)</f>
        <v>0</v>
      </c>
      <c r="Q179" s="24">
        <f>IF(S178&gt;0,IF(AND(ROUND(S178+R179-ROUND(Q$6+IF(Q$5=$C179,$E$5+$E179,0),2),2)&gt;0,ROUND(S178+R179-ROUND(Q$6+IF(Q$5=$C179,$E$5+$E179,0),2),2)&lt;=T179,ROUND(S178+R179-ROUND(Q$6+IF(Q$5=$C179,$E$5+$E179,0),2),2)*10&lt;=ROUND(Q$6+IF(Q$5=$C179,$E$5+$E179,0),2)),ROUND(S178+R179,2),MIN(ROUND(Q$6+IF(Q$5=$C179,$E$5+$E179,0),2),ROUND(S178+R179,2))),0)</f>
        <v>0</v>
      </c>
      <c r="R179" s="24">
        <f>IF(S178&gt;0,ROUND(ROUND(S178*100,0)*ROUND(Q$7*10000,0)/12000000,0)/100,0)</f>
        <v>0</v>
      </c>
      <c r="S179" s="24">
        <f>IF(S178&gt;0,ROUND(S178+R179-Q179,2),0)</f>
        <v>0</v>
      </c>
      <c r="T179" s="24">
        <f>IF(S178&gt;0,ROUND(T178+ROUND(ROUND(T178*100,0)*ROUND(Q$7*10000,0)/12000000,0)/100+0.02,2),0)</f>
        <v>0</v>
      </c>
      <c r="U179" s="24">
        <f>IF(W178&gt;0,IF(AND(ROUND(W178+V179-ROUND(U$6+IF(U$5=$C179,$E$5+$E179,0),2),2)&gt;0,ROUND(W178+V179-ROUND(U$6+IF(U$5=$C179,$E$5+$E179,0),2),2)&lt;=X179,ROUND(W178+V179-ROUND(U$6+IF(U$5=$C179,$E$5+$E179,0),2),2)*10&lt;=ROUND(U$6+IF(U$5=$C179,$E$5+$E179,0),2)),ROUND(W178+V179,2),MIN(ROUND(U$6+IF(U$5=$C179,$E$5+$E179,0),2),ROUND(W178+V179,2))),0)</f>
        <v>0</v>
      </c>
      <c r="V179" s="24">
        <f>IF(W178&gt;0,ROUND(ROUND(W178*100,0)*ROUND(U$7*10000,0)/12000000,0)/100,0)</f>
        <v>0</v>
      </c>
      <c r="W179" s="24">
        <f>IF(W178&gt;0,ROUND(W178+V179-U179,2),0)</f>
        <v>0</v>
      </c>
      <c r="X179" s="24">
        <f>IF(W178&gt;0,ROUND(X178+ROUND(ROUND(X178*100,0)*ROUND(U$7*10000,0)/12000000,0)/100+0.02,2),0)</f>
        <v>0</v>
      </c>
      <c r="Y179" s="24">
        <f>IF(AA178&gt;0,IF(AND(ROUND(AA178+Z179-ROUND(Y$6+IF(Y$5=$C179,$E$5+$E179,0),2),2)&gt;0,ROUND(AA178+Z179-ROUND(Y$6+IF(Y$5=$C179,$E$5+$E179,0),2),2)&lt;=AB179,ROUND(AA178+Z179-ROUND(Y$6+IF(Y$5=$C179,$E$5+$E179,0),2),2)*10&lt;=ROUND(Y$6+IF(Y$5=$C179,$E$5+$E179,0),2)),ROUND(AA178+Z179,2),MIN(ROUND(Y$6+IF(Y$5=$C179,$E$5+$E179,0),2),ROUND(AA178+Z179,2))),0)</f>
        <v>0</v>
      </c>
      <c r="Z179" s="24">
        <f>IF(AA178&gt;0,ROUND(ROUND(AA178*100,0)*ROUND(Y$7*10000,0)/12000000,0)/100,0)</f>
        <v>0</v>
      </c>
      <c r="AA179" s="24">
        <f>IF(AA178&gt;0,ROUND(AA178+Z179-Y179,2),0)</f>
        <v>0</v>
      </c>
      <c r="AB179" s="24">
        <f>IF(AA178&gt;0,ROUND(AB178+ROUND(ROUND(AB178*100,0)*ROUND(Y$7*10000,0)/12000000,0)/100+0.02,2),0)</f>
        <v>0</v>
      </c>
      <c r="AC179" s="24">
        <f>IF(AE178&gt;0,IF(AND(ROUND(AE178+AD179-ROUND(AC$6+IF(AC$5=$C179,$E$5+$E179,0),2),2)&gt;0,ROUND(AE178+AD179-ROUND(AC$6+IF(AC$5=$C179,$E$5+$E179,0),2),2)&lt;=AF179,ROUND(AE178+AD179-ROUND(AC$6+IF(AC$5=$C179,$E$5+$E179,0),2),2)*10&lt;=ROUND(AC$6+IF(AC$5=$C179,$E$5+$E179,0),2)),ROUND(AE178+AD179,2),MIN(ROUND(AC$6+IF(AC$5=$C179,$E$5+$E179,0),2),ROUND(AE178+AD179,2))),0)</f>
        <v>0</v>
      </c>
      <c r="AD179" s="24">
        <f>IF(AE178&gt;0,ROUND(ROUND(AE178*100,0)*ROUND(AC$7*10000,0)/12000000,0)/100,0)</f>
        <v>0</v>
      </c>
      <c r="AE179" s="24">
        <f>IF(AE178&gt;0,ROUND(AE178+AD179-AC179,2),0)</f>
        <v>0</v>
      </c>
      <c r="AF179" s="24">
        <f>IF(AE178&gt;0,ROUND(AF178+ROUND(ROUND(AF178*100,0)*ROUND(AC$7*10000,0)/12000000,0)/100+0.02,2),0)</f>
        <v>0</v>
      </c>
      <c r="AG179" s="24">
        <f>IF(AI178&gt;0,IF(AND(ROUND(AI178+AH179-ROUND(AG$6+IF(AG$5=$C179,$E$5+$E179,0),2),2)&gt;0,ROUND(AI178+AH179-ROUND(AG$6+IF(AG$5=$C179,$E$5+$E179,0),2),2)&lt;=AJ179,ROUND(AI178+AH179-ROUND(AG$6+IF(AG$5=$C179,$E$5+$E179,0),2),2)*10&lt;=ROUND(AG$6+IF(AG$5=$C179,$E$5+$E179,0),2)),ROUND(AI178+AH179,2),MIN(ROUND(AG$6+IF(AG$5=$C179,$E$5+$E179,0),2),ROUND(AI178+AH179,2))),0)</f>
        <v>0</v>
      </c>
      <c r="AH179" s="24">
        <f>IF(AI178&gt;0,ROUND(ROUND(AI178*100,0)*ROUND(AG$7*10000,0)/12000000,0)/100,0)</f>
        <v>0</v>
      </c>
      <c r="AI179" s="24">
        <f>IF(AI178&gt;0,ROUND(AI178+AH179-AG179,2),0)</f>
        <v>0</v>
      </c>
      <c r="AJ179" s="24">
        <f>IF(AI178&gt;0,ROUND(AJ178+ROUND(ROUND(AJ178*100,0)*ROUND(AG$7*10000,0)/12000000,0)/100+0.02,2),0)</f>
        <v>0</v>
      </c>
      <c r="AK179" s="24">
        <f>IF(AM178&gt;0,IF(AND(ROUND(AM178+AL179-ROUND(AK$6+IF(AK$5=$C179,$E$5+$E179,0),2),2)&gt;0,ROUND(AM178+AL179-ROUND(AK$6+IF(AK$5=$C179,$E$5+$E179,0),2),2)&lt;=AN179,ROUND(AM178+AL179-ROUND(AK$6+IF(AK$5=$C179,$E$5+$E179,0),2),2)*10&lt;=ROUND(AK$6+IF(AK$5=$C179,$E$5+$E179,0),2)),ROUND(AM178+AL179,2),MIN(ROUND(AK$6+IF(AK$5=$C179,$E$5+$E179,0),2),ROUND(AM178+AL179,2))),0)</f>
        <v>0</v>
      </c>
      <c r="AL179" s="24">
        <f>IF(AM178&gt;0,ROUND(ROUND(AM178*100,0)*ROUND(AK$7*10000,0)/12000000,0)/100,0)</f>
        <v>0</v>
      </c>
      <c r="AM179" s="24">
        <f>IF(AM178&gt;0,ROUND(AM178+AL179-AK179,2),0)</f>
        <v>0</v>
      </c>
      <c r="AN179" s="24">
        <f>IF(AM178&gt;0,ROUND(AN178+ROUND(ROUND(AN178*100,0)*ROUND(AK$7*10000,0)/12000000,0)/100+0.02,2),0)</f>
        <v>0</v>
      </c>
      <c r="AO179" s="24">
        <f>IF(AQ178&gt;0,IF(AND(ROUND(AQ178+AP179-ROUND(AO$6+IF(AO$5=$C179,$E$5+$E179,0),2),2)&gt;0,ROUND(AQ178+AP179-ROUND(AO$6+IF(AO$5=$C179,$E$5+$E179,0),2),2)&lt;=AR179,ROUND(AQ178+AP179-ROUND(AO$6+IF(AO$5=$C179,$E$5+$E179,0),2),2)*10&lt;=ROUND(AO$6+IF(AO$5=$C179,$E$5+$E179,0),2)),ROUND(AQ178+AP179,2),MIN(ROUND(AO$6+IF(AO$5=$C179,$E$5+$E179,0),2),ROUND(AQ178+AP179,2))),0)</f>
        <v>0</v>
      </c>
      <c r="AP179" s="24">
        <f>IF(AQ178&gt;0,ROUND(ROUND(AQ178*100,0)*ROUND(AO$7*10000,0)/12000000,0)/100,0)</f>
        <v>0</v>
      </c>
      <c r="AQ179" s="24">
        <f>IF(AQ178&gt;0,ROUND(AQ178+AP179-AO179,2),0)</f>
        <v>0</v>
      </c>
      <c r="AR179" s="24">
        <f>IF(AQ178&gt;0,ROUND(AR178+ROUND(ROUND(AR178*100,0)*ROUND(AO$7*10000,0)/12000000,0)/100+0.02,2),0)</f>
        <v>0</v>
      </c>
      <c r="AS179" s="24">
        <f>IF(AU178&gt;0,IF(AND(ROUND(AU178+AT179-ROUND(AS$6+IF(AS$5=$C179,$E$5+$E179,0),2),2)&gt;0,ROUND(AU178+AT179-ROUND(AS$6+IF(AS$5=$C179,$E$5+$E179,0),2),2)&lt;=AV179,ROUND(AU178+AT179-ROUND(AS$6+IF(AS$5=$C179,$E$5+$E179,0),2),2)*10&lt;=ROUND(AS$6+IF(AS$5=$C179,$E$5+$E179,0),2)),ROUND(AU178+AT179,2),MIN(ROUND(AS$6+IF(AS$5=$C179,$E$5+$E179,0),2),ROUND(AU178+AT179,2))),0)</f>
        <v>0</v>
      </c>
      <c r="AT179" s="24">
        <f>IF(AU178&gt;0,ROUND(ROUND(AU178*100,0)*ROUND(AS$7*10000,0)/12000000,0)/100,0)</f>
        <v>0</v>
      </c>
      <c r="AU179" s="24">
        <f>IF(AU178&gt;0,ROUND(AU178+AT179-AS179,2),0)</f>
        <v>0</v>
      </c>
      <c r="AV179" s="24">
        <f>IF(AU178&gt;0,ROUND(AV178+ROUND(ROUND(AV178*100,0)*ROUND(AS$7*10000,0)/12000000,0)/100+0.02,2),0)</f>
        <v>0</v>
      </c>
    </row>
    <row r="180" spans="1:48" x14ac:dyDescent="0.25">
      <c r="A180" s="17" t="str">
        <f>IF(F180&gt;0,170,"")</f>
        <v/>
      </c>
      <c r="B180" s="18" t="str">
        <f>IF(F180&gt;0,EDATE($E$6,170),"")</f>
        <v/>
      </c>
      <c r="C180" s="21">
        <f>IF(H179&gt;0,MIN(IF(K179&gt;0,I$5,99),IF(O179&gt;0,M$5,99),IF(S179&gt;0,Q$5,99),IF(W179&gt;0,U$5,99),IF(AA179&gt;0,Y$5,99),IF(AE179&gt;0,AC$5,99),IF(AI179&gt;0,AG$5,99),IF(AM179&gt;0,AK$5,99),IF(AQ179&gt;0,AO$5,99),IF(AU179&gt;0,AS$5,99)),0)</f>
        <v>0</v>
      </c>
      <c r="D180" t="str">
        <f>IF(C180&gt;0,INDEX($I$4:$AV$4,1,MATCH(C180,$I$5:$AV$5,0)),"")</f>
        <v/>
      </c>
      <c r="E180" s="24">
        <f>ROUND(IF(AND(I$8&gt;0,K179=0),I$6,0)+IF(AND(M$8&gt;0,O179=0),M$6,0)+IF(AND(Q$8&gt;0,S179=0),Q$6,0)+IF(AND(U$8&gt;0,W179=0),U$6,0)+IF(AND(Y$8&gt;0,AA179=0),Y$6,0)+IF(AND(AC$8&gt;0,AE179=0),AC$6,0)+IF(AND(AG$8&gt;0,AI179=0),AG$6,0)+IF(AND(AK$8&gt;0,AM179=0),AK$6,0)+IF(AND(AO$8&gt;0,AQ179=0),AO$6,0)+IF(AND(AS$8&gt;0,AU179=0),AS$6,0),2)</f>
        <v>325</v>
      </c>
      <c r="F180" s="24">
        <f>ROUND(I180+M180+Q180+U180+Y180+AC180+AG180+AK180+AO180+AS180,2)</f>
        <v>0</v>
      </c>
      <c r="G180" s="24">
        <f>ROUND(J180+N180+R180+V180+Z180+AD180+AH180+AL180+AP180+AT180,2)</f>
        <v>0</v>
      </c>
      <c r="H180" s="24">
        <f>ROUND(K180+O180+S180+W180+AA180+AE180+AI180+AM180+AQ180+AU180,2)</f>
        <v>0</v>
      </c>
      <c r="I180" s="24">
        <f>IF(K179&gt;0,IF(AND(ROUND(K179+J180-ROUND(I$6+IF(I$5=$C180,$E$5+$E180,0),2),2)&gt;0,ROUND(K179+J180-ROUND(I$6+IF(I$5=$C180,$E$5+$E180,0),2),2)&lt;=L180,ROUND(K179+J180-ROUND(I$6+IF(I$5=$C180,$E$5+$E180,0),2),2)*10&lt;=ROUND(I$6+IF(I$5=$C180,$E$5+$E180,0),2)),ROUND(K179+J180,2),MIN(ROUND(I$6+IF(I$5=$C180,$E$5+$E180,0),2),ROUND(K179+J180,2))),0)</f>
        <v>0</v>
      </c>
      <c r="J180" s="24">
        <f>IF(K179&gt;0,ROUND(ROUND(K179*100,0)*ROUND(I$7*10000,0)/12000000,0)/100,0)</f>
        <v>0</v>
      </c>
      <c r="K180" s="24">
        <f>IF(K179&gt;0,ROUND(K179+J180-I180,2),0)</f>
        <v>0</v>
      </c>
      <c r="L180" s="24">
        <f>IF(K179&gt;0,ROUND(L179+ROUND(ROUND(L179*100,0)*ROUND(I$7*10000,0)/12000000,0)/100+0.02,2),0)</f>
        <v>0</v>
      </c>
      <c r="M180" s="24">
        <f>IF(O179&gt;0,IF(AND(ROUND(O179+N180-ROUND(M$6+IF(M$5=$C180,$E$5+$E180,0),2),2)&gt;0,ROUND(O179+N180-ROUND(M$6+IF(M$5=$C180,$E$5+$E180,0),2),2)&lt;=P180,ROUND(O179+N180-ROUND(M$6+IF(M$5=$C180,$E$5+$E180,0),2),2)*10&lt;=ROUND(M$6+IF(M$5=$C180,$E$5+$E180,0),2)),ROUND(O179+N180,2),MIN(ROUND(M$6+IF(M$5=$C180,$E$5+$E180,0),2),ROUND(O179+N180,2))),0)</f>
        <v>0</v>
      </c>
      <c r="N180" s="24">
        <f>IF(O179&gt;0,ROUND(ROUND(O179*100,0)*ROUND(M$7*10000,0)/12000000,0)/100,0)</f>
        <v>0</v>
      </c>
      <c r="O180" s="24">
        <f>IF(O179&gt;0,ROUND(O179+N180-M180,2),0)</f>
        <v>0</v>
      </c>
      <c r="P180" s="24">
        <f>IF(O179&gt;0,ROUND(P179+ROUND(ROUND(P179*100,0)*ROUND(M$7*10000,0)/12000000,0)/100+0.02,2),0)</f>
        <v>0</v>
      </c>
      <c r="Q180" s="24">
        <f>IF(S179&gt;0,IF(AND(ROUND(S179+R180-ROUND(Q$6+IF(Q$5=$C180,$E$5+$E180,0),2),2)&gt;0,ROUND(S179+R180-ROUND(Q$6+IF(Q$5=$C180,$E$5+$E180,0),2),2)&lt;=T180,ROUND(S179+R180-ROUND(Q$6+IF(Q$5=$C180,$E$5+$E180,0),2),2)*10&lt;=ROUND(Q$6+IF(Q$5=$C180,$E$5+$E180,0),2)),ROUND(S179+R180,2),MIN(ROUND(Q$6+IF(Q$5=$C180,$E$5+$E180,0),2),ROUND(S179+R180,2))),0)</f>
        <v>0</v>
      </c>
      <c r="R180" s="24">
        <f>IF(S179&gt;0,ROUND(ROUND(S179*100,0)*ROUND(Q$7*10000,0)/12000000,0)/100,0)</f>
        <v>0</v>
      </c>
      <c r="S180" s="24">
        <f>IF(S179&gt;0,ROUND(S179+R180-Q180,2),0)</f>
        <v>0</v>
      </c>
      <c r="T180" s="24">
        <f>IF(S179&gt;0,ROUND(T179+ROUND(ROUND(T179*100,0)*ROUND(Q$7*10000,0)/12000000,0)/100+0.02,2),0)</f>
        <v>0</v>
      </c>
      <c r="U180" s="24">
        <f>IF(W179&gt;0,IF(AND(ROUND(W179+V180-ROUND(U$6+IF(U$5=$C180,$E$5+$E180,0),2),2)&gt;0,ROUND(W179+V180-ROUND(U$6+IF(U$5=$C180,$E$5+$E180,0),2),2)&lt;=X180,ROUND(W179+V180-ROUND(U$6+IF(U$5=$C180,$E$5+$E180,0),2),2)*10&lt;=ROUND(U$6+IF(U$5=$C180,$E$5+$E180,0),2)),ROUND(W179+V180,2),MIN(ROUND(U$6+IF(U$5=$C180,$E$5+$E180,0),2),ROUND(W179+V180,2))),0)</f>
        <v>0</v>
      </c>
      <c r="V180" s="24">
        <f>IF(W179&gt;0,ROUND(ROUND(W179*100,0)*ROUND(U$7*10000,0)/12000000,0)/100,0)</f>
        <v>0</v>
      </c>
      <c r="W180" s="24">
        <f>IF(W179&gt;0,ROUND(W179+V180-U180,2),0)</f>
        <v>0</v>
      </c>
      <c r="X180" s="24">
        <f>IF(W179&gt;0,ROUND(X179+ROUND(ROUND(X179*100,0)*ROUND(U$7*10000,0)/12000000,0)/100+0.02,2),0)</f>
        <v>0</v>
      </c>
      <c r="Y180" s="24">
        <f>IF(AA179&gt;0,IF(AND(ROUND(AA179+Z180-ROUND(Y$6+IF(Y$5=$C180,$E$5+$E180,0),2),2)&gt;0,ROUND(AA179+Z180-ROUND(Y$6+IF(Y$5=$C180,$E$5+$E180,0),2),2)&lt;=AB180,ROUND(AA179+Z180-ROUND(Y$6+IF(Y$5=$C180,$E$5+$E180,0),2),2)*10&lt;=ROUND(Y$6+IF(Y$5=$C180,$E$5+$E180,0),2)),ROUND(AA179+Z180,2),MIN(ROUND(Y$6+IF(Y$5=$C180,$E$5+$E180,0),2),ROUND(AA179+Z180,2))),0)</f>
        <v>0</v>
      </c>
      <c r="Z180" s="24">
        <f>IF(AA179&gt;0,ROUND(ROUND(AA179*100,0)*ROUND(Y$7*10000,0)/12000000,0)/100,0)</f>
        <v>0</v>
      </c>
      <c r="AA180" s="24">
        <f>IF(AA179&gt;0,ROUND(AA179+Z180-Y180,2),0)</f>
        <v>0</v>
      </c>
      <c r="AB180" s="24">
        <f>IF(AA179&gt;0,ROUND(AB179+ROUND(ROUND(AB179*100,0)*ROUND(Y$7*10000,0)/12000000,0)/100+0.02,2),0)</f>
        <v>0</v>
      </c>
      <c r="AC180" s="24">
        <f>IF(AE179&gt;0,IF(AND(ROUND(AE179+AD180-ROUND(AC$6+IF(AC$5=$C180,$E$5+$E180,0),2),2)&gt;0,ROUND(AE179+AD180-ROUND(AC$6+IF(AC$5=$C180,$E$5+$E180,0),2),2)&lt;=AF180,ROUND(AE179+AD180-ROUND(AC$6+IF(AC$5=$C180,$E$5+$E180,0),2),2)*10&lt;=ROUND(AC$6+IF(AC$5=$C180,$E$5+$E180,0),2)),ROUND(AE179+AD180,2),MIN(ROUND(AC$6+IF(AC$5=$C180,$E$5+$E180,0),2),ROUND(AE179+AD180,2))),0)</f>
        <v>0</v>
      </c>
      <c r="AD180" s="24">
        <f>IF(AE179&gt;0,ROUND(ROUND(AE179*100,0)*ROUND(AC$7*10000,0)/12000000,0)/100,0)</f>
        <v>0</v>
      </c>
      <c r="AE180" s="24">
        <f>IF(AE179&gt;0,ROUND(AE179+AD180-AC180,2),0)</f>
        <v>0</v>
      </c>
      <c r="AF180" s="24">
        <f>IF(AE179&gt;0,ROUND(AF179+ROUND(ROUND(AF179*100,0)*ROUND(AC$7*10000,0)/12000000,0)/100+0.02,2),0)</f>
        <v>0</v>
      </c>
      <c r="AG180" s="24">
        <f>IF(AI179&gt;0,IF(AND(ROUND(AI179+AH180-ROUND(AG$6+IF(AG$5=$C180,$E$5+$E180,0),2),2)&gt;0,ROUND(AI179+AH180-ROUND(AG$6+IF(AG$5=$C180,$E$5+$E180,0),2),2)&lt;=AJ180,ROUND(AI179+AH180-ROUND(AG$6+IF(AG$5=$C180,$E$5+$E180,0),2),2)*10&lt;=ROUND(AG$6+IF(AG$5=$C180,$E$5+$E180,0),2)),ROUND(AI179+AH180,2),MIN(ROUND(AG$6+IF(AG$5=$C180,$E$5+$E180,0),2),ROUND(AI179+AH180,2))),0)</f>
        <v>0</v>
      </c>
      <c r="AH180" s="24">
        <f>IF(AI179&gt;0,ROUND(ROUND(AI179*100,0)*ROUND(AG$7*10000,0)/12000000,0)/100,0)</f>
        <v>0</v>
      </c>
      <c r="AI180" s="24">
        <f>IF(AI179&gt;0,ROUND(AI179+AH180-AG180,2),0)</f>
        <v>0</v>
      </c>
      <c r="AJ180" s="24">
        <f>IF(AI179&gt;0,ROUND(AJ179+ROUND(ROUND(AJ179*100,0)*ROUND(AG$7*10000,0)/12000000,0)/100+0.02,2),0)</f>
        <v>0</v>
      </c>
      <c r="AK180" s="24">
        <f>IF(AM179&gt;0,IF(AND(ROUND(AM179+AL180-ROUND(AK$6+IF(AK$5=$C180,$E$5+$E180,0),2),2)&gt;0,ROUND(AM179+AL180-ROUND(AK$6+IF(AK$5=$C180,$E$5+$E180,0),2),2)&lt;=AN180,ROUND(AM179+AL180-ROUND(AK$6+IF(AK$5=$C180,$E$5+$E180,0),2),2)*10&lt;=ROUND(AK$6+IF(AK$5=$C180,$E$5+$E180,0),2)),ROUND(AM179+AL180,2),MIN(ROUND(AK$6+IF(AK$5=$C180,$E$5+$E180,0),2),ROUND(AM179+AL180,2))),0)</f>
        <v>0</v>
      </c>
      <c r="AL180" s="24">
        <f>IF(AM179&gt;0,ROUND(ROUND(AM179*100,0)*ROUND(AK$7*10000,0)/12000000,0)/100,0)</f>
        <v>0</v>
      </c>
      <c r="AM180" s="24">
        <f>IF(AM179&gt;0,ROUND(AM179+AL180-AK180,2),0)</f>
        <v>0</v>
      </c>
      <c r="AN180" s="24">
        <f>IF(AM179&gt;0,ROUND(AN179+ROUND(ROUND(AN179*100,0)*ROUND(AK$7*10000,0)/12000000,0)/100+0.02,2),0)</f>
        <v>0</v>
      </c>
      <c r="AO180" s="24">
        <f>IF(AQ179&gt;0,IF(AND(ROUND(AQ179+AP180-ROUND(AO$6+IF(AO$5=$C180,$E$5+$E180,0),2),2)&gt;0,ROUND(AQ179+AP180-ROUND(AO$6+IF(AO$5=$C180,$E$5+$E180,0),2),2)&lt;=AR180,ROUND(AQ179+AP180-ROUND(AO$6+IF(AO$5=$C180,$E$5+$E180,0),2),2)*10&lt;=ROUND(AO$6+IF(AO$5=$C180,$E$5+$E180,0),2)),ROUND(AQ179+AP180,2),MIN(ROUND(AO$6+IF(AO$5=$C180,$E$5+$E180,0),2),ROUND(AQ179+AP180,2))),0)</f>
        <v>0</v>
      </c>
      <c r="AP180" s="24">
        <f>IF(AQ179&gt;0,ROUND(ROUND(AQ179*100,0)*ROUND(AO$7*10000,0)/12000000,0)/100,0)</f>
        <v>0</v>
      </c>
      <c r="AQ180" s="24">
        <f>IF(AQ179&gt;0,ROUND(AQ179+AP180-AO180,2),0)</f>
        <v>0</v>
      </c>
      <c r="AR180" s="24">
        <f>IF(AQ179&gt;0,ROUND(AR179+ROUND(ROUND(AR179*100,0)*ROUND(AO$7*10000,0)/12000000,0)/100+0.02,2),0)</f>
        <v>0</v>
      </c>
      <c r="AS180" s="24">
        <f>IF(AU179&gt;0,IF(AND(ROUND(AU179+AT180-ROUND(AS$6+IF(AS$5=$C180,$E$5+$E180,0),2),2)&gt;0,ROUND(AU179+AT180-ROUND(AS$6+IF(AS$5=$C180,$E$5+$E180,0),2),2)&lt;=AV180,ROUND(AU179+AT180-ROUND(AS$6+IF(AS$5=$C180,$E$5+$E180,0),2),2)*10&lt;=ROUND(AS$6+IF(AS$5=$C180,$E$5+$E180,0),2)),ROUND(AU179+AT180,2),MIN(ROUND(AS$6+IF(AS$5=$C180,$E$5+$E180,0),2),ROUND(AU179+AT180,2))),0)</f>
        <v>0</v>
      </c>
      <c r="AT180" s="24">
        <f>IF(AU179&gt;0,ROUND(ROUND(AU179*100,0)*ROUND(AS$7*10000,0)/12000000,0)/100,0)</f>
        <v>0</v>
      </c>
      <c r="AU180" s="24">
        <f>IF(AU179&gt;0,ROUND(AU179+AT180-AS180,2),0)</f>
        <v>0</v>
      </c>
      <c r="AV180" s="24">
        <f>IF(AU179&gt;0,ROUND(AV179+ROUND(ROUND(AV179*100,0)*ROUND(AS$7*10000,0)/12000000,0)/100+0.02,2),0)</f>
        <v>0</v>
      </c>
    </row>
    <row r="181" spans="1:48" x14ac:dyDescent="0.25">
      <c r="A181" s="17" t="str">
        <f>IF(F181&gt;0,171,"")</f>
        <v/>
      </c>
      <c r="B181" s="18" t="str">
        <f>IF(F181&gt;0,EDATE($E$6,171),"")</f>
        <v/>
      </c>
      <c r="C181" s="21">
        <f>IF(H180&gt;0,MIN(IF(K180&gt;0,I$5,99),IF(O180&gt;0,M$5,99),IF(S180&gt;0,Q$5,99),IF(W180&gt;0,U$5,99),IF(AA180&gt;0,Y$5,99),IF(AE180&gt;0,AC$5,99),IF(AI180&gt;0,AG$5,99),IF(AM180&gt;0,AK$5,99),IF(AQ180&gt;0,AO$5,99),IF(AU180&gt;0,AS$5,99)),0)</f>
        <v>0</v>
      </c>
      <c r="D181" t="str">
        <f>IF(C181&gt;0,INDEX($I$4:$AV$4,1,MATCH(C181,$I$5:$AV$5,0)),"")</f>
        <v/>
      </c>
      <c r="E181" s="24">
        <f>ROUND(IF(AND(I$8&gt;0,K180=0),I$6,0)+IF(AND(M$8&gt;0,O180=0),M$6,0)+IF(AND(Q$8&gt;0,S180=0),Q$6,0)+IF(AND(U$8&gt;0,W180=0),U$6,0)+IF(AND(Y$8&gt;0,AA180=0),Y$6,0)+IF(AND(AC$8&gt;0,AE180=0),AC$6,0)+IF(AND(AG$8&gt;0,AI180=0),AG$6,0)+IF(AND(AK$8&gt;0,AM180=0),AK$6,0)+IF(AND(AO$8&gt;0,AQ180=0),AO$6,0)+IF(AND(AS$8&gt;0,AU180=0),AS$6,0),2)</f>
        <v>325</v>
      </c>
      <c r="F181" s="24">
        <f>ROUND(I181+M181+Q181+U181+Y181+AC181+AG181+AK181+AO181+AS181,2)</f>
        <v>0</v>
      </c>
      <c r="G181" s="24">
        <f>ROUND(J181+N181+R181+V181+Z181+AD181+AH181+AL181+AP181+AT181,2)</f>
        <v>0</v>
      </c>
      <c r="H181" s="24">
        <f>ROUND(K181+O181+S181+W181+AA181+AE181+AI181+AM181+AQ181+AU181,2)</f>
        <v>0</v>
      </c>
      <c r="I181" s="24">
        <f>IF(K180&gt;0,IF(AND(ROUND(K180+J181-ROUND(I$6+IF(I$5=$C181,$E$5+$E181,0),2),2)&gt;0,ROUND(K180+J181-ROUND(I$6+IF(I$5=$C181,$E$5+$E181,0),2),2)&lt;=L181,ROUND(K180+J181-ROUND(I$6+IF(I$5=$C181,$E$5+$E181,0),2),2)*10&lt;=ROUND(I$6+IF(I$5=$C181,$E$5+$E181,0),2)),ROUND(K180+J181,2),MIN(ROUND(I$6+IF(I$5=$C181,$E$5+$E181,0),2),ROUND(K180+J181,2))),0)</f>
        <v>0</v>
      </c>
      <c r="J181" s="24">
        <f>IF(K180&gt;0,ROUND(ROUND(K180*100,0)*ROUND(I$7*10000,0)/12000000,0)/100,0)</f>
        <v>0</v>
      </c>
      <c r="K181" s="24">
        <f>IF(K180&gt;0,ROUND(K180+J181-I181,2),0)</f>
        <v>0</v>
      </c>
      <c r="L181" s="24">
        <f>IF(K180&gt;0,ROUND(L180+ROUND(ROUND(L180*100,0)*ROUND(I$7*10000,0)/12000000,0)/100+0.02,2),0)</f>
        <v>0</v>
      </c>
      <c r="M181" s="24">
        <f>IF(O180&gt;0,IF(AND(ROUND(O180+N181-ROUND(M$6+IF(M$5=$C181,$E$5+$E181,0),2),2)&gt;0,ROUND(O180+N181-ROUND(M$6+IF(M$5=$C181,$E$5+$E181,0),2),2)&lt;=P181,ROUND(O180+N181-ROUND(M$6+IF(M$5=$C181,$E$5+$E181,0),2),2)*10&lt;=ROUND(M$6+IF(M$5=$C181,$E$5+$E181,0),2)),ROUND(O180+N181,2),MIN(ROUND(M$6+IF(M$5=$C181,$E$5+$E181,0),2),ROUND(O180+N181,2))),0)</f>
        <v>0</v>
      </c>
      <c r="N181" s="24">
        <f>IF(O180&gt;0,ROUND(ROUND(O180*100,0)*ROUND(M$7*10000,0)/12000000,0)/100,0)</f>
        <v>0</v>
      </c>
      <c r="O181" s="24">
        <f>IF(O180&gt;0,ROUND(O180+N181-M181,2),0)</f>
        <v>0</v>
      </c>
      <c r="P181" s="24">
        <f>IF(O180&gt;0,ROUND(P180+ROUND(ROUND(P180*100,0)*ROUND(M$7*10000,0)/12000000,0)/100+0.02,2),0)</f>
        <v>0</v>
      </c>
      <c r="Q181" s="24">
        <f>IF(S180&gt;0,IF(AND(ROUND(S180+R181-ROUND(Q$6+IF(Q$5=$C181,$E$5+$E181,0),2),2)&gt;0,ROUND(S180+R181-ROUND(Q$6+IF(Q$5=$C181,$E$5+$E181,0),2),2)&lt;=T181,ROUND(S180+R181-ROUND(Q$6+IF(Q$5=$C181,$E$5+$E181,0),2),2)*10&lt;=ROUND(Q$6+IF(Q$5=$C181,$E$5+$E181,0),2)),ROUND(S180+R181,2),MIN(ROUND(Q$6+IF(Q$5=$C181,$E$5+$E181,0),2),ROUND(S180+R181,2))),0)</f>
        <v>0</v>
      </c>
      <c r="R181" s="24">
        <f>IF(S180&gt;0,ROUND(ROUND(S180*100,0)*ROUND(Q$7*10000,0)/12000000,0)/100,0)</f>
        <v>0</v>
      </c>
      <c r="S181" s="24">
        <f>IF(S180&gt;0,ROUND(S180+R181-Q181,2),0)</f>
        <v>0</v>
      </c>
      <c r="T181" s="24">
        <f>IF(S180&gt;0,ROUND(T180+ROUND(ROUND(T180*100,0)*ROUND(Q$7*10000,0)/12000000,0)/100+0.02,2),0)</f>
        <v>0</v>
      </c>
      <c r="U181" s="24">
        <f>IF(W180&gt;0,IF(AND(ROUND(W180+V181-ROUND(U$6+IF(U$5=$C181,$E$5+$E181,0),2),2)&gt;0,ROUND(W180+V181-ROUND(U$6+IF(U$5=$C181,$E$5+$E181,0),2),2)&lt;=X181,ROUND(W180+V181-ROUND(U$6+IF(U$5=$C181,$E$5+$E181,0),2),2)*10&lt;=ROUND(U$6+IF(U$5=$C181,$E$5+$E181,0),2)),ROUND(W180+V181,2),MIN(ROUND(U$6+IF(U$5=$C181,$E$5+$E181,0),2),ROUND(W180+V181,2))),0)</f>
        <v>0</v>
      </c>
      <c r="V181" s="24">
        <f>IF(W180&gt;0,ROUND(ROUND(W180*100,0)*ROUND(U$7*10000,0)/12000000,0)/100,0)</f>
        <v>0</v>
      </c>
      <c r="W181" s="24">
        <f>IF(W180&gt;0,ROUND(W180+V181-U181,2),0)</f>
        <v>0</v>
      </c>
      <c r="X181" s="24">
        <f>IF(W180&gt;0,ROUND(X180+ROUND(ROUND(X180*100,0)*ROUND(U$7*10000,0)/12000000,0)/100+0.02,2),0)</f>
        <v>0</v>
      </c>
      <c r="Y181" s="24">
        <f>IF(AA180&gt;0,IF(AND(ROUND(AA180+Z181-ROUND(Y$6+IF(Y$5=$C181,$E$5+$E181,0),2),2)&gt;0,ROUND(AA180+Z181-ROUND(Y$6+IF(Y$5=$C181,$E$5+$E181,0),2),2)&lt;=AB181,ROUND(AA180+Z181-ROUND(Y$6+IF(Y$5=$C181,$E$5+$E181,0),2),2)*10&lt;=ROUND(Y$6+IF(Y$5=$C181,$E$5+$E181,0),2)),ROUND(AA180+Z181,2),MIN(ROUND(Y$6+IF(Y$5=$C181,$E$5+$E181,0),2),ROUND(AA180+Z181,2))),0)</f>
        <v>0</v>
      </c>
      <c r="Z181" s="24">
        <f>IF(AA180&gt;0,ROUND(ROUND(AA180*100,0)*ROUND(Y$7*10000,0)/12000000,0)/100,0)</f>
        <v>0</v>
      </c>
      <c r="AA181" s="24">
        <f>IF(AA180&gt;0,ROUND(AA180+Z181-Y181,2),0)</f>
        <v>0</v>
      </c>
      <c r="AB181" s="24">
        <f>IF(AA180&gt;0,ROUND(AB180+ROUND(ROUND(AB180*100,0)*ROUND(Y$7*10000,0)/12000000,0)/100+0.02,2),0)</f>
        <v>0</v>
      </c>
      <c r="AC181" s="24">
        <f>IF(AE180&gt;0,IF(AND(ROUND(AE180+AD181-ROUND(AC$6+IF(AC$5=$C181,$E$5+$E181,0),2),2)&gt;0,ROUND(AE180+AD181-ROUND(AC$6+IF(AC$5=$C181,$E$5+$E181,0),2),2)&lt;=AF181,ROUND(AE180+AD181-ROUND(AC$6+IF(AC$5=$C181,$E$5+$E181,0),2),2)*10&lt;=ROUND(AC$6+IF(AC$5=$C181,$E$5+$E181,0),2)),ROUND(AE180+AD181,2),MIN(ROUND(AC$6+IF(AC$5=$C181,$E$5+$E181,0),2),ROUND(AE180+AD181,2))),0)</f>
        <v>0</v>
      </c>
      <c r="AD181" s="24">
        <f>IF(AE180&gt;0,ROUND(ROUND(AE180*100,0)*ROUND(AC$7*10000,0)/12000000,0)/100,0)</f>
        <v>0</v>
      </c>
      <c r="AE181" s="24">
        <f>IF(AE180&gt;0,ROUND(AE180+AD181-AC181,2),0)</f>
        <v>0</v>
      </c>
      <c r="AF181" s="24">
        <f>IF(AE180&gt;0,ROUND(AF180+ROUND(ROUND(AF180*100,0)*ROUND(AC$7*10000,0)/12000000,0)/100+0.02,2),0)</f>
        <v>0</v>
      </c>
      <c r="AG181" s="24">
        <f>IF(AI180&gt;0,IF(AND(ROUND(AI180+AH181-ROUND(AG$6+IF(AG$5=$C181,$E$5+$E181,0),2),2)&gt;0,ROUND(AI180+AH181-ROUND(AG$6+IF(AG$5=$C181,$E$5+$E181,0),2),2)&lt;=AJ181,ROUND(AI180+AH181-ROUND(AG$6+IF(AG$5=$C181,$E$5+$E181,0),2),2)*10&lt;=ROUND(AG$6+IF(AG$5=$C181,$E$5+$E181,0),2)),ROUND(AI180+AH181,2),MIN(ROUND(AG$6+IF(AG$5=$C181,$E$5+$E181,0),2),ROUND(AI180+AH181,2))),0)</f>
        <v>0</v>
      </c>
      <c r="AH181" s="24">
        <f>IF(AI180&gt;0,ROUND(ROUND(AI180*100,0)*ROUND(AG$7*10000,0)/12000000,0)/100,0)</f>
        <v>0</v>
      </c>
      <c r="AI181" s="24">
        <f>IF(AI180&gt;0,ROUND(AI180+AH181-AG181,2),0)</f>
        <v>0</v>
      </c>
      <c r="AJ181" s="24">
        <f>IF(AI180&gt;0,ROUND(AJ180+ROUND(ROUND(AJ180*100,0)*ROUND(AG$7*10000,0)/12000000,0)/100+0.02,2),0)</f>
        <v>0</v>
      </c>
      <c r="AK181" s="24">
        <f>IF(AM180&gt;0,IF(AND(ROUND(AM180+AL181-ROUND(AK$6+IF(AK$5=$C181,$E$5+$E181,0),2),2)&gt;0,ROUND(AM180+AL181-ROUND(AK$6+IF(AK$5=$C181,$E$5+$E181,0),2),2)&lt;=AN181,ROUND(AM180+AL181-ROUND(AK$6+IF(AK$5=$C181,$E$5+$E181,0),2),2)*10&lt;=ROUND(AK$6+IF(AK$5=$C181,$E$5+$E181,0),2)),ROUND(AM180+AL181,2),MIN(ROUND(AK$6+IF(AK$5=$C181,$E$5+$E181,0),2),ROUND(AM180+AL181,2))),0)</f>
        <v>0</v>
      </c>
      <c r="AL181" s="24">
        <f>IF(AM180&gt;0,ROUND(ROUND(AM180*100,0)*ROUND(AK$7*10000,0)/12000000,0)/100,0)</f>
        <v>0</v>
      </c>
      <c r="AM181" s="24">
        <f>IF(AM180&gt;0,ROUND(AM180+AL181-AK181,2),0)</f>
        <v>0</v>
      </c>
      <c r="AN181" s="24">
        <f>IF(AM180&gt;0,ROUND(AN180+ROUND(ROUND(AN180*100,0)*ROUND(AK$7*10000,0)/12000000,0)/100+0.02,2),0)</f>
        <v>0</v>
      </c>
      <c r="AO181" s="24">
        <f>IF(AQ180&gt;0,IF(AND(ROUND(AQ180+AP181-ROUND(AO$6+IF(AO$5=$C181,$E$5+$E181,0),2),2)&gt;0,ROUND(AQ180+AP181-ROUND(AO$6+IF(AO$5=$C181,$E$5+$E181,0),2),2)&lt;=AR181,ROUND(AQ180+AP181-ROUND(AO$6+IF(AO$5=$C181,$E$5+$E181,0),2),2)*10&lt;=ROUND(AO$6+IF(AO$5=$C181,$E$5+$E181,0),2)),ROUND(AQ180+AP181,2),MIN(ROUND(AO$6+IF(AO$5=$C181,$E$5+$E181,0),2),ROUND(AQ180+AP181,2))),0)</f>
        <v>0</v>
      </c>
      <c r="AP181" s="24">
        <f>IF(AQ180&gt;0,ROUND(ROUND(AQ180*100,0)*ROUND(AO$7*10000,0)/12000000,0)/100,0)</f>
        <v>0</v>
      </c>
      <c r="AQ181" s="24">
        <f>IF(AQ180&gt;0,ROUND(AQ180+AP181-AO181,2),0)</f>
        <v>0</v>
      </c>
      <c r="AR181" s="24">
        <f>IF(AQ180&gt;0,ROUND(AR180+ROUND(ROUND(AR180*100,0)*ROUND(AO$7*10000,0)/12000000,0)/100+0.02,2),0)</f>
        <v>0</v>
      </c>
      <c r="AS181" s="24">
        <f>IF(AU180&gt;0,IF(AND(ROUND(AU180+AT181-ROUND(AS$6+IF(AS$5=$C181,$E$5+$E181,0),2),2)&gt;0,ROUND(AU180+AT181-ROUND(AS$6+IF(AS$5=$C181,$E$5+$E181,0),2),2)&lt;=AV181,ROUND(AU180+AT181-ROUND(AS$6+IF(AS$5=$C181,$E$5+$E181,0),2),2)*10&lt;=ROUND(AS$6+IF(AS$5=$C181,$E$5+$E181,0),2)),ROUND(AU180+AT181,2),MIN(ROUND(AS$6+IF(AS$5=$C181,$E$5+$E181,0),2),ROUND(AU180+AT181,2))),0)</f>
        <v>0</v>
      </c>
      <c r="AT181" s="24">
        <f>IF(AU180&gt;0,ROUND(ROUND(AU180*100,0)*ROUND(AS$7*10000,0)/12000000,0)/100,0)</f>
        <v>0</v>
      </c>
      <c r="AU181" s="24">
        <f>IF(AU180&gt;0,ROUND(AU180+AT181-AS181,2),0)</f>
        <v>0</v>
      </c>
      <c r="AV181" s="24">
        <f>IF(AU180&gt;0,ROUND(AV180+ROUND(ROUND(AV180*100,0)*ROUND(AS$7*10000,0)/12000000,0)/100+0.02,2),0)</f>
        <v>0</v>
      </c>
    </row>
    <row r="182" spans="1:48" x14ac:dyDescent="0.25">
      <c r="A182" s="17" t="str">
        <f>IF(F182&gt;0,172,"")</f>
        <v/>
      </c>
      <c r="B182" s="18" t="str">
        <f>IF(F182&gt;0,EDATE($E$6,172),"")</f>
        <v/>
      </c>
      <c r="C182" s="21">
        <f>IF(H181&gt;0,MIN(IF(K181&gt;0,I$5,99),IF(O181&gt;0,M$5,99),IF(S181&gt;0,Q$5,99),IF(W181&gt;0,U$5,99),IF(AA181&gt;0,Y$5,99),IF(AE181&gt;0,AC$5,99),IF(AI181&gt;0,AG$5,99),IF(AM181&gt;0,AK$5,99),IF(AQ181&gt;0,AO$5,99),IF(AU181&gt;0,AS$5,99)),0)</f>
        <v>0</v>
      </c>
      <c r="D182" t="str">
        <f>IF(C182&gt;0,INDEX($I$4:$AV$4,1,MATCH(C182,$I$5:$AV$5,0)),"")</f>
        <v/>
      </c>
      <c r="E182" s="24">
        <f>ROUND(IF(AND(I$8&gt;0,K181=0),I$6,0)+IF(AND(M$8&gt;0,O181=0),M$6,0)+IF(AND(Q$8&gt;0,S181=0),Q$6,0)+IF(AND(U$8&gt;0,W181=0),U$6,0)+IF(AND(Y$8&gt;0,AA181=0),Y$6,0)+IF(AND(AC$8&gt;0,AE181=0),AC$6,0)+IF(AND(AG$8&gt;0,AI181=0),AG$6,0)+IF(AND(AK$8&gt;0,AM181=0),AK$6,0)+IF(AND(AO$8&gt;0,AQ181=0),AO$6,0)+IF(AND(AS$8&gt;0,AU181=0),AS$6,0),2)</f>
        <v>325</v>
      </c>
      <c r="F182" s="24">
        <f>ROUND(I182+M182+Q182+U182+Y182+AC182+AG182+AK182+AO182+AS182,2)</f>
        <v>0</v>
      </c>
      <c r="G182" s="24">
        <f>ROUND(J182+N182+R182+V182+Z182+AD182+AH182+AL182+AP182+AT182,2)</f>
        <v>0</v>
      </c>
      <c r="H182" s="24">
        <f>ROUND(K182+O182+S182+W182+AA182+AE182+AI182+AM182+AQ182+AU182,2)</f>
        <v>0</v>
      </c>
      <c r="I182" s="24">
        <f>IF(K181&gt;0,IF(AND(ROUND(K181+J182-ROUND(I$6+IF(I$5=$C182,$E$5+$E182,0),2),2)&gt;0,ROUND(K181+J182-ROUND(I$6+IF(I$5=$C182,$E$5+$E182,0),2),2)&lt;=L182,ROUND(K181+J182-ROUND(I$6+IF(I$5=$C182,$E$5+$E182,0),2),2)*10&lt;=ROUND(I$6+IF(I$5=$C182,$E$5+$E182,0),2)),ROUND(K181+J182,2),MIN(ROUND(I$6+IF(I$5=$C182,$E$5+$E182,0),2),ROUND(K181+J182,2))),0)</f>
        <v>0</v>
      </c>
      <c r="J182" s="24">
        <f>IF(K181&gt;0,ROUND(ROUND(K181*100,0)*ROUND(I$7*10000,0)/12000000,0)/100,0)</f>
        <v>0</v>
      </c>
      <c r="K182" s="24">
        <f>IF(K181&gt;0,ROUND(K181+J182-I182,2),0)</f>
        <v>0</v>
      </c>
      <c r="L182" s="24">
        <f>IF(K181&gt;0,ROUND(L181+ROUND(ROUND(L181*100,0)*ROUND(I$7*10000,0)/12000000,0)/100+0.02,2),0)</f>
        <v>0</v>
      </c>
      <c r="M182" s="24">
        <f>IF(O181&gt;0,IF(AND(ROUND(O181+N182-ROUND(M$6+IF(M$5=$C182,$E$5+$E182,0),2),2)&gt;0,ROUND(O181+N182-ROUND(M$6+IF(M$5=$C182,$E$5+$E182,0),2),2)&lt;=P182,ROUND(O181+N182-ROUND(M$6+IF(M$5=$C182,$E$5+$E182,0),2),2)*10&lt;=ROUND(M$6+IF(M$5=$C182,$E$5+$E182,0),2)),ROUND(O181+N182,2),MIN(ROUND(M$6+IF(M$5=$C182,$E$5+$E182,0),2),ROUND(O181+N182,2))),0)</f>
        <v>0</v>
      </c>
      <c r="N182" s="24">
        <f>IF(O181&gt;0,ROUND(ROUND(O181*100,0)*ROUND(M$7*10000,0)/12000000,0)/100,0)</f>
        <v>0</v>
      </c>
      <c r="O182" s="24">
        <f>IF(O181&gt;0,ROUND(O181+N182-M182,2),0)</f>
        <v>0</v>
      </c>
      <c r="P182" s="24">
        <f>IF(O181&gt;0,ROUND(P181+ROUND(ROUND(P181*100,0)*ROUND(M$7*10000,0)/12000000,0)/100+0.02,2),0)</f>
        <v>0</v>
      </c>
      <c r="Q182" s="24">
        <f>IF(S181&gt;0,IF(AND(ROUND(S181+R182-ROUND(Q$6+IF(Q$5=$C182,$E$5+$E182,0),2),2)&gt;0,ROUND(S181+R182-ROUND(Q$6+IF(Q$5=$C182,$E$5+$E182,0),2),2)&lt;=T182,ROUND(S181+R182-ROUND(Q$6+IF(Q$5=$C182,$E$5+$E182,0),2),2)*10&lt;=ROUND(Q$6+IF(Q$5=$C182,$E$5+$E182,0),2)),ROUND(S181+R182,2),MIN(ROUND(Q$6+IF(Q$5=$C182,$E$5+$E182,0),2),ROUND(S181+R182,2))),0)</f>
        <v>0</v>
      </c>
      <c r="R182" s="24">
        <f>IF(S181&gt;0,ROUND(ROUND(S181*100,0)*ROUND(Q$7*10000,0)/12000000,0)/100,0)</f>
        <v>0</v>
      </c>
      <c r="S182" s="24">
        <f>IF(S181&gt;0,ROUND(S181+R182-Q182,2),0)</f>
        <v>0</v>
      </c>
      <c r="T182" s="24">
        <f>IF(S181&gt;0,ROUND(T181+ROUND(ROUND(T181*100,0)*ROUND(Q$7*10000,0)/12000000,0)/100+0.02,2),0)</f>
        <v>0</v>
      </c>
      <c r="U182" s="24">
        <f>IF(W181&gt;0,IF(AND(ROUND(W181+V182-ROUND(U$6+IF(U$5=$C182,$E$5+$E182,0),2),2)&gt;0,ROUND(W181+V182-ROUND(U$6+IF(U$5=$C182,$E$5+$E182,0),2),2)&lt;=X182,ROUND(W181+V182-ROUND(U$6+IF(U$5=$C182,$E$5+$E182,0),2),2)*10&lt;=ROUND(U$6+IF(U$5=$C182,$E$5+$E182,0),2)),ROUND(W181+V182,2),MIN(ROUND(U$6+IF(U$5=$C182,$E$5+$E182,0),2),ROUND(W181+V182,2))),0)</f>
        <v>0</v>
      </c>
      <c r="V182" s="24">
        <f>IF(W181&gt;0,ROUND(ROUND(W181*100,0)*ROUND(U$7*10000,0)/12000000,0)/100,0)</f>
        <v>0</v>
      </c>
      <c r="W182" s="24">
        <f>IF(W181&gt;0,ROUND(W181+V182-U182,2),0)</f>
        <v>0</v>
      </c>
      <c r="X182" s="24">
        <f>IF(W181&gt;0,ROUND(X181+ROUND(ROUND(X181*100,0)*ROUND(U$7*10000,0)/12000000,0)/100+0.02,2),0)</f>
        <v>0</v>
      </c>
      <c r="Y182" s="24">
        <f>IF(AA181&gt;0,IF(AND(ROUND(AA181+Z182-ROUND(Y$6+IF(Y$5=$C182,$E$5+$E182,0),2),2)&gt;0,ROUND(AA181+Z182-ROUND(Y$6+IF(Y$5=$C182,$E$5+$E182,0),2),2)&lt;=AB182,ROUND(AA181+Z182-ROUND(Y$6+IF(Y$5=$C182,$E$5+$E182,0),2),2)*10&lt;=ROUND(Y$6+IF(Y$5=$C182,$E$5+$E182,0),2)),ROUND(AA181+Z182,2),MIN(ROUND(Y$6+IF(Y$5=$C182,$E$5+$E182,0),2),ROUND(AA181+Z182,2))),0)</f>
        <v>0</v>
      </c>
      <c r="Z182" s="24">
        <f>IF(AA181&gt;0,ROUND(ROUND(AA181*100,0)*ROUND(Y$7*10000,0)/12000000,0)/100,0)</f>
        <v>0</v>
      </c>
      <c r="AA182" s="24">
        <f>IF(AA181&gt;0,ROUND(AA181+Z182-Y182,2),0)</f>
        <v>0</v>
      </c>
      <c r="AB182" s="24">
        <f>IF(AA181&gt;0,ROUND(AB181+ROUND(ROUND(AB181*100,0)*ROUND(Y$7*10000,0)/12000000,0)/100+0.02,2),0)</f>
        <v>0</v>
      </c>
      <c r="AC182" s="24">
        <f>IF(AE181&gt;0,IF(AND(ROUND(AE181+AD182-ROUND(AC$6+IF(AC$5=$C182,$E$5+$E182,0),2),2)&gt;0,ROUND(AE181+AD182-ROUND(AC$6+IF(AC$5=$C182,$E$5+$E182,0),2),2)&lt;=AF182,ROUND(AE181+AD182-ROUND(AC$6+IF(AC$5=$C182,$E$5+$E182,0),2),2)*10&lt;=ROUND(AC$6+IF(AC$5=$C182,$E$5+$E182,0),2)),ROUND(AE181+AD182,2),MIN(ROUND(AC$6+IF(AC$5=$C182,$E$5+$E182,0),2),ROUND(AE181+AD182,2))),0)</f>
        <v>0</v>
      </c>
      <c r="AD182" s="24">
        <f>IF(AE181&gt;0,ROUND(ROUND(AE181*100,0)*ROUND(AC$7*10000,0)/12000000,0)/100,0)</f>
        <v>0</v>
      </c>
      <c r="AE182" s="24">
        <f>IF(AE181&gt;0,ROUND(AE181+AD182-AC182,2),0)</f>
        <v>0</v>
      </c>
      <c r="AF182" s="24">
        <f>IF(AE181&gt;0,ROUND(AF181+ROUND(ROUND(AF181*100,0)*ROUND(AC$7*10000,0)/12000000,0)/100+0.02,2),0)</f>
        <v>0</v>
      </c>
      <c r="AG182" s="24">
        <f>IF(AI181&gt;0,IF(AND(ROUND(AI181+AH182-ROUND(AG$6+IF(AG$5=$C182,$E$5+$E182,0),2),2)&gt;0,ROUND(AI181+AH182-ROUND(AG$6+IF(AG$5=$C182,$E$5+$E182,0),2),2)&lt;=AJ182,ROUND(AI181+AH182-ROUND(AG$6+IF(AG$5=$C182,$E$5+$E182,0),2),2)*10&lt;=ROUND(AG$6+IF(AG$5=$C182,$E$5+$E182,0),2)),ROUND(AI181+AH182,2),MIN(ROUND(AG$6+IF(AG$5=$C182,$E$5+$E182,0),2),ROUND(AI181+AH182,2))),0)</f>
        <v>0</v>
      </c>
      <c r="AH182" s="24">
        <f>IF(AI181&gt;0,ROUND(ROUND(AI181*100,0)*ROUND(AG$7*10000,0)/12000000,0)/100,0)</f>
        <v>0</v>
      </c>
      <c r="AI182" s="24">
        <f>IF(AI181&gt;0,ROUND(AI181+AH182-AG182,2),0)</f>
        <v>0</v>
      </c>
      <c r="AJ182" s="24">
        <f>IF(AI181&gt;0,ROUND(AJ181+ROUND(ROUND(AJ181*100,0)*ROUND(AG$7*10000,0)/12000000,0)/100+0.02,2),0)</f>
        <v>0</v>
      </c>
      <c r="AK182" s="24">
        <f>IF(AM181&gt;0,IF(AND(ROUND(AM181+AL182-ROUND(AK$6+IF(AK$5=$C182,$E$5+$E182,0),2),2)&gt;0,ROUND(AM181+AL182-ROUND(AK$6+IF(AK$5=$C182,$E$5+$E182,0),2),2)&lt;=AN182,ROUND(AM181+AL182-ROUND(AK$6+IF(AK$5=$C182,$E$5+$E182,0),2),2)*10&lt;=ROUND(AK$6+IF(AK$5=$C182,$E$5+$E182,0),2)),ROUND(AM181+AL182,2),MIN(ROUND(AK$6+IF(AK$5=$C182,$E$5+$E182,0),2),ROUND(AM181+AL182,2))),0)</f>
        <v>0</v>
      </c>
      <c r="AL182" s="24">
        <f>IF(AM181&gt;0,ROUND(ROUND(AM181*100,0)*ROUND(AK$7*10000,0)/12000000,0)/100,0)</f>
        <v>0</v>
      </c>
      <c r="AM182" s="24">
        <f>IF(AM181&gt;0,ROUND(AM181+AL182-AK182,2),0)</f>
        <v>0</v>
      </c>
      <c r="AN182" s="24">
        <f>IF(AM181&gt;0,ROUND(AN181+ROUND(ROUND(AN181*100,0)*ROUND(AK$7*10000,0)/12000000,0)/100+0.02,2),0)</f>
        <v>0</v>
      </c>
      <c r="AO182" s="24">
        <f>IF(AQ181&gt;0,IF(AND(ROUND(AQ181+AP182-ROUND(AO$6+IF(AO$5=$C182,$E$5+$E182,0),2),2)&gt;0,ROUND(AQ181+AP182-ROUND(AO$6+IF(AO$5=$C182,$E$5+$E182,0),2),2)&lt;=AR182,ROUND(AQ181+AP182-ROUND(AO$6+IF(AO$5=$C182,$E$5+$E182,0),2),2)*10&lt;=ROUND(AO$6+IF(AO$5=$C182,$E$5+$E182,0),2)),ROUND(AQ181+AP182,2),MIN(ROUND(AO$6+IF(AO$5=$C182,$E$5+$E182,0),2),ROUND(AQ181+AP182,2))),0)</f>
        <v>0</v>
      </c>
      <c r="AP182" s="24">
        <f>IF(AQ181&gt;0,ROUND(ROUND(AQ181*100,0)*ROUND(AO$7*10000,0)/12000000,0)/100,0)</f>
        <v>0</v>
      </c>
      <c r="AQ182" s="24">
        <f>IF(AQ181&gt;0,ROUND(AQ181+AP182-AO182,2),0)</f>
        <v>0</v>
      </c>
      <c r="AR182" s="24">
        <f>IF(AQ181&gt;0,ROUND(AR181+ROUND(ROUND(AR181*100,0)*ROUND(AO$7*10000,0)/12000000,0)/100+0.02,2),0)</f>
        <v>0</v>
      </c>
      <c r="AS182" s="24">
        <f>IF(AU181&gt;0,IF(AND(ROUND(AU181+AT182-ROUND(AS$6+IF(AS$5=$C182,$E$5+$E182,0),2),2)&gt;0,ROUND(AU181+AT182-ROUND(AS$6+IF(AS$5=$C182,$E$5+$E182,0),2),2)&lt;=AV182,ROUND(AU181+AT182-ROUND(AS$6+IF(AS$5=$C182,$E$5+$E182,0),2),2)*10&lt;=ROUND(AS$6+IF(AS$5=$C182,$E$5+$E182,0),2)),ROUND(AU181+AT182,2),MIN(ROUND(AS$6+IF(AS$5=$C182,$E$5+$E182,0),2),ROUND(AU181+AT182,2))),0)</f>
        <v>0</v>
      </c>
      <c r="AT182" s="24">
        <f>IF(AU181&gt;0,ROUND(ROUND(AU181*100,0)*ROUND(AS$7*10000,0)/12000000,0)/100,0)</f>
        <v>0</v>
      </c>
      <c r="AU182" s="24">
        <f>IF(AU181&gt;0,ROUND(AU181+AT182-AS182,2),0)</f>
        <v>0</v>
      </c>
      <c r="AV182" s="24">
        <f>IF(AU181&gt;0,ROUND(AV181+ROUND(ROUND(AV181*100,0)*ROUND(AS$7*10000,0)/12000000,0)/100+0.02,2),0)</f>
        <v>0</v>
      </c>
    </row>
    <row r="183" spans="1:48" x14ac:dyDescent="0.25">
      <c r="A183" s="17" t="str">
        <f>IF(F183&gt;0,173,"")</f>
        <v/>
      </c>
      <c r="B183" s="18" t="str">
        <f>IF(F183&gt;0,EDATE($E$6,173),"")</f>
        <v/>
      </c>
      <c r="C183" s="21">
        <f>IF(H182&gt;0,MIN(IF(K182&gt;0,I$5,99),IF(O182&gt;0,M$5,99),IF(S182&gt;0,Q$5,99),IF(W182&gt;0,U$5,99),IF(AA182&gt;0,Y$5,99),IF(AE182&gt;0,AC$5,99),IF(AI182&gt;0,AG$5,99),IF(AM182&gt;0,AK$5,99),IF(AQ182&gt;0,AO$5,99),IF(AU182&gt;0,AS$5,99)),0)</f>
        <v>0</v>
      </c>
      <c r="D183" t="str">
        <f>IF(C183&gt;0,INDEX($I$4:$AV$4,1,MATCH(C183,$I$5:$AV$5,0)),"")</f>
        <v/>
      </c>
      <c r="E183" s="24">
        <f>ROUND(IF(AND(I$8&gt;0,K182=0),I$6,0)+IF(AND(M$8&gt;0,O182=0),M$6,0)+IF(AND(Q$8&gt;0,S182=0),Q$6,0)+IF(AND(U$8&gt;0,W182=0),U$6,0)+IF(AND(Y$8&gt;0,AA182=0),Y$6,0)+IF(AND(AC$8&gt;0,AE182=0),AC$6,0)+IF(AND(AG$8&gt;0,AI182=0),AG$6,0)+IF(AND(AK$8&gt;0,AM182=0),AK$6,0)+IF(AND(AO$8&gt;0,AQ182=0),AO$6,0)+IF(AND(AS$8&gt;0,AU182=0),AS$6,0),2)</f>
        <v>325</v>
      </c>
      <c r="F183" s="24">
        <f>ROUND(I183+M183+Q183+U183+Y183+AC183+AG183+AK183+AO183+AS183,2)</f>
        <v>0</v>
      </c>
      <c r="G183" s="24">
        <f>ROUND(J183+N183+R183+V183+Z183+AD183+AH183+AL183+AP183+AT183,2)</f>
        <v>0</v>
      </c>
      <c r="H183" s="24">
        <f>ROUND(K183+O183+S183+W183+AA183+AE183+AI183+AM183+AQ183+AU183,2)</f>
        <v>0</v>
      </c>
      <c r="I183" s="24">
        <f>IF(K182&gt;0,IF(AND(ROUND(K182+J183-ROUND(I$6+IF(I$5=$C183,$E$5+$E183,0),2),2)&gt;0,ROUND(K182+J183-ROUND(I$6+IF(I$5=$C183,$E$5+$E183,0),2),2)&lt;=L183,ROUND(K182+J183-ROUND(I$6+IF(I$5=$C183,$E$5+$E183,0),2),2)*10&lt;=ROUND(I$6+IF(I$5=$C183,$E$5+$E183,0),2)),ROUND(K182+J183,2),MIN(ROUND(I$6+IF(I$5=$C183,$E$5+$E183,0),2),ROUND(K182+J183,2))),0)</f>
        <v>0</v>
      </c>
      <c r="J183" s="24">
        <f>IF(K182&gt;0,ROUND(ROUND(K182*100,0)*ROUND(I$7*10000,0)/12000000,0)/100,0)</f>
        <v>0</v>
      </c>
      <c r="K183" s="24">
        <f>IF(K182&gt;0,ROUND(K182+J183-I183,2),0)</f>
        <v>0</v>
      </c>
      <c r="L183" s="24">
        <f>IF(K182&gt;0,ROUND(L182+ROUND(ROUND(L182*100,0)*ROUND(I$7*10000,0)/12000000,0)/100+0.02,2),0)</f>
        <v>0</v>
      </c>
      <c r="M183" s="24">
        <f>IF(O182&gt;0,IF(AND(ROUND(O182+N183-ROUND(M$6+IF(M$5=$C183,$E$5+$E183,0),2),2)&gt;0,ROUND(O182+N183-ROUND(M$6+IF(M$5=$C183,$E$5+$E183,0),2),2)&lt;=P183,ROUND(O182+N183-ROUND(M$6+IF(M$5=$C183,$E$5+$E183,0),2),2)*10&lt;=ROUND(M$6+IF(M$5=$C183,$E$5+$E183,0),2)),ROUND(O182+N183,2),MIN(ROUND(M$6+IF(M$5=$C183,$E$5+$E183,0),2),ROUND(O182+N183,2))),0)</f>
        <v>0</v>
      </c>
      <c r="N183" s="24">
        <f>IF(O182&gt;0,ROUND(ROUND(O182*100,0)*ROUND(M$7*10000,0)/12000000,0)/100,0)</f>
        <v>0</v>
      </c>
      <c r="O183" s="24">
        <f>IF(O182&gt;0,ROUND(O182+N183-M183,2),0)</f>
        <v>0</v>
      </c>
      <c r="P183" s="24">
        <f>IF(O182&gt;0,ROUND(P182+ROUND(ROUND(P182*100,0)*ROUND(M$7*10000,0)/12000000,0)/100+0.02,2),0)</f>
        <v>0</v>
      </c>
      <c r="Q183" s="24">
        <f>IF(S182&gt;0,IF(AND(ROUND(S182+R183-ROUND(Q$6+IF(Q$5=$C183,$E$5+$E183,0),2),2)&gt;0,ROUND(S182+R183-ROUND(Q$6+IF(Q$5=$C183,$E$5+$E183,0),2),2)&lt;=T183,ROUND(S182+R183-ROUND(Q$6+IF(Q$5=$C183,$E$5+$E183,0),2),2)*10&lt;=ROUND(Q$6+IF(Q$5=$C183,$E$5+$E183,0),2)),ROUND(S182+R183,2),MIN(ROUND(Q$6+IF(Q$5=$C183,$E$5+$E183,0),2),ROUND(S182+R183,2))),0)</f>
        <v>0</v>
      </c>
      <c r="R183" s="24">
        <f>IF(S182&gt;0,ROUND(ROUND(S182*100,0)*ROUND(Q$7*10000,0)/12000000,0)/100,0)</f>
        <v>0</v>
      </c>
      <c r="S183" s="24">
        <f>IF(S182&gt;0,ROUND(S182+R183-Q183,2),0)</f>
        <v>0</v>
      </c>
      <c r="T183" s="24">
        <f>IF(S182&gt;0,ROUND(T182+ROUND(ROUND(T182*100,0)*ROUND(Q$7*10000,0)/12000000,0)/100+0.02,2),0)</f>
        <v>0</v>
      </c>
      <c r="U183" s="24">
        <f>IF(W182&gt;0,IF(AND(ROUND(W182+V183-ROUND(U$6+IF(U$5=$C183,$E$5+$E183,0),2),2)&gt;0,ROUND(W182+V183-ROUND(U$6+IF(U$5=$C183,$E$5+$E183,0),2),2)&lt;=X183,ROUND(W182+V183-ROUND(U$6+IF(U$5=$C183,$E$5+$E183,0),2),2)*10&lt;=ROUND(U$6+IF(U$5=$C183,$E$5+$E183,0),2)),ROUND(W182+V183,2),MIN(ROUND(U$6+IF(U$5=$C183,$E$5+$E183,0),2),ROUND(W182+V183,2))),0)</f>
        <v>0</v>
      </c>
      <c r="V183" s="24">
        <f>IF(W182&gt;0,ROUND(ROUND(W182*100,0)*ROUND(U$7*10000,0)/12000000,0)/100,0)</f>
        <v>0</v>
      </c>
      <c r="W183" s="24">
        <f>IF(W182&gt;0,ROUND(W182+V183-U183,2),0)</f>
        <v>0</v>
      </c>
      <c r="X183" s="24">
        <f>IF(W182&gt;0,ROUND(X182+ROUND(ROUND(X182*100,0)*ROUND(U$7*10000,0)/12000000,0)/100+0.02,2),0)</f>
        <v>0</v>
      </c>
      <c r="Y183" s="24">
        <f>IF(AA182&gt;0,IF(AND(ROUND(AA182+Z183-ROUND(Y$6+IF(Y$5=$C183,$E$5+$E183,0),2),2)&gt;0,ROUND(AA182+Z183-ROUND(Y$6+IF(Y$5=$C183,$E$5+$E183,0),2),2)&lt;=AB183,ROUND(AA182+Z183-ROUND(Y$6+IF(Y$5=$C183,$E$5+$E183,0),2),2)*10&lt;=ROUND(Y$6+IF(Y$5=$C183,$E$5+$E183,0),2)),ROUND(AA182+Z183,2),MIN(ROUND(Y$6+IF(Y$5=$C183,$E$5+$E183,0),2),ROUND(AA182+Z183,2))),0)</f>
        <v>0</v>
      </c>
      <c r="Z183" s="24">
        <f>IF(AA182&gt;0,ROUND(ROUND(AA182*100,0)*ROUND(Y$7*10000,0)/12000000,0)/100,0)</f>
        <v>0</v>
      </c>
      <c r="AA183" s="24">
        <f>IF(AA182&gt;0,ROUND(AA182+Z183-Y183,2),0)</f>
        <v>0</v>
      </c>
      <c r="AB183" s="24">
        <f>IF(AA182&gt;0,ROUND(AB182+ROUND(ROUND(AB182*100,0)*ROUND(Y$7*10000,0)/12000000,0)/100+0.02,2),0)</f>
        <v>0</v>
      </c>
      <c r="AC183" s="24">
        <f>IF(AE182&gt;0,IF(AND(ROUND(AE182+AD183-ROUND(AC$6+IF(AC$5=$C183,$E$5+$E183,0),2),2)&gt;0,ROUND(AE182+AD183-ROUND(AC$6+IF(AC$5=$C183,$E$5+$E183,0),2),2)&lt;=AF183,ROUND(AE182+AD183-ROUND(AC$6+IF(AC$5=$C183,$E$5+$E183,0),2),2)*10&lt;=ROUND(AC$6+IF(AC$5=$C183,$E$5+$E183,0),2)),ROUND(AE182+AD183,2),MIN(ROUND(AC$6+IF(AC$5=$C183,$E$5+$E183,0),2),ROUND(AE182+AD183,2))),0)</f>
        <v>0</v>
      </c>
      <c r="AD183" s="24">
        <f>IF(AE182&gt;0,ROUND(ROUND(AE182*100,0)*ROUND(AC$7*10000,0)/12000000,0)/100,0)</f>
        <v>0</v>
      </c>
      <c r="AE183" s="24">
        <f>IF(AE182&gt;0,ROUND(AE182+AD183-AC183,2),0)</f>
        <v>0</v>
      </c>
      <c r="AF183" s="24">
        <f>IF(AE182&gt;0,ROUND(AF182+ROUND(ROUND(AF182*100,0)*ROUND(AC$7*10000,0)/12000000,0)/100+0.02,2),0)</f>
        <v>0</v>
      </c>
      <c r="AG183" s="24">
        <f>IF(AI182&gt;0,IF(AND(ROUND(AI182+AH183-ROUND(AG$6+IF(AG$5=$C183,$E$5+$E183,0),2),2)&gt;0,ROUND(AI182+AH183-ROUND(AG$6+IF(AG$5=$C183,$E$5+$E183,0),2),2)&lt;=AJ183,ROUND(AI182+AH183-ROUND(AG$6+IF(AG$5=$C183,$E$5+$E183,0),2),2)*10&lt;=ROUND(AG$6+IF(AG$5=$C183,$E$5+$E183,0),2)),ROUND(AI182+AH183,2),MIN(ROUND(AG$6+IF(AG$5=$C183,$E$5+$E183,0),2),ROUND(AI182+AH183,2))),0)</f>
        <v>0</v>
      </c>
      <c r="AH183" s="24">
        <f>IF(AI182&gt;0,ROUND(ROUND(AI182*100,0)*ROUND(AG$7*10000,0)/12000000,0)/100,0)</f>
        <v>0</v>
      </c>
      <c r="AI183" s="24">
        <f>IF(AI182&gt;0,ROUND(AI182+AH183-AG183,2),0)</f>
        <v>0</v>
      </c>
      <c r="AJ183" s="24">
        <f>IF(AI182&gt;0,ROUND(AJ182+ROUND(ROUND(AJ182*100,0)*ROUND(AG$7*10000,0)/12000000,0)/100+0.02,2),0)</f>
        <v>0</v>
      </c>
      <c r="AK183" s="24">
        <f>IF(AM182&gt;0,IF(AND(ROUND(AM182+AL183-ROUND(AK$6+IF(AK$5=$C183,$E$5+$E183,0),2),2)&gt;0,ROUND(AM182+AL183-ROUND(AK$6+IF(AK$5=$C183,$E$5+$E183,0),2),2)&lt;=AN183,ROUND(AM182+AL183-ROUND(AK$6+IF(AK$5=$C183,$E$5+$E183,0),2),2)*10&lt;=ROUND(AK$6+IF(AK$5=$C183,$E$5+$E183,0),2)),ROUND(AM182+AL183,2),MIN(ROUND(AK$6+IF(AK$5=$C183,$E$5+$E183,0),2),ROUND(AM182+AL183,2))),0)</f>
        <v>0</v>
      </c>
      <c r="AL183" s="24">
        <f>IF(AM182&gt;0,ROUND(ROUND(AM182*100,0)*ROUND(AK$7*10000,0)/12000000,0)/100,0)</f>
        <v>0</v>
      </c>
      <c r="AM183" s="24">
        <f>IF(AM182&gt;0,ROUND(AM182+AL183-AK183,2),0)</f>
        <v>0</v>
      </c>
      <c r="AN183" s="24">
        <f>IF(AM182&gt;0,ROUND(AN182+ROUND(ROUND(AN182*100,0)*ROUND(AK$7*10000,0)/12000000,0)/100+0.02,2),0)</f>
        <v>0</v>
      </c>
      <c r="AO183" s="24">
        <f>IF(AQ182&gt;0,IF(AND(ROUND(AQ182+AP183-ROUND(AO$6+IF(AO$5=$C183,$E$5+$E183,0),2),2)&gt;0,ROUND(AQ182+AP183-ROUND(AO$6+IF(AO$5=$C183,$E$5+$E183,0),2),2)&lt;=AR183,ROUND(AQ182+AP183-ROUND(AO$6+IF(AO$5=$C183,$E$5+$E183,0),2),2)*10&lt;=ROUND(AO$6+IF(AO$5=$C183,$E$5+$E183,0),2)),ROUND(AQ182+AP183,2),MIN(ROUND(AO$6+IF(AO$5=$C183,$E$5+$E183,0),2),ROUND(AQ182+AP183,2))),0)</f>
        <v>0</v>
      </c>
      <c r="AP183" s="24">
        <f>IF(AQ182&gt;0,ROUND(ROUND(AQ182*100,0)*ROUND(AO$7*10000,0)/12000000,0)/100,0)</f>
        <v>0</v>
      </c>
      <c r="AQ183" s="24">
        <f>IF(AQ182&gt;0,ROUND(AQ182+AP183-AO183,2),0)</f>
        <v>0</v>
      </c>
      <c r="AR183" s="24">
        <f>IF(AQ182&gt;0,ROUND(AR182+ROUND(ROUND(AR182*100,0)*ROUND(AO$7*10000,0)/12000000,0)/100+0.02,2),0)</f>
        <v>0</v>
      </c>
      <c r="AS183" s="24">
        <f>IF(AU182&gt;0,IF(AND(ROUND(AU182+AT183-ROUND(AS$6+IF(AS$5=$C183,$E$5+$E183,0),2),2)&gt;0,ROUND(AU182+AT183-ROUND(AS$6+IF(AS$5=$C183,$E$5+$E183,0),2),2)&lt;=AV183,ROUND(AU182+AT183-ROUND(AS$6+IF(AS$5=$C183,$E$5+$E183,0),2),2)*10&lt;=ROUND(AS$6+IF(AS$5=$C183,$E$5+$E183,0),2)),ROUND(AU182+AT183,2),MIN(ROUND(AS$6+IF(AS$5=$C183,$E$5+$E183,0),2),ROUND(AU182+AT183,2))),0)</f>
        <v>0</v>
      </c>
      <c r="AT183" s="24">
        <f>IF(AU182&gt;0,ROUND(ROUND(AU182*100,0)*ROUND(AS$7*10000,0)/12000000,0)/100,0)</f>
        <v>0</v>
      </c>
      <c r="AU183" s="24">
        <f>IF(AU182&gt;0,ROUND(AU182+AT183-AS183,2),0)</f>
        <v>0</v>
      </c>
      <c r="AV183" s="24">
        <f>IF(AU182&gt;0,ROUND(AV182+ROUND(ROUND(AV182*100,0)*ROUND(AS$7*10000,0)/12000000,0)/100+0.02,2),0)</f>
        <v>0</v>
      </c>
    </row>
    <row r="184" spans="1:48" x14ac:dyDescent="0.25">
      <c r="A184" s="17" t="str">
        <f>IF(F184&gt;0,174,"")</f>
        <v/>
      </c>
      <c r="B184" s="18" t="str">
        <f>IF(F184&gt;0,EDATE($E$6,174),"")</f>
        <v/>
      </c>
      <c r="C184" s="21">
        <f>IF(H183&gt;0,MIN(IF(K183&gt;0,I$5,99),IF(O183&gt;0,M$5,99),IF(S183&gt;0,Q$5,99),IF(W183&gt;0,U$5,99),IF(AA183&gt;0,Y$5,99),IF(AE183&gt;0,AC$5,99),IF(AI183&gt;0,AG$5,99),IF(AM183&gt;0,AK$5,99),IF(AQ183&gt;0,AO$5,99),IF(AU183&gt;0,AS$5,99)),0)</f>
        <v>0</v>
      </c>
      <c r="D184" t="str">
        <f>IF(C184&gt;0,INDEX($I$4:$AV$4,1,MATCH(C184,$I$5:$AV$5,0)),"")</f>
        <v/>
      </c>
      <c r="E184" s="24">
        <f>ROUND(IF(AND(I$8&gt;0,K183=0),I$6,0)+IF(AND(M$8&gt;0,O183=0),M$6,0)+IF(AND(Q$8&gt;0,S183=0),Q$6,0)+IF(AND(U$8&gt;0,W183=0),U$6,0)+IF(AND(Y$8&gt;0,AA183=0),Y$6,0)+IF(AND(AC$8&gt;0,AE183=0),AC$6,0)+IF(AND(AG$8&gt;0,AI183=0),AG$6,0)+IF(AND(AK$8&gt;0,AM183=0),AK$6,0)+IF(AND(AO$8&gt;0,AQ183=0),AO$6,0)+IF(AND(AS$8&gt;0,AU183=0),AS$6,0),2)</f>
        <v>325</v>
      </c>
      <c r="F184" s="24">
        <f>ROUND(I184+M184+Q184+U184+Y184+AC184+AG184+AK184+AO184+AS184,2)</f>
        <v>0</v>
      </c>
      <c r="G184" s="24">
        <f>ROUND(J184+N184+R184+V184+Z184+AD184+AH184+AL184+AP184+AT184,2)</f>
        <v>0</v>
      </c>
      <c r="H184" s="24">
        <f>ROUND(K184+O184+S184+W184+AA184+AE184+AI184+AM184+AQ184+AU184,2)</f>
        <v>0</v>
      </c>
      <c r="I184" s="24">
        <f>IF(K183&gt;0,IF(AND(ROUND(K183+J184-ROUND(I$6+IF(I$5=$C184,$E$5+$E184,0),2),2)&gt;0,ROUND(K183+J184-ROUND(I$6+IF(I$5=$C184,$E$5+$E184,0),2),2)&lt;=L184,ROUND(K183+J184-ROUND(I$6+IF(I$5=$C184,$E$5+$E184,0),2),2)*10&lt;=ROUND(I$6+IF(I$5=$C184,$E$5+$E184,0),2)),ROUND(K183+J184,2),MIN(ROUND(I$6+IF(I$5=$C184,$E$5+$E184,0),2),ROUND(K183+J184,2))),0)</f>
        <v>0</v>
      </c>
      <c r="J184" s="24">
        <f>IF(K183&gt;0,ROUND(ROUND(K183*100,0)*ROUND(I$7*10000,0)/12000000,0)/100,0)</f>
        <v>0</v>
      </c>
      <c r="K184" s="24">
        <f>IF(K183&gt;0,ROUND(K183+J184-I184,2),0)</f>
        <v>0</v>
      </c>
      <c r="L184" s="24">
        <f>IF(K183&gt;0,ROUND(L183+ROUND(ROUND(L183*100,0)*ROUND(I$7*10000,0)/12000000,0)/100+0.02,2),0)</f>
        <v>0</v>
      </c>
      <c r="M184" s="24">
        <f>IF(O183&gt;0,IF(AND(ROUND(O183+N184-ROUND(M$6+IF(M$5=$C184,$E$5+$E184,0),2),2)&gt;0,ROUND(O183+N184-ROUND(M$6+IF(M$5=$C184,$E$5+$E184,0),2),2)&lt;=P184,ROUND(O183+N184-ROUND(M$6+IF(M$5=$C184,$E$5+$E184,0),2),2)*10&lt;=ROUND(M$6+IF(M$5=$C184,$E$5+$E184,0),2)),ROUND(O183+N184,2),MIN(ROUND(M$6+IF(M$5=$C184,$E$5+$E184,0),2),ROUND(O183+N184,2))),0)</f>
        <v>0</v>
      </c>
      <c r="N184" s="24">
        <f>IF(O183&gt;0,ROUND(ROUND(O183*100,0)*ROUND(M$7*10000,0)/12000000,0)/100,0)</f>
        <v>0</v>
      </c>
      <c r="O184" s="24">
        <f>IF(O183&gt;0,ROUND(O183+N184-M184,2),0)</f>
        <v>0</v>
      </c>
      <c r="P184" s="24">
        <f>IF(O183&gt;0,ROUND(P183+ROUND(ROUND(P183*100,0)*ROUND(M$7*10000,0)/12000000,0)/100+0.02,2),0)</f>
        <v>0</v>
      </c>
      <c r="Q184" s="24">
        <f>IF(S183&gt;0,IF(AND(ROUND(S183+R184-ROUND(Q$6+IF(Q$5=$C184,$E$5+$E184,0),2),2)&gt;0,ROUND(S183+R184-ROUND(Q$6+IF(Q$5=$C184,$E$5+$E184,0),2),2)&lt;=T184,ROUND(S183+R184-ROUND(Q$6+IF(Q$5=$C184,$E$5+$E184,0),2),2)*10&lt;=ROUND(Q$6+IF(Q$5=$C184,$E$5+$E184,0),2)),ROUND(S183+R184,2),MIN(ROUND(Q$6+IF(Q$5=$C184,$E$5+$E184,0),2),ROUND(S183+R184,2))),0)</f>
        <v>0</v>
      </c>
      <c r="R184" s="24">
        <f>IF(S183&gt;0,ROUND(ROUND(S183*100,0)*ROUND(Q$7*10000,0)/12000000,0)/100,0)</f>
        <v>0</v>
      </c>
      <c r="S184" s="24">
        <f>IF(S183&gt;0,ROUND(S183+R184-Q184,2),0)</f>
        <v>0</v>
      </c>
      <c r="T184" s="24">
        <f>IF(S183&gt;0,ROUND(T183+ROUND(ROUND(T183*100,0)*ROUND(Q$7*10000,0)/12000000,0)/100+0.02,2),0)</f>
        <v>0</v>
      </c>
      <c r="U184" s="24">
        <f>IF(W183&gt;0,IF(AND(ROUND(W183+V184-ROUND(U$6+IF(U$5=$C184,$E$5+$E184,0),2),2)&gt;0,ROUND(W183+V184-ROUND(U$6+IF(U$5=$C184,$E$5+$E184,0),2),2)&lt;=X184,ROUND(W183+V184-ROUND(U$6+IF(U$5=$C184,$E$5+$E184,0),2),2)*10&lt;=ROUND(U$6+IF(U$5=$C184,$E$5+$E184,0),2)),ROUND(W183+V184,2),MIN(ROUND(U$6+IF(U$5=$C184,$E$5+$E184,0),2),ROUND(W183+V184,2))),0)</f>
        <v>0</v>
      </c>
      <c r="V184" s="24">
        <f>IF(W183&gt;0,ROUND(ROUND(W183*100,0)*ROUND(U$7*10000,0)/12000000,0)/100,0)</f>
        <v>0</v>
      </c>
      <c r="W184" s="24">
        <f>IF(W183&gt;0,ROUND(W183+V184-U184,2),0)</f>
        <v>0</v>
      </c>
      <c r="X184" s="24">
        <f>IF(W183&gt;0,ROUND(X183+ROUND(ROUND(X183*100,0)*ROUND(U$7*10000,0)/12000000,0)/100+0.02,2),0)</f>
        <v>0</v>
      </c>
      <c r="Y184" s="24">
        <f>IF(AA183&gt;0,IF(AND(ROUND(AA183+Z184-ROUND(Y$6+IF(Y$5=$C184,$E$5+$E184,0),2),2)&gt;0,ROUND(AA183+Z184-ROUND(Y$6+IF(Y$5=$C184,$E$5+$E184,0),2),2)&lt;=AB184,ROUND(AA183+Z184-ROUND(Y$6+IF(Y$5=$C184,$E$5+$E184,0),2),2)*10&lt;=ROUND(Y$6+IF(Y$5=$C184,$E$5+$E184,0),2)),ROUND(AA183+Z184,2),MIN(ROUND(Y$6+IF(Y$5=$C184,$E$5+$E184,0),2),ROUND(AA183+Z184,2))),0)</f>
        <v>0</v>
      </c>
      <c r="Z184" s="24">
        <f>IF(AA183&gt;0,ROUND(ROUND(AA183*100,0)*ROUND(Y$7*10000,0)/12000000,0)/100,0)</f>
        <v>0</v>
      </c>
      <c r="AA184" s="24">
        <f>IF(AA183&gt;0,ROUND(AA183+Z184-Y184,2),0)</f>
        <v>0</v>
      </c>
      <c r="AB184" s="24">
        <f>IF(AA183&gt;0,ROUND(AB183+ROUND(ROUND(AB183*100,0)*ROUND(Y$7*10000,0)/12000000,0)/100+0.02,2),0)</f>
        <v>0</v>
      </c>
      <c r="AC184" s="24">
        <f>IF(AE183&gt;0,IF(AND(ROUND(AE183+AD184-ROUND(AC$6+IF(AC$5=$C184,$E$5+$E184,0),2),2)&gt;0,ROUND(AE183+AD184-ROUND(AC$6+IF(AC$5=$C184,$E$5+$E184,0),2),2)&lt;=AF184,ROUND(AE183+AD184-ROUND(AC$6+IF(AC$5=$C184,$E$5+$E184,0),2),2)*10&lt;=ROUND(AC$6+IF(AC$5=$C184,$E$5+$E184,0),2)),ROUND(AE183+AD184,2),MIN(ROUND(AC$6+IF(AC$5=$C184,$E$5+$E184,0),2),ROUND(AE183+AD184,2))),0)</f>
        <v>0</v>
      </c>
      <c r="AD184" s="24">
        <f>IF(AE183&gt;0,ROUND(ROUND(AE183*100,0)*ROUND(AC$7*10000,0)/12000000,0)/100,0)</f>
        <v>0</v>
      </c>
      <c r="AE184" s="24">
        <f>IF(AE183&gt;0,ROUND(AE183+AD184-AC184,2),0)</f>
        <v>0</v>
      </c>
      <c r="AF184" s="24">
        <f>IF(AE183&gt;0,ROUND(AF183+ROUND(ROUND(AF183*100,0)*ROUND(AC$7*10000,0)/12000000,0)/100+0.02,2),0)</f>
        <v>0</v>
      </c>
      <c r="AG184" s="24">
        <f>IF(AI183&gt;0,IF(AND(ROUND(AI183+AH184-ROUND(AG$6+IF(AG$5=$C184,$E$5+$E184,0),2),2)&gt;0,ROUND(AI183+AH184-ROUND(AG$6+IF(AG$5=$C184,$E$5+$E184,0),2),2)&lt;=AJ184,ROUND(AI183+AH184-ROUND(AG$6+IF(AG$5=$C184,$E$5+$E184,0),2),2)*10&lt;=ROUND(AG$6+IF(AG$5=$C184,$E$5+$E184,0),2)),ROUND(AI183+AH184,2),MIN(ROUND(AG$6+IF(AG$5=$C184,$E$5+$E184,0),2),ROUND(AI183+AH184,2))),0)</f>
        <v>0</v>
      </c>
      <c r="AH184" s="24">
        <f>IF(AI183&gt;0,ROUND(ROUND(AI183*100,0)*ROUND(AG$7*10000,0)/12000000,0)/100,0)</f>
        <v>0</v>
      </c>
      <c r="AI184" s="24">
        <f>IF(AI183&gt;0,ROUND(AI183+AH184-AG184,2),0)</f>
        <v>0</v>
      </c>
      <c r="AJ184" s="24">
        <f>IF(AI183&gt;0,ROUND(AJ183+ROUND(ROUND(AJ183*100,0)*ROUND(AG$7*10000,0)/12000000,0)/100+0.02,2),0)</f>
        <v>0</v>
      </c>
      <c r="AK184" s="24">
        <f>IF(AM183&gt;0,IF(AND(ROUND(AM183+AL184-ROUND(AK$6+IF(AK$5=$C184,$E$5+$E184,0),2),2)&gt;0,ROUND(AM183+AL184-ROUND(AK$6+IF(AK$5=$C184,$E$5+$E184,0),2),2)&lt;=AN184,ROUND(AM183+AL184-ROUND(AK$6+IF(AK$5=$C184,$E$5+$E184,0),2),2)*10&lt;=ROUND(AK$6+IF(AK$5=$C184,$E$5+$E184,0),2)),ROUND(AM183+AL184,2),MIN(ROUND(AK$6+IF(AK$5=$C184,$E$5+$E184,0),2),ROUND(AM183+AL184,2))),0)</f>
        <v>0</v>
      </c>
      <c r="AL184" s="24">
        <f>IF(AM183&gt;0,ROUND(ROUND(AM183*100,0)*ROUND(AK$7*10000,0)/12000000,0)/100,0)</f>
        <v>0</v>
      </c>
      <c r="AM184" s="24">
        <f>IF(AM183&gt;0,ROUND(AM183+AL184-AK184,2),0)</f>
        <v>0</v>
      </c>
      <c r="AN184" s="24">
        <f>IF(AM183&gt;0,ROUND(AN183+ROUND(ROUND(AN183*100,0)*ROUND(AK$7*10000,0)/12000000,0)/100+0.02,2),0)</f>
        <v>0</v>
      </c>
      <c r="AO184" s="24">
        <f>IF(AQ183&gt;0,IF(AND(ROUND(AQ183+AP184-ROUND(AO$6+IF(AO$5=$C184,$E$5+$E184,0),2),2)&gt;0,ROUND(AQ183+AP184-ROUND(AO$6+IF(AO$5=$C184,$E$5+$E184,0),2),2)&lt;=AR184,ROUND(AQ183+AP184-ROUND(AO$6+IF(AO$5=$C184,$E$5+$E184,0),2),2)*10&lt;=ROUND(AO$6+IF(AO$5=$C184,$E$5+$E184,0),2)),ROUND(AQ183+AP184,2),MIN(ROUND(AO$6+IF(AO$5=$C184,$E$5+$E184,0),2),ROUND(AQ183+AP184,2))),0)</f>
        <v>0</v>
      </c>
      <c r="AP184" s="24">
        <f>IF(AQ183&gt;0,ROUND(ROUND(AQ183*100,0)*ROUND(AO$7*10000,0)/12000000,0)/100,0)</f>
        <v>0</v>
      </c>
      <c r="AQ184" s="24">
        <f>IF(AQ183&gt;0,ROUND(AQ183+AP184-AO184,2),0)</f>
        <v>0</v>
      </c>
      <c r="AR184" s="24">
        <f>IF(AQ183&gt;0,ROUND(AR183+ROUND(ROUND(AR183*100,0)*ROUND(AO$7*10000,0)/12000000,0)/100+0.02,2),0)</f>
        <v>0</v>
      </c>
      <c r="AS184" s="24">
        <f>IF(AU183&gt;0,IF(AND(ROUND(AU183+AT184-ROUND(AS$6+IF(AS$5=$C184,$E$5+$E184,0),2),2)&gt;0,ROUND(AU183+AT184-ROUND(AS$6+IF(AS$5=$C184,$E$5+$E184,0),2),2)&lt;=AV184,ROUND(AU183+AT184-ROUND(AS$6+IF(AS$5=$C184,$E$5+$E184,0),2),2)*10&lt;=ROUND(AS$6+IF(AS$5=$C184,$E$5+$E184,0),2)),ROUND(AU183+AT184,2),MIN(ROUND(AS$6+IF(AS$5=$C184,$E$5+$E184,0),2),ROUND(AU183+AT184,2))),0)</f>
        <v>0</v>
      </c>
      <c r="AT184" s="24">
        <f>IF(AU183&gt;0,ROUND(ROUND(AU183*100,0)*ROUND(AS$7*10000,0)/12000000,0)/100,0)</f>
        <v>0</v>
      </c>
      <c r="AU184" s="24">
        <f>IF(AU183&gt;0,ROUND(AU183+AT184-AS184,2),0)</f>
        <v>0</v>
      </c>
      <c r="AV184" s="24">
        <f>IF(AU183&gt;0,ROUND(AV183+ROUND(ROUND(AV183*100,0)*ROUND(AS$7*10000,0)/12000000,0)/100+0.02,2),0)</f>
        <v>0</v>
      </c>
    </row>
    <row r="185" spans="1:48" x14ac:dyDescent="0.25">
      <c r="A185" s="17" t="str">
        <f>IF(F185&gt;0,175,"")</f>
        <v/>
      </c>
      <c r="B185" s="18" t="str">
        <f>IF(F185&gt;0,EDATE($E$6,175),"")</f>
        <v/>
      </c>
      <c r="C185" s="21">
        <f>IF(H184&gt;0,MIN(IF(K184&gt;0,I$5,99),IF(O184&gt;0,M$5,99),IF(S184&gt;0,Q$5,99),IF(W184&gt;0,U$5,99),IF(AA184&gt;0,Y$5,99),IF(AE184&gt;0,AC$5,99),IF(AI184&gt;0,AG$5,99),IF(AM184&gt;0,AK$5,99),IF(AQ184&gt;0,AO$5,99),IF(AU184&gt;0,AS$5,99)),0)</f>
        <v>0</v>
      </c>
      <c r="D185" t="str">
        <f>IF(C185&gt;0,INDEX($I$4:$AV$4,1,MATCH(C185,$I$5:$AV$5,0)),"")</f>
        <v/>
      </c>
      <c r="E185" s="24">
        <f>ROUND(IF(AND(I$8&gt;0,K184=0),I$6,0)+IF(AND(M$8&gt;0,O184=0),M$6,0)+IF(AND(Q$8&gt;0,S184=0),Q$6,0)+IF(AND(U$8&gt;0,W184=0),U$6,0)+IF(AND(Y$8&gt;0,AA184=0),Y$6,0)+IF(AND(AC$8&gt;0,AE184=0),AC$6,0)+IF(AND(AG$8&gt;0,AI184=0),AG$6,0)+IF(AND(AK$8&gt;0,AM184=0),AK$6,0)+IF(AND(AO$8&gt;0,AQ184=0),AO$6,0)+IF(AND(AS$8&gt;0,AU184=0),AS$6,0),2)</f>
        <v>325</v>
      </c>
      <c r="F185" s="24">
        <f>ROUND(I185+M185+Q185+U185+Y185+AC185+AG185+AK185+AO185+AS185,2)</f>
        <v>0</v>
      </c>
      <c r="G185" s="24">
        <f>ROUND(J185+N185+R185+V185+Z185+AD185+AH185+AL185+AP185+AT185,2)</f>
        <v>0</v>
      </c>
      <c r="H185" s="24">
        <f>ROUND(K185+O185+S185+W185+AA185+AE185+AI185+AM185+AQ185+AU185,2)</f>
        <v>0</v>
      </c>
      <c r="I185" s="24">
        <f>IF(K184&gt;0,IF(AND(ROUND(K184+J185-ROUND(I$6+IF(I$5=$C185,$E$5+$E185,0),2),2)&gt;0,ROUND(K184+J185-ROUND(I$6+IF(I$5=$C185,$E$5+$E185,0),2),2)&lt;=L185,ROUND(K184+J185-ROUND(I$6+IF(I$5=$C185,$E$5+$E185,0),2),2)*10&lt;=ROUND(I$6+IF(I$5=$C185,$E$5+$E185,0),2)),ROUND(K184+J185,2),MIN(ROUND(I$6+IF(I$5=$C185,$E$5+$E185,0),2),ROUND(K184+J185,2))),0)</f>
        <v>0</v>
      </c>
      <c r="J185" s="24">
        <f>IF(K184&gt;0,ROUND(ROUND(K184*100,0)*ROUND(I$7*10000,0)/12000000,0)/100,0)</f>
        <v>0</v>
      </c>
      <c r="K185" s="24">
        <f>IF(K184&gt;0,ROUND(K184+J185-I185,2),0)</f>
        <v>0</v>
      </c>
      <c r="L185" s="24">
        <f>IF(K184&gt;0,ROUND(L184+ROUND(ROUND(L184*100,0)*ROUND(I$7*10000,0)/12000000,0)/100+0.02,2),0)</f>
        <v>0</v>
      </c>
      <c r="M185" s="24">
        <f>IF(O184&gt;0,IF(AND(ROUND(O184+N185-ROUND(M$6+IF(M$5=$C185,$E$5+$E185,0),2),2)&gt;0,ROUND(O184+N185-ROUND(M$6+IF(M$5=$C185,$E$5+$E185,0),2),2)&lt;=P185,ROUND(O184+N185-ROUND(M$6+IF(M$5=$C185,$E$5+$E185,0),2),2)*10&lt;=ROUND(M$6+IF(M$5=$C185,$E$5+$E185,0),2)),ROUND(O184+N185,2),MIN(ROUND(M$6+IF(M$5=$C185,$E$5+$E185,0),2),ROUND(O184+N185,2))),0)</f>
        <v>0</v>
      </c>
      <c r="N185" s="24">
        <f>IF(O184&gt;0,ROUND(ROUND(O184*100,0)*ROUND(M$7*10000,0)/12000000,0)/100,0)</f>
        <v>0</v>
      </c>
      <c r="O185" s="24">
        <f>IF(O184&gt;0,ROUND(O184+N185-M185,2),0)</f>
        <v>0</v>
      </c>
      <c r="P185" s="24">
        <f>IF(O184&gt;0,ROUND(P184+ROUND(ROUND(P184*100,0)*ROUND(M$7*10000,0)/12000000,0)/100+0.02,2),0)</f>
        <v>0</v>
      </c>
      <c r="Q185" s="24">
        <f>IF(S184&gt;0,IF(AND(ROUND(S184+R185-ROUND(Q$6+IF(Q$5=$C185,$E$5+$E185,0),2),2)&gt;0,ROUND(S184+R185-ROUND(Q$6+IF(Q$5=$C185,$E$5+$E185,0),2),2)&lt;=T185,ROUND(S184+R185-ROUND(Q$6+IF(Q$5=$C185,$E$5+$E185,0),2),2)*10&lt;=ROUND(Q$6+IF(Q$5=$C185,$E$5+$E185,0),2)),ROUND(S184+R185,2),MIN(ROUND(Q$6+IF(Q$5=$C185,$E$5+$E185,0),2),ROUND(S184+R185,2))),0)</f>
        <v>0</v>
      </c>
      <c r="R185" s="24">
        <f>IF(S184&gt;0,ROUND(ROUND(S184*100,0)*ROUND(Q$7*10000,0)/12000000,0)/100,0)</f>
        <v>0</v>
      </c>
      <c r="S185" s="24">
        <f>IF(S184&gt;0,ROUND(S184+R185-Q185,2),0)</f>
        <v>0</v>
      </c>
      <c r="T185" s="24">
        <f>IF(S184&gt;0,ROUND(T184+ROUND(ROUND(T184*100,0)*ROUND(Q$7*10000,0)/12000000,0)/100+0.02,2),0)</f>
        <v>0</v>
      </c>
      <c r="U185" s="24">
        <f>IF(W184&gt;0,IF(AND(ROUND(W184+V185-ROUND(U$6+IF(U$5=$C185,$E$5+$E185,0),2),2)&gt;0,ROUND(W184+V185-ROUND(U$6+IF(U$5=$C185,$E$5+$E185,0),2),2)&lt;=X185,ROUND(W184+V185-ROUND(U$6+IF(U$5=$C185,$E$5+$E185,0),2),2)*10&lt;=ROUND(U$6+IF(U$5=$C185,$E$5+$E185,0),2)),ROUND(W184+V185,2),MIN(ROUND(U$6+IF(U$5=$C185,$E$5+$E185,0),2),ROUND(W184+V185,2))),0)</f>
        <v>0</v>
      </c>
      <c r="V185" s="24">
        <f>IF(W184&gt;0,ROUND(ROUND(W184*100,0)*ROUND(U$7*10000,0)/12000000,0)/100,0)</f>
        <v>0</v>
      </c>
      <c r="W185" s="24">
        <f>IF(W184&gt;0,ROUND(W184+V185-U185,2),0)</f>
        <v>0</v>
      </c>
      <c r="X185" s="24">
        <f>IF(W184&gt;0,ROUND(X184+ROUND(ROUND(X184*100,0)*ROUND(U$7*10000,0)/12000000,0)/100+0.02,2),0)</f>
        <v>0</v>
      </c>
      <c r="Y185" s="24">
        <f>IF(AA184&gt;0,IF(AND(ROUND(AA184+Z185-ROUND(Y$6+IF(Y$5=$C185,$E$5+$E185,0),2),2)&gt;0,ROUND(AA184+Z185-ROUND(Y$6+IF(Y$5=$C185,$E$5+$E185,0),2),2)&lt;=AB185,ROUND(AA184+Z185-ROUND(Y$6+IF(Y$5=$C185,$E$5+$E185,0),2),2)*10&lt;=ROUND(Y$6+IF(Y$5=$C185,$E$5+$E185,0),2)),ROUND(AA184+Z185,2),MIN(ROUND(Y$6+IF(Y$5=$C185,$E$5+$E185,0),2),ROUND(AA184+Z185,2))),0)</f>
        <v>0</v>
      </c>
      <c r="Z185" s="24">
        <f>IF(AA184&gt;0,ROUND(ROUND(AA184*100,0)*ROUND(Y$7*10000,0)/12000000,0)/100,0)</f>
        <v>0</v>
      </c>
      <c r="AA185" s="24">
        <f>IF(AA184&gt;0,ROUND(AA184+Z185-Y185,2),0)</f>
        <v>0</v>
      </c>
      <c r="AB185" s="24">
        <f>IF(AA184&gt;0,ROUND(AB184+ROUND(ROUND(AB184*100,0)*ROUND(Y$7*10000,0)/12000000,0)/100+0.02,2),0)</f>
        <v>0</v>
      </c>
      <c r="AC185" s="24">
        <f>IF(AE184&gt;0,IF(AND(ROUND(AE184+AD185-ROUND(AC$6+IF(AC$5=$C185,$E$5+$E185,0),2),2)&gt;0,ROUND(AE184+AD185-ROUND(AC$6+IF(AC$5=$C185,$E$5+$E185,0),2),2)&lt;=AF185,ROUND(AE184+AD185-ROUND(AC$6+IF(AC$5=$C185,$E$5+$E185,0),2),2)*10&lt;=ROUND(AC$6+IF(AC$5=$C185,$E$5+$E185,0),2)),ROUND(AE184+AD185,2),MIN(ROUND(AC$6+IF(AC$5=$C185,$E$5+$E185,0),2),ROUND(AE184+AD185,2))),0)</f>
        <v>0</v>
      </c>
      <c r="AD185" s="24">
        <f>IF(AE184&gt;0,ROUND(ROUND(AE184*100,0)*ROUND(AC$7*10000,0)/12000000,0)/100,0)</f>
        <v>0</v>
      </c>
      <c r="AE185" s="24">
        <f>IF(AE184&gt;0,ROUND(AE184+AD185-AC185,2),0)</f>
        <v>0</v>
      </c>
      <c r="AF185" s="24">
        <f>IF(AE184&gt;0,ROUND(AF184+ROUND(ROUND(AF184*100,0)*ROUND(AC$7*10000,0)/12000000,0)/100+0.02,2),0)</f>
        <v>0</v>
      </c>
      <c r="AG185" s="24">
        <f>IF(AI184&gt;0,IF(AND(ROUND(AI184+AH185-ROUND(AG$6+IF(AG$5=$C185,$E$5+$E185,0),2),2)&gt;0,ROUND(AI184+AH185-ROUND(AG$6+IF(AG$5=$C185,$E$5+$E185,0),2),2)&lt;=AJ185,ROUND(AI184+AH185-ROUND(AG$6+IF(AG$5=$C185,$E$5+$E185,0),2),2)*10&lt;=ROUND(AG$6+IF(AG$5=$C185,$E$5+$E185,0),2)),ROUND(AI184+AH185,2),MIN(ROUND(AG$6+IF(AG$5=$C185,$E$5+$E185,0),2),ROUND(AI184+AH185,2))),0)</f>
        <v>0</v>
      </c>
      <c r="AH185" s="24">
        <f>IF(AI184&gt;0,ROUND(ROUND(AI184*100,0)*ROUND(AG$7*10000,0)/12000000,0)/100,0)</f>
        <v>0</v>
      </c>
      <c r="AI185" s="24">
        <f>IF(AI184&gt;0,ROUND(AI184+AH185-AG185,2),0)</f>
        <v>0</v>
      </c>
      <c r="AJ185" s="24">
        <f>IF(AI184&gt;0,ROUND(AJ184+ROUND(ROUND(AJ184*100,0)*ROUND(AG$7*10000,0)/12000000,0)/100+0.02,2),0)</f>
        <v>0</v>
      </c>
      <c r="AK185" s="24">
        <f>IF(AM184&gt;0,IF(AND(ROUND(AM184+AL185-ROUND(AK$6+IF(AK$5=$C185,$E$5+$E185,0),2),2)&gt;0,ROUND(AM184+AL185-ROUND(AK$6+IF(AK$5=$C185,$E$5+$E185,0),2),2)&lt;=AN185,ROUND(AM184+AL185-ROUND(AK$6+IF(AK$5=$C185,$E$5+$E185,0),2),2)*10&lt;=ROUND(AK$6+IF(AK$5=$C185,$E$5+$E185,0),2)),ROUND(AM184+AL185,2),MIN(ROUND(AK$6+IF(AK$5=$C185,$E$5+$E185,0),2),ROUND(AM184+AL185,2))),0)</f>
        <v>0</v>
      </c>
      <c r="AL185" s="24">
        <f>IF(AM184&gt;0,ROUND(ROUND(AM184*100,0)*ROUND(AK$7*10000,0)/12000000,0)/100,0)</f>
        <v>0</v>
      </c>
      <c r="AM185" s="24">
        <f>IF(AM184&gt;0,ROUND(AM184+AL185-AK185,2),0)</f>
        <v>0</v>
      </c>
      <c r="AN185" s="24">
        <f>IF(AM184&gt;0,ROUND(AN184+ROUND(ROUND(AN184*100,0)*ROUND(AK$7*10000,0)/12000000,0)/100+0.02,2),0)</f>
        <v>0</v>
      </c>
      <c r="AO185" s="24">
        <f>IF(AQ184&gt;0,IF(AND(ROUND(AQ184+AP185-ROUND(AO$6+IF(AO$5=$C185,$E$5+$E185,0),2),2)&gt;0,ROUND(AQ184+AP185-ROUND(AO$6+IF(AO$5=$C185,$E$5+$E185,0),2),2)&lt;=AR185,ROUND(AQ184+AP185-ROUND(AO$6+IF(AO$5=$C185,$E$5+$E185,0),2),2)*10&lt;=ROUND(AO$6+IF(AO$5=$C185,$E$5+$E185,0),2)),ROUND(AQ184+AP185,2),MIN(ROUND(AO$6+IF(AO$5=$C185,$E$5+$E185,0),2),ROUND(AQ184+AP185,2))),0)</f>
        <v>0</v>
      </c>
      <c r="AP185" s="24">
        <f>IF(AQ184&gt;0,ROUND(ROUND(AQ184*100,0)*ROUND(AO$7*10000,0)/12000000,0)/100,0)</f>
        <v>0</v>
      </c>
      <c r="AQ185" s="24">
        <f>IF(AQ184&gt;0,ROUND(AQ184+AP185-AO185,2),0)</f>
        <v>0</v>
      </c>
      <c r="AR185" s="24">
        <f>IF(AQ184&gt;0,ROUND(AR184+ROUND(ROUND(AR184*100,0)*ROUND(AO$7*10000,0)/12000000,0)/100+0.02,2),0)</f>
        <v>0</v>
      </c>
      <c r="AS185" s="24">
        <f>IF(AU184&gt;0,IF(AND(ROUND(AU184+AT185-ROUND(AS$6+IF(AS$5=$C185,$E$5+$E185,0),2),2)&gt;0,ROUND(AU184+AT185-ROUND(AS$6+IF(AS$5=$C185,$E$5+$E185,0),2),2)&lt;=AV185,ROUND(AU184+AT185-ROUND(AS$6+IF(AS$5=$C185,$E$5+$E185,0),2),2)*10&lt;=ROUND(AS$6+IF(AS$5=$C185,$E$5+$E185,0),2)),ROUND(AU184+AT185,2),MIN(ROUND(AS$6+IF(AS$5=$C185,$E$5+$E185,0),2),ROUND(AU184+AT185,2))),0)</f>
        <v>0</v>
      </c>
      <c r="AT185" s="24">
        <f>IF(AU184&gt;0,ROUND(ROUND(AU184*100,0)*ROUND(AS$7*10000,0)/12000000,0)/100,0)</f>
        <v>0</v>
      </c>
      <c r="AU185" s="24">
        <f>IF(AU184&gt;0,ROUND(AU184+AT185-AS185,2),0)</f>
        <v>0</v>
      </c>
      <c r="AV185" s="24">
        <f>IF(AU184&gt;0,ROUND(AV184+ROUND(ROUND(AV184*100,0)*ROUND(AS$7*10000,0)/12000000,0)/100+0.02,2),0)</f>
        <v>0</v>
      </c>
    </row>
    <row r="186" spans="1:48" x14ac:dyDescent="0.25">
      <c r="A186" s="17" t="str">
        <f>IF(F186&gt;0,176,"")</f>
        <v/>
      </c>
      <c r="B186" s="18" t="str">
        <f>IF(F186&gt;0,EDATE($E$6,176),"")</f>
        <v/>
      </c>
      <c r="C186" s="21">
        <f>IF(H185&gt;0,MIN(IF(K185&gt;0,I$5,99),IF(O185&gt;0,M$5,99),IF(S185&gt;0,Q$5,99),IF(W185&gt;0,U$5,99),IF(AA185&gt;0,Y$5,99),IF(AE185&gt;0,AC$5,99),IF(AI185&gt;0,AG$5,99),IF(AM185&gt;0,AK$5,99),IF(AQ185&gt;0,AO$5,99),IF(AU185&gt;0,AS$5,99)),0)</f>
        <v>0</v>
      </c>
      <c r="D186" t="str">
        <f>IF(C186&gt;0,INDEX($I$4:$AV$4,1,MATCH(C186,$I$5:$AV$5,0)),"")</f>
        <v/>
      </c>
      <c r="E186" s="24">
        <f>ROUND(IF(AND(I$8&gt;0,K185=0),I$6,0)+IF(AND(M$8&gt;0,O185=0),M$6,0)+IF(AND(Q$8&gt;0,S185=0),Q$6,0)+IF(AND(U$8&gt;0,W185=0),U$6,0)+IF(AND(Y$8&gt;0,AA185=0),Y$6,0)+IF(AND(AC$8&gt;0,AE185=0),AC$6,0)+IF(AND(AG$8&gt;0,AI185=0),AG$6,0)+IF(AND(AK$8&gt;0,AM185=0),AK$6,0)+IF(AND(AO$8&gt;0,AQ185=0),AO$6,0)+IF(AND(AS$8&gt;0,AU185=0),AS$6,0),2)</f>
        <v>325</v>
      </c>
      <c r="F186" s="24">
        <f>ROUND(I186+M186+Q186+U186+Y186+AC186+AG186+AK186+AO186+AS186,2)</f>
        <v>0</v>
      </c>
      <c r="G186" s="24">
        <f>ROUND(J186+N186+R186+V186+Z186+AD186+AH186+AL186+AP186+AT186,2)</f>
        <v>0</v>
      </c>
      <c r="H186" s="24">
        <f>ROUND(K186+O186+S186+W186+AA186+AE186+AI186+AM186+AQ186+AU186,2)</f>
        <v>0</v>
      </c>
      <c r="I186" s="24">
        <f>IF(K185&gt;0,IF(AND(ROUND(K185+J186-ROUND(I$6+IF(I$5=$C186,$E$5+$E186,0),2),2)&gt;0,ROUND(K185+J186-ROUND(I$6+IF(I$5=$C186,$E$5+$E186,0),2),2)&lt;=L186,ROUND(K185+J186-ROUND(I$6+IF(I$5=$C186,$E$5+$E186,0),2),2)*10&lt;=ROUND(I$6+IF(I$5=$C186,$E$5+$E186,0),2)),ROUND(K185+J186,2),MIN(ROUND(I$6+IF(I$5=$C186,$E$5+$E186,0),2),ROUND(K185+J186,2))),0)</f>
        <v>0</v>
      </c>
      <c r="J186" s="24">
        <f>IF(K185&gt;0,ROUND(ROUND(K185*100,0)*ROUND(I$7*10000,0)/12000000,0)/100,0)</f>
        <v>0</v>
      </c>
      <c r="K186" s="24">
        <f>IF(K185&gt;0,ROUND(K185+J186-I186,2),0)</f>
        <v>0</v>
      </c>
      <c r="L186" s="24">
        <f>IF(K185&gt;0,ROUND(L185+ROUND(ROUND(L185*100,0)*ROUND(I$7*10000,0)/12000000,0)/100+0.02,2),0)</f>
        <v>0</v>
      </c>
      <c r="M186" s="24">
        <f>IF(O185&gt;0,IF(AND(ROUND(O185+N186-ROUND(M$6+IF(M$5=$C186,$E$5+$E186,0),2),2)&gt;0,ROUND(O185+N186-ROUND(M$6+IF(M$5=$C186,$E$5+$E186,0),2),2)&lt;=P186,ROUND(O185+N186-ROUND(M$6+IF(M$5=$C186,$E$5+$E186,0),2),2)*10&lt;=ROUND(M$6+IF(M$5=$C186,$E$5+$E186,0),2)),ROUND(O185+N186,2),MIN(ROUND(M$6+IF(M$5=$C186,$E$5+$E186,0),2),ROUND(O185+N186,2))),0)</f>
        <v>0</v>
      </c>
      <c r="N186" s="24">
        <f>IF(O185&gt;0,ROUND(ROUND(O185*100,0)*ROUND(M$7*10000,0)/12000000,0)/100,0)</f>
        <v>0</v>
      </c>
      <c r="O186" s="24">
        <f>IF(O185&gt;0,ROUND(O185+N186-M186,2),0)</f>
        <v>0</v>
      </c>
      <c r="P186" s="24">
        <f>IF(O185&gt;0,ROUND(P185+ROUND(ROUND(P185*100,0)*ROUND(M$7*10000,0)/12000000,0)/100+0.02,2),0)</f>
        <v>0</v>
      </c>
      <c r="Q186" s="24">
        <f>IF(S185&gt;0,IF(AND(ROUND(S185+R186-ROUND(Q$6+IF(Q$5=$C186,$E$5+$E186,0),2),2)&gt;0,ROUND(S185+R186-ROUND(Q$6+IF(Q$5=$C186,$E$5+$E186,0),2),2)&lt;=T186,ROUND(S185+R186-ROUND(Q$6+IF(Q$5=$C186,$E$5+$E186,0),2),2)*10&lt;=ROUND(Q$6+IF(Q$5=$C186,$E$5+$E186,0),2)),ROUND(S185+R186,2),MIN(ROUND(Q$6+IF(Q$5=$C186,$E$5+$E186,0),2),ROUND(S185+R186,2))),0)</f>
        <v>0</v>
      </c>
      <c r="R186" s="24">
        <f>IF(S185&gt;0,ROUND(ROUND(S185*100,0)*ROUND(Q$7*10000,0)/12000000,0)/100,0)</f>
        <v>0</v>
      </c>
      <c r="S186" s="24">
        <f>IF(S185&gt;0,ROUND(S185+R186-Q186,2),0)</f>
        <v>0</v>
      </c>
      <c r="T186" s="24">
        <f>IF(S185&gt;0,ROUND(T185+ROUND(ROUND(T185*100,0)*ROUND(Q$7*10000,0)/12000000,0)/100+0.02,2),0)</f>
        <v>0</v>
      </c>
      <c r="U186" s="24">
        <f>IF(W185&gt;0,IF(AND(ROUND(W185+V186-ROUND(U$6+IF(U$5=$C186,$E$5+$E186,0),2),2)&gt;0,ROUND(W185+V186-ROUND(U$6+IF(U$5=$C186,$E$5+$E186,0),2),2)&lt;=X186,ROUND(W185+V186-ROUND(U$6+IF(U$5=$C186,$E$5+$E186,0),2),2)*10&lt;=ROUND(U$6+IF(U$5=$C186,$E$5+$E186,0),2)),ROUND(W185+V186,2),MIN(ROUND(U$6+IF(U$5=$C186,$E$5+$E186,0),2),ROUND(W185+V186,2))),0)</f>
        <v>0</v>
      </c>
      <c r="V186" s="24">
        <f>IF(W185&gt;0,ROUND(ROUND(W185*100,0)*ROUND(U$7*10000,0)/12000000,0)/100,0)</f>
        <v>0</v>
      </c>
      <c r="W186" s="24">
        <f>IF(W185&gt;0,ROUND(W185+V186-U186,2),0)</f>
        <v>0</v>
      </c>
      <c r="X186" s="24">
        <f>IF(W185&gt;0,ROUND(X185+ROUND(ROUND(X185*100,0)*ROUND(U$7*10000,0)/12000000,0)/100+0.02,2),0)</f>
        <v>0</v>
      </c>
      <c r="Y186" s="24">
        <f>IF(AA185&gt;0,IF(AND(ROUND(AA185+Z186-ROUND(Y$6+IF(Y$5=$C186,$E$5+$E186,0),2),2)&gt;0,ROUND(AA185+Z186-ROUND(Y$6+IF(Y$5=$C186,$E$5+$E186,0),2),2)&lt;=AB186,ROUND(AA185+Z186-ROUND(Y$6+IF(Y$5=$C186,$E$5+$E186,0),2),2)*10&lt;=ROUND(Y$6+IF(Y$5=$C186,$E$5+$E186,0),2)),ROUND(AA185+Z186,2),MIN(ROUND(Y$6+IF(Y$5=$C186,$E$5+$E186,0),2),ROUND(AA185+Z186,2))),0)</f>
        <v>0</v>
      </c>
      <c r="Z186" s="24">
        <f>IF(AA185&gt;0,ROUND(ROUND(AA185*100,0)*ROUND(Y$7*10000,0)/12000000,0)/100,0)</f>
        <v>0</v>
      </c>
      <c r="AA186" s="24">
        <f>IF(AA185&gt;0,ROUND(AA185+Z186-Y186,2),0)</f>
        <v>0</v>
      </c>
      <c r="AB186" s="24">
        <f>IF(AA185&gt;0,ROUND(AB185+ROUND(ROUND(AB185*100,0)*ROUND(Y$7*10000,0)/12000000,0)/100+0.02,2),0)</f>
        <v>0</v>
      </c>
      <c r="AC186" s="24">
        <f>IF(AE185&gt;0,IF(AND(ROUND(AE185+AD186-ROUND(AC$6+IF(AC$5=$C186,$E$5+$E186,0),2),2)&gt;0,ROUND(AE185+AD186-ROUND(AC$6+IF(AC$5=$C186,$E$5+$E186,0),2),2)&lt;=AF186,ROUND(AE185+AD186-ROUND(AC$6+IF(AC$5=$C186,$E$5+$E186,0),2),2)*10&lt;=ROUND(AC$6+IF(AC$5=$C186,$E$5+$E186,0),2)),ROUND(AE185+AD186,2),MIN(ROUND(AC$6+IF(AC$5=$C186,$E$5+$E186,0),2),ROUND(AE185+AD186,2))),0)</f>
        <v>0</v>
      </c>
      <c r="AD186" s="24">
        <f>IF(AE185&gt;0,ROUND(ROUND(AE185*100,0)*ROUND(AC$7*10000,0)/12000000,0)/100,0)</f>
        <v>0</v>
      </c>
      <c r="AE186" s="24">
        <f>IF(AE185&gt;0,ROUND(AE185+AD186-AC186,2),0)</f>
        <v>0</v>
      </c>
      <c r="AF186" s="24">
        <f>IF(AE185&gt;0,ROUND(AF185+ROUND(ROUND(AF185*100,0)*ROUND(AC$7*10000,0)/12000000,0)/100+0.02,2),0)</f>
        <v>0</v>
      </c>
      <c r="AG186" s="24">
        <f>IF(AI185&gt;0,IF(AND(ROUND(AI185+AH186-ROUND(AG$6+IF(AG$5=$C186,$E$5+$E186,0),2),2)&gt;0,ROUND(AI185+AH186-ROUND(AG$6+IF(AG$5=$C186,$E$5+$E186,0),2),2)&lt;=AJ186,ROUND(AI185+AH186-ROUND(AG$6+IF(AG$5=$C186,$E$5+$E186,0),2),2)*10&lt;=ROUND(AG$6+IF(AG$5=$C186,$E$5+$E186,0),2)),ROUND(AI185+AH186,2),MIN(ROUND(AG$6+IF(AG$5=$C186,$E$5+$E186,0),2),ROUND(AI185+AH186,2))),0)</f>
        <v>0</v>
      </c>
      <c r="AH186" s="24">
        <f>IF(AI185&gt;0,ROUND(ROUND(AI185*100,0)*ROUND(AG$7*10000,0)/12000000,0)/100,0)</f>
        <v>0</v>
      </c>
      <c r="AI186" s="24">
        <f>IF(AI185&gt;0,ROUND(AI185+AH186-AG186,2),0)</f>
        <v>0</v>
      </c>
      <c r="AJ186" s="24">
        <f>IF(AI185&gt;0,ROUND(AJ185+ROUND(ROUND(AJ185*100,0)*ROUND(AG$7*10000,0)/12000000,0)/100+0.02,2),0)</f>
        <v>0</v>
      </c>
      <c r="AK186" s="24">
        <f>IF(AM185&gt;0,IF(AND(ROUND(AM185+AL186-ROUND(AK$6+IF(AK$5=$C186,$E$5+$E186,0),2),2)&gt;0,ROUND(AM185+AL186-ROUND(AK$6+IF(AK$5=$C186,$E$5+$E186,0),2),2)&lt;=AN186,ROUND(AM185+AL186-ROUND(AK$6+IF(AK$5=$C186,$E$5+$E186,0),2),2)*10&lt;=ROUND(AK$6+IF(AK$5=$C186,$E$5+$E186,0),2)),ROUND(AM185+AL186,2),MIN(ROUND(AK$6+IF(AK$5=$C186,$E$5+$E186,0),2),ROUND(AM185+AL186,2))),0)</f>
        <v>0</v>
      </c>
      <c r="AL186" s="24">
        <f>IF(AM185&gt;0,ROUND(ROUND(AM185*100,0)*ROUND(AK$7*10000,0)/12000000,0)/100,0)</f>
        <v>0</v>
      </c>
      <c r="AM186" s="24">
        <f>IF(AM185&gt;0,ROUND(AM185+AL186-AK186,2),0)</f>
        <v>0</v>
      </c>
      <c r="AN186" s="24">
        <f>IF(AM185&gt;0,ROUND(AN185+ROUND(ROUND(AN185*100,0)*ROUND(AK$7*10000,0)/12000000,0)/100+0.02,2),0)</f>
        <v>0</v>
      </c>
      <c r="AO186" s="24">
        <f>IF(AQ185&gt;0,IF(AND(ROUND(AQ185+AP186-ROUND(AO$6+IF(AO$5=$C186,$E$5+$E186,0),2),2)&gt;0,ROUND(AQ185+AP186-ROUND(AO$6+IF(AO$5=$C186,$E$5+$E186,0),2),2)&lt;=AR186,ROUND(AQ185+AP186-ROUND(AO$6+IF(AO$5=$C186,$E$5+$E186,0),2),2)*10&lt;=ROUND(AO$6+IF(AO$5=$C186,$E$5+$E186,0),2)),ROUND(AQ185+AP186,2),MIN(ROUND(AO$6+IF(AO$5=$C186,$E$5+$E186,0),2),ROUND(AQ185+AP186,2))),0)</f>
        <v>0</v>
      </c>
      <c r="AP186" s="24">
        <f>IF(AQ185&gt;0,ROUND(ROUND(AQ185*100,0)*ROUND(AO$7*10000,0)/12000000,0)/100,0)</f>
        <v>0</v>
      </c>
      <c r="AQ186" s="24">
        <f>IF(AQ185&gt;0,ROUND(AQ185+AP186-AO186,2),0)</f>
        <v>0</v>
      </c>
      <c r="AR186" s="24">
        <f>IF(AQ185&gt;0,ROUND(AR185+ROUND(ROUND(AR185*100,0)*ROUND(AO$7*10000,0)/12000000,0)/100+0.02,2),0)</f>
        <v>0</v>
      </c>
      <c r="AS186" s="24">
        <f>IF(AU185&gt;0,IF(AND(ROUND(AU185+AT186-ROUND(AS$6+IF(AS$5=$C186,$E$5+$E186,0),2),2)&gt;0,ROUND(AU185+AT186-ROUND(AS$6+IF(AS$5=$C186,$E$5+$E186,0),2),2)&lt;=AV186,ROUND(AU185+AT186-ROUND(AS$6+IF(AS$5=$C186,$E$5+$E186,0),2),2)*10&lt;=ROUND(AS$6+IF(AS$5=$C186,$E$5+$E186,0),2)),ROUND(AU185+AT186,2),MIN(ROUND(AS$6+IF(AS$5=$C186,$E$5+$E186,0),2),ROUND(AU185+AT186,2))),0)</f>
        <v>0</v>
      </c>
      <c r="AT186" s="24">
        <f>IF(AU185&gt;0,ROUND(ROUND(AU185*100,0)*ROUND(AS$7*10000,0)/12000000,0)/100,0)</f>
        <v>0</v>
      </c>
      <c r="AU186" s="24">
        <f>IF(AU185&gt;0,ROUND(AU185+AT186-AS186,2),0)</f>
        <v>0</v>
      </c>
      <c r="AV186" s="24">
        <f>IF(AU185&gt;0,ROUND(AV185+ROUND(ROUND(AV185*100,0)*ROUND(AS$7*10000,0)/12000000,0)/100+0.02,2),0)</f>
        <v>0</v>
      </c>
    </row>
    <row r="187" spans="1:48" x14ac:dyDescent="0.25">
      <c r="A187" s="17" t="str">
        <f>IF(F187&gt;0,177,"")</f>
        <v/>
      </c>
      <c r="B187" s="18" t="str">
        <f>IF(F187&gt;0,EDATE($E$6,177),"")</f>
        <v/>
      </c>
      <c r="C187" s="21">
        <f>IF(H186&gt;0,MIN(IF(K186&gt;0,I$5,99),IF(O186&gt;0,M$5,99),IF(S186&gt;0,Q$5,99),IF(W186&gt;0,U$5,99),IF(AA186&gt;0,Y$5,99),IF(AE186&gt;0,AC$5,99),IF(AI186&gt;0,AG$5,99),IF(AM186&gt;0,AK$5,99),IF(AQ186&gt;0,AO$5,99),IF(AU186&gt;0,AS$5,99)),0)</f>
        <v>0</v>
      </c>
      <c r="D187" t="str">
        <f>IF(C187&gt;0,INDEX($I$4:$AV$4,1,MATCH(C187,$I$5:$AV$5,0)),"")</f>
        <v/>
      </c>
      <c r="E187" s="24">
        <f>ROUND(IF(AND(I$8&gt;0,K186=0),I$6,0)+IF(AND(M$8&gt;0,O186=0),M$6,0)+IF(AND(Q$8&gt;0,S186=0),Q$6,0)+IF(AND(U$8&gt;0,W186=0),U$6,0)+IF(AND(Y$8&gt;0,AA186=0),Y$6,0)+IF(AND(AC$8&gt;0,AE186=0),AC$6,0)+IF(AND(AG$8&gt;0,AI186=0),AG$6,0)+IF(AND(AK$8&gt;0,AM186=0),AK$6,0)+IF(AND(AO$8&gt;0,AQ186=0),AO$6,0)+IF(AND(AS$8&gt;0,AU186=0),AS$6,0),2)</f>
        <v>325</v>
      </c>
      <c r="F187" s="24">
        <f>ROUND(I187+M187+Q187+U187+Y187+AC187+AG187+AK187+AO187+AS187,2)</f>
        <v>0</v>
      </c>
      <c r="G187" s="24">
        <f>ROUND(J187+N187+R187+V187+Z187+AD187+AH187+AL187+AP187+AT187,2)</f>
        <v>0</v>
      </c>
      <c r="H187" s="24">
        <f>ROUND(K187+O187+S187+W187+AA187+AE187+AI187+AM187+AQ187+AU187,2)</f>
        <v>0</v>
      </c>
      <c r="I187" s="24">
        <f>IF(K186&gt;0,IF(AND(ROUND(K186+J187-ROUND(I$6+IF(I$5=$C187,$E$5+$E187,0),2),2)&gt;0,ROUND(K186+J187-ROUND(I$6+IF(I$5=$C187,$E$5+$E187,0),2),2)&lt;=L187,ROUND(K186+J187-ROUND(I$6+IF(I$5=$C187,$E$5+$E187,0),2),2)*10&lt;=ROUND(I$6+IF(I$5=$C187,$E$5+$E187,0),2)),ROUND(K186+J187,2),MIN(ROUND(I$6+IF(I$5=$C187,$E$5+$E187,0),2),ROUND(K186+J187,2))),0)</f>
        <v>0</v>
      </c>
      <c r="J187" s="24">
        <f>IF(K186&gt;0,ROUND(ROUND(K186*100,0)*ROUND(I$7*10000,0)/12000000,0)/100,0)</f>
        <v>0</v>
      </c>
      <c r="K187" s="24">
        <f>IF(K186&gt;0,ROUND(K186+J187-I187,2),0)</f>
        <v>0</v>
      </c>
      <c r="L187" s="24">
        <f>IF(K186&gt;0,ROUND(L186+ROUND(ROUND(L186*100,0)*ROUND(I$7*10000,0)/12000000,0)/100+0.02,2),0)</f>
        <v>0</v>
      </c>
      <c r="M187" s="24">
        <f>IF(O186&gt;0,IF(AND(ROUND(O186+N187-ROUND(M$6+IF(M$5=$C187,$E$5+$E187,0),2),2)&gt;0,ROUND(O186+N187-ROUND(M$6+IF(M$5=$C187,$E$5+$E187,0),2),2)&lt;=P187,ROUND(O186+N187-ROUND(M$6+IF(M$5=$C187,$E$5+$E187,0),2),2)*10&lt;=ROUND(M$6+IF(M$5=$C187,$E$5+$E187,0),2)),ROUND(O186+N187,2),MIN(ROUND(M$6+IF(M$5=$C187,$E$5+$E187,0),2),ROUND(O186+N187,2))),0)</f>
        <v>0</v>
      </c>
      <c r="N187" s="24">
        <f>IF(O186&gt;0,ROUND(ROUND(O186*100,0)*ROUND(M$7*10000,0)/12000000,0)/100,0)</f>
        <v>0</v>
      </c>
      <c r="O187" s="24">
        <f>IF(O186&gt;0,ROUND(O186+N187-M187,2),0)</f>
        <v>0</v>
      </c>
      <c r="P187" s="24">
        <f>IF(O186&gt;0,ROUND(P186+ROUND(ROUND(P186*100,0)*ROUND(M$7*10000,0)/12000000,0)/100+0.02,2),0)</f>
        <v>0</v>
      </c>
      <c r="Q187" s="24">
        <f>IF(S186&gt;0,IF(AND(ROUND(S186+R187-ROUND(Q$6+IF(Q$5=$C187,$E$5+$E187,0),2),2)&gt;0,ROUND(S186+R187-ROUND(Q$6+IF(Q$5=$C187,$E$5+$E187,0),2),2)&lt;=T187,ROUND(S186+R187-ROUND(Q$6+IF(Q$5=$C187,$E$5+$E187,0),2),2)*10&lt;=ROUND(Q$6+IF(Q$5=$C187,$E$5+$E187,0),2)),ROUND(S186+R187,2),MIN(ROUND(Q$6+IF(Q$5=$C187,$E$5+$E187,0),2),ROUND(S186+R187,2))),0)</f>
        <v>0</v>
      </c>
      <c r="R187" s="24">
        <f>IF(S186&gt;0,ROUND(ROUND(S186*100,0)*ROUND(Q$7*10000,0)/12000000,0)/100,0)</f>
        <v>0</v>
      </c>
      <c r="S187" s="24">
        <f>IF(S186&gt;0,ROUND(S186+R187-Q187,2),0)</f>
        <v>0</v>
      </c>
      <c r="T187" s="24">
        <f>IF(S186&gt;0,ROUND(T186+ROUND(ROUND(T186*100,0)*ROUND(Q$7*10000,0)/12000000,0)/100+0.02,2),0)</f>
        <v>0</v>
      </c>
      <c r="U187" s="24">
        <f>IF(W186&gt;0,IF(AND(ROUND(W186+V187-ROUND(U$6+IF(U$5=$C187,$E$5+$E187,0),2),2)&gt;0,ROUND(W186+V187-ROUND(U$6+IF(U$5=$C187,$E$5+$E187,0),2),2)&lt;=X187,ROUND(W186+V187-ROUND(U$6+IF(U$5=$C187,$E$5+$E187,0),2),2)*10&lt;=ROUND(U$6+IF(U$5=$C187,$E$5+$E187,0),2)),ROUND(W186+V187,2),MIN(ROUND(U$6+IF(U$5=$C187,$E$5+$E187,0),2),ROUND(W186+V187,2))),0)</f>
        <v>0</v>
      </c>
      <c r="V187" s="24">
        <f>IF(W186&gt;0,ROUND(ROUND(W186*100,0)*ROUND(U$7*10000,0)/12000000,0)/100,0)</f>
        <v>0</v>
      </c>
      <c r="W187" s="24">
        <f>IF(W186&gt;0,ROUND(W186+V187-U187,2),0)</f>
        <v>0</v>
      </c>
      <c r="X187" s="24">
        <f>IF(W186&gt;0,ROUND(X186+ROUND(ROUND(X186*100,0)*ROUND(U$7*10000,0)/12000000,0)/100+0.02,2),0)</f>
        <v>0</v>
      </c>
      <c r="Y187" s="24">
        <f>IF(AA186&gt;0,IF(AND(ROUND(AA186+Z187-ROUND(Y$6+IF(Y$5=$C187,$E$5+$E187,0),2),2)&gt;0,ROUND(AA186+Z187-ROUND(Y$6+IF(Y$5=$C187,$E$5+$E187,0),2),2)&lt;=AB187,ROUND(AA186+Z187-ROUND(Y$6+IF(Y$5=$C187,$E$5+$E187,0),2),2)*10&lt;=ROUND(Y$6+IF(Y$5=$C187,$E$5+$E187,0),2)),ROUND(AA186+Z187,2),MIN(ROUND(Y$6+IF(Y$5=$C187,$E$5+$E187,0),2),ROUND(AA186+Z187,2))),0)</f>
        <v>0</v>
      </c>
      <c r="Z187" s="24">
        <f>IF(AA186&gt;0,ROUND(ROUND(AA186*100,0)*ROUND(Y$7*10000,0)/12000000,0)/100,0)</f>
        <v>0</v>
      </c>
      <c r="AA187" s="24">
        <f>IF(AA186&gt;0,ROUND(AA186+Z187-Y187,2),0)</f>
        <v>0</v>
      </c>
      <c r="AB187" s="24">
        <f>IF(AA186&gt;0,ROUND(AB186+ROUND(ROUND(AB186*100,0)*ROUND(Y$7*10000,0)/12000000,0)/100+0.02,2),0)</f>
        <v>0</v>
      </c>
      <c r="AC187" s="24">
        <f>IF(AE186&gt;0,IF(AND(ROUND(AE186+AD187-ROUND(AC$6+IF(AC$5=$C187,$E$5+$E187,0),2),2)&gt;0,ROUND(AE186+AD187-ROUND(AC$6+IF(AC$5=$C187,$E$5+$E187,0),2),2)&lt;=AF187,ROUND(AE186+AD187-ROUND(AC$6+IF(AC$5=$C187,$E$5+$E187,0),2),2)*10&lt;=ROUND(AC$6+IF(AC$5=$C187,$E$5+$E187,0),2)),ROUND(AE186+AD187,2),MIN(ROUND(AC$6+IF(AC$5=$C187,$E$5+$E187,0),2),ROUND(AE186+AD187,2))),0)</f>
        <v>0</v>
      </c>
      <c r="AD187" s="24">
        <f>IF(AE186&gt;0,ROUND(ROUND(AE186*100,0)*ROUND(AC$7*10000,0)/12000000,0)/100,0)</f>
        <v>0</v>
      </c>
      <c r="AE187" s="24">
        <f>IF(AE186&gt;0,ROUND(AE186+AD187-AC187,2),0)</f>
        <v>0</v>
      </c>
      <c r="AF187" s="24">
        <f>IF(AE186&gt;0,ROUND(AF186+ROUND(ROUND(AF186*100,0)*ROUND(AC$7*10000,0)/12000000,0)/100+0.02,2),0)</f>
        <v>0</v>
      </c>
      <c r="AG187" s="24">
        <f>IF(AI186&gt;0,IF(AND(ROUND(AI186+AH187-ROUND(AG$6+IF(AG$5=$C187,$E$5+$E187,0),2),2)&gt;0,ROUND(AI186+AH187-ROUND(AG$6+IF(AG$5=$C187,$E$5+$E187,0),2),2)&lt;=AJ187,ROUND(AI186+AH187-ROUND(AG$6+IF(AG$5=$C187,$E$5+$E187,0),2),2)*10&lt;=ROUND(AG$6+IF(AG$5=$C187,$E$5+$E187,0),2)),ROUND(AI186+AH187,2),MIN(ROUND(AG$6+IF(AG$5=$C187,$E$5+$E187,0),2),ROUND(AI186+AH187,2))),0)</f>
        <v>0</v>
      </c>
      <c r="AH187" s="24">
        <f>IF(AI186&gt;0,ROUND(ROUND(AI186*100,0)*ROUND(AG$7*10000,0)/12000000,0)/100,0)</f>
        <v>0</v>
      </c>
      <c r="AI187" s="24">
        <f>IF(AI186&gt;0,ROUND(AI186+AH187-AG187,2),0)</f>
        <v>0</v>
      </c>
      <c r="AJ187" s="24">
        <f>IF(AI186&gt;0,ROUND(AJ186+ROUND(ROUND(AJ186*100,0)*ROUND(AG$7*10000,0)/12000000,0)/100+0.02,2),0)</f>
        <v>0</v>
      </c>
      <c r="AK187" s="24">
        <f>IF(AM186&gt;0,IF(AND(ROUND(AM186+AL187-ROUND(AK$6+IF(AK$5=$C187,$E$5+$E187,0),2),2)&gt;0,ROUND(AM186+AL187-ROUND(AK$6+IF(AK$5=$C187,$E$5+$E187,0),2),2)&lt;=AN187,ROUND(AM186+AL187-ROUND(AK$6+IF(AK$5=$C187,$E$5+$E187,0),2),2)*10&lt;=ROUND(AK$6+IF(AK$5=$C187,$E$5+$E187,0),2)),ROUND(AM186+AL187,2),MIN(ROUND(AK$6+IF(AK$5=$C187,$E$5+$E187,0),2),ROUND(AM186+AL187,2))),0)</f>
        <v>0</v>
      </c>
      <c r="AL187" s="24">
        <f>IF(AM186&gt;0,ROUND(ROUND(AM186*100,0)*ROUND(AK$7*10000,0)/12000000,0)/100,0)</f>
        <v>0</v>
      </c>
      <c r="AM187" s="24">
        <f>IF(AM186&gt;0,ROUND(AM186+AL187-AK187,2),0)</f>
        <v>0</v>
      </c>
      <c r="AN187" s="24">
        <f>IF(AM186&gt;0,ROUND(AN186+ROUND(ROUND(AN186*100,0)*ROUND(AK$7*10000,0)/12000000,0)/100+0.02,2),0)</f>
        <v>0</v>
      </c>
      <c r="AO187" s="24">
        <f>IF(AQ186&gt;0,IF(AND(ROUND(AQ186+AP187-ROUND(AO$6+IF(AO$5=$C187,$E$5+$E187,0),2),2)&gt;0,ROUND(AQ186+AP187-ROUND(AO$6+IF(AO$5=$C187,$E$5+$E187,0),2),2)&lt;=AR187,ROUND(AQ186+AP187-ROUND(AO$6+IF(AO$5=$C187,$E$5+$E187,0),2),2)*10&lt;=ROUND(AO$6+IF(AO$5=$C187,$E$5+$E187,0),2)),ROUND(AQ186+AP187,2),MIN(ROUND(AO$6+IF(AO$5=$C187,$E$5+$E187,0),2),ROUND(AQ186+AP187,2))),0)</f>
        <v>0</v>
      </c>
      <c r="AP187" s="24">
        <f>IF(AQ186&gt;0,ROUND(ROUND(AQ186*100,0)*ROUND(AO$7*10000,0)/12000000,0)/100,0)</f>
        <v>0</v>
      </c>
      <c r="AQ187" s="24">
        <f>IF(AQ186&gt;0,ROUND(AQ186+AP187-AO187,2),0)</f>
        <v>0</v>
      </c>
      <c r="AR187" s="24">
        <f>IF(AQ186&gt;0,ROUND(AR186+ROUND(ROUND(AR186*100,0)*ROUND(AO$7*10000,0)/12000000,0)/100+0.02,2),0)</f>
        <v>0</v>
      </c>
      <c r="AS187" s="24">
        <f>IF(AU186&gt;0,IF(AND(ROUND(AU186+AT187-ROUND(AS$6+IF(AS$5=$C187,$E$5+$E187,0),2),2)&gt;0,ROUND(AU186+AT187-ROUND(AS$6+IF(AS$5=$C187,$E$5+$E187,0),2),2)&lt;=AV187,ROUND(AU186+AT187-ROUND(AS$6+IF(AS$5=$C187,$E$5+$E187,0),2),2)*10&lt;=ROUND(AS$6+IF(AS$5=$C187,$E$5+$E187,0),2)),ROUND(AU186+AT187,2),MIN(ROUND(AS$6+IF(AS$5=$C187,$E$5+$E187,0),2),ROUND(AU186+AT187,2))),0)</f>
        <v>0</v>
      </c>
      <c r="AT187" s="24">
        <f>IF(AU186&gt;0,ROUND(ROUND(AU186*100,0)*ROUND(AS$7*10000,0)/12000000,0)/100,0)</f>
        <v>0</v>
      </c>
      <c r="AU187" s="24">
        <f>IF(AU186&gt;0,ROUND(AU186+AT187-AS187,2),0)</f>
        <v>0</v>
      </c>
      <c r="AV187" s="24">
        <f>IF(AU186&gt;0,ROUND(AV186+ROUND(ROUND(AV186*100,0)*ROUND(AS$7*10000,0)/12000000,0)/100+0.02,2),0)</f>
        <v>0</v>
      </c>
    </row>
    <row r="188" spans="1:48" x14ac:dyDescent="0.25">
      <c r="A188" s="17" t="str">
        <f>IF(F188&gt;0,178,"")</f>
        <v/>
      </c>
      <c r="B188" s="18" t="str">
        <f>IF(F188&gt;0,EDATE($E$6,178),"")</f>
        <v/>
      </c>
      <c r="C188" s="21">
        <f>IF(H187&gt;0,MIN(IF(K187&gt;0,I$5,99),IF(O187&gt;0,M$5,99),IF(S187&gt;0,Q$5,99),IF(W187&gt;0,U$5,99),IF(AA187&gt;0,Y$5,99),IF(AE187&gt;0,AC$5,99),IF(AI187&gt;0,AG$5,99),IF(AM187&gt;0,AK$5,99),IF(AQ187&gt;0,AO$5,99),IF(AU187&gt;0,AS$5,99)),0)</f>
        <v>0</v>
      </c>
      <c r="D188" t="str">
        <f>IF(C188&gt;0,INDEX($I$4:$AV$4,1,MATCH(C188,$I$5:$AV$5,0)),"")</f>
        <v/>
      </c>
      <c r="E188" s="24">
        <f>ROUND(IF(AND(I$8&gt;0,K187=0),I$6,0)+IF(AND(M$8&gt;0,O187=0),M$6,0)+IF(AND(Q$8&gt;0,S187=0),Q$6,0)+IF(AND(U$8&gt;0,W187=0),U$6,0)+IF(AND(Y$8&gt;0,AA187=0),Y$6,0)+IF(AND(AC$8&gt;0,AE187=0),AC$6,0)+IF(AND(AG$8&gt;0,AI187=0),AG$6,0)+IF(AND(AK$8&gt;0,AM187=0),AK$6,0)+IF(AND(AO$8&gt;0,AQ187=0),AO$6,0)+IF(AND(AS$8&gt;0,AU187=0),AS$6,0),2)</f>
        <v>325</v>
      </c>
      <c r="F188" s="24">
        <f>ROUND(I188+M188+Q188+U188+Y188+AC188+AG188+AK188+AO188+AS188,2)</f>
        <v>0</v>
      </c>
      <c r="G188" s="24">
        <f>ROUND(J188+N188+R188+V188+Z188+AD188+AH188+AL188+AP188+AT188,2)</f>
        <v>0</v>
      </c>
      <c r="H188" s="24">
        <f>ROUND(K188+O188+S188+W188+AA188+AE188+AI188+AM188+AQ188+AU188,2)</f>
        <v>0</v>
      </c>
      <c r="I188" s="24">
        <f>IF(K187&gt;0,IF(AND(ROUND(K187+J188-ROUND(I$6+IF(I$5=$C188,$E$5+$E188,0),2),2)&gt;0,ROUND(K187+J188-ROUND(I$6+IF(I$5=$C188,$E$5+$E188,0),2),2)&lt;=L188,ROUND(K187+J188-ROUND(I$6+IF(I$5=$C188,$E$5+$E188,0),2),2)*10&lt;=ROUND(I$6+IF(I$5=$C188,$E$5+$E188,0),2)),ROUND(K187+J188,2),MIN(ROUND(I$6+IF(I$5=$C188,$E$5+$E188,0),2),ROUND(K187+J188,2))),0)</f>
        <v>0</v>
      </c>
      <c r="J188" s="24">
        <f>IF(K187&gt;0,ROUND(ROUND(K187*100,0)*ROUND(I$7*10000,0)/12000000,0)/100,0)</f>
        <v>0</v>
      </c>
      <c r="K188" s="24">
        <f>IF(K187&gt;0,ROUND(K187+J188-I188,2),0)</f>
        <v>0</v>
      </c>
      <c r="L188" s="24">
        <f>IF(K187&gt;0,ROUND(L187+ROUND(ROUND(L187*100,0)*ROUND(I$7*10000,0)/12000000,0)/100+0.02,2),0)</f>
        <v>0</v>
      </c>
      <c r="M188" s="24">
        <f>IF(O187&gt;0,IF(AND(ROUND(O187+N188-ROUND(M$6+IF(M$5=$C188,$E$5+$E188,0),2),2)&gt;0,ROUND(O187+N188-ROUND(M$6+IF(M$5=$C188,$E$5+$E188,0),2),2)&lt;=P188,ROUND(O187+N188-ROUND(M$6+IF(M$5=$C188,$E$5+$E188,0),2),2)*10&lt;=ROUND(M$6+IF(M$5=$C188,$E$5+$E188,0),2)),ROUND(O187+N188,2),MIN(ROUND(M$6+IF(M$5=$C188,$E$5+$E188,0),2),ROUND(O187+N188,2))),0)</f>
        <v>0</v>
      </c>
      <c r="N188" s="24">
        <f>IF(O187&gt;0,ROUND(ROUND(O187*100,0)*ROUND(M$7*10000,0)/12000000,0)/100,0)</f>
        <v>0</v>
      </c>
      <c r="O188" s="24">
        <f>IF(O187&gt;0,ROUND(O187+N188-M188,2),0)</f>
        <v>0</v>
      </c>
      <c r="P188" s="24">
        <f>IF(O187&gt;0,ROUND(P187+ROUND(ROUND(P187*100,0)*ROUND(M$7*10000,0)/12000000,0)/100+0.02,2),0)</f>
        <v>0</v>
      </c>
      <c r="Q188" s="24">
        <f>IF(S187&gt;0,IF(AND(ROUND(S187+R188-ROUND(Q$6+IF(Q$5=$C188,$E$5+$E188,0),2),2)&gt;0,ROUND(S187+R188-ROUND(Q$6+IF(Q$5=$C188,$E$5+$E188,0),2),2)&lt;=T188,ROUND(S187+R188-ROUND(Q$6+IF(Q$5=$C188,$E$5+$E188,0),2),2)*10&lt;=ROUND(Q$6+IF(Q$5=$C188,$E$5+$E188,0),2)),ROUND(S187+R188,2),MIN(ROUND(Q$6+IF(Q$5=$C188,$E$5+$E188,0),2),ROUND(S187+R188,2))),0)</f>
        <v>0</v>
      </c>
      <c r="R188" s="24">
        <f>IF(S187&gt;0,ROUND(ROUND(S187*100,0)*ROUND(Q$7*10000,0)/12000000,0)/100,0)</f>
        <v>0</v>
      </c>
      <c r="S188" s="24">
        <f>IF(S187&gt;0,ROUND(S187+R188-Q188,2),0)</f>
        <v>0</v>
      </c>
      <c r="T188" s="24">
        <f>IF(S187&gt;0,ROUND(T187+ROUND(ROUND(T187*100,0)*ROUND(Q$7*10000,0)/12000000,0)/100+0.02,2),0)</f>
        <v>0</v>
      </c>
      <c r="U188" s="24">
        <f>IF(W187&gt;0,IF(AND(ROUND(W187+V188-ROUND(U$6+IF(U$5=$C188,$E$5+$E188,0),2),2)&gt;0,ROUND(W187+V188-ROUND(U$6+IF(U$5=$C188,$E$5+$E188,0),2),2)&lt;=X188,ROUND(W187+V188-ROUND(U$6+IF(U$5=$C188,$E$5+$E188,0),2),2)*10&lt;=ROUND(U$6+IF(U$5=$C188,$E$5+$E188,0),2)),ROUND(W187+V188,2),MIN(ROUND(U$6+IF(U$5=$C188,$E$5+$E188,0),2),ROUND(W187+V188,2))),0)</f>
        <v>0</v>
      </c>
      <c r="V188" s="24">
        <f>IF(W187&gt;0,ROUND(ROUND(W187*100,0)*ROUND(U$7*10000,0)/12000000,0)/100,0)</f>
        <v>0</v>
      </c>
      <c r="W188" s="24">
        <f>IF(W187&gt;0,ROUND(W187+V188-U188,2),0)</f>
        <v>0</v>
      </c>
      <c r="X188" s="24">
        <f>IF(W187&gt;0,ROUND(X187+ROUND(ROUND(X187*100,0)*ROUND(U$7*10000,0)/12000000,0)/100+0.02,2),0)</f>
        <v>0</v>
      </c>
      <c r="Y188" s="24">
        <f>IF(AA187&gt;0,IF(AND(ROUND(AA187+Z188-ROUND(Y$6+IF(Y$5=$C188,$E$5+$E188,0),2),2)&gt;0,ROUND(AA187+Z188-ROUND(Y$6+IF(Y$5=$C188,$E$5+$E188,0),2),2)&lt;=AB188,ROUND(AA187+Z188-ROUND(Y$6+IF(Y$5=$C188,$E$5+$E188,0),2),2)*10&lt;=ROUND(Y$6+IF(Y$5=$C188,$E$5+$E188,0),2)),ROUND(AA187+Z188,2),MIN(ROUND(Y$6+IF(Y$5=$C188,$E$5+$E188,0),2),ROUND(AA187+Z188,2))),0)</f>
        <v>0</v>
      </c>
      <c r="Z188" s="24">
        <f>IF(AA187&gt;0,ROUND(ROUND(AA187*100,0)*ROUND(Y$7*10000,0)/12000000,0)/100,0)</f>
        <v>0</v>
      </c>
      <c r="AA188" s="24">
        <f>IF(AA187&gt;0,ROUND(AA187+Z188-Y188,2),0)</f>
        <v>0</v>
      </c>
      <c r="AB188" s="24">
        <f>IF(AA187&gt;0,ROUND(AB187+ROUND(ROUND(AB187*100,0)*ROUND(Y$7*10000,0)/12000000,0)/100+0.02,2),0)</f>
        <v>0</v>
      </c>
      <c r="AC188" s="24">
        <f>IF(AE187&gt;0,IF(AND(ROUND(AE187+AD188-ROUND(AC$6+IF(AC$5=$C188,$E$5+$E188,0),2),2)&gt;0,ROUND(AE187+AD188-ROUND(AC$6+IF(AC$5=$C188,$E$5+$E188,0),2),2)&lt;=AF188,ROUND(AE187+AD188-ROUND(AC$6+IF(AC$5=$C188,$E$5+$E188,0),2),2)*10&lt;=ROUND(AC$6+IF(AC$5=$C188,$E$5+$E188,0),2)),ROUND(AE187+AD188,2),MIN(ROUND(AC$6+IF(AC$5=$C188,$E$5+$E188,0),2),ROUND(AE187+AD188,2))),0)</f>
        <v>0</v>
      </c>
      <c r="AD188" s="24">
        <f>IF(AE187&gt;0,ROUND(ROUND(AE187*100,0)*ROUND(AC$7*10000,0)/12000000,0)/100,0)</f>
        <v>0</v>
      </c>
      <c r="AE188" s="24">
        <f>IF(AE187&gt;0,ROUND(AE187+AD188-AC188,2),0)</f>
        <v>0</v>
      </c>
      <c r="AF188" s="24">
        <f>IF(AE187&gt;0,ROUND(AF187+ROUND(ROUND(AF187*100,0)*ROUND(AC$7*10000,0)/12000000,0)/100+0.02,2),0)</f>
        <v>0</v>
      </c>
      <c r="AG188" s="24">
        <f>IF(AI187&gt;0,IF(AND(ROUND(AI187+AH188-ROUND(AG$6+IF(AG$5=$C188,$E$5+$E188,0),2),2)&gt;0,ROUND(AI187+AH188-ROUND(AG$6+IF(AG$5=$C188,$E$5+$E188,0),2),2)&lt;=AJ188,ROUND(AI187+AH188-ROUND(AG$6+IF(AG$5=$C188,$E$5+$E188,0),2),2)*10&lt;=ROUND(AG$6+IF(AG$5=$C188,$E$5+$E188,0),2)),ROUND(AI187+AH188,2),MIN(ROUND(AG$6+IF(AG$5=$C188,$E$5+$E188,0),2),ROUND(AI187+AH188,2))),0)</f>
        <v>0</v>
      </c>
      <c r="AH188" s="24">
        <f>IF(AI187&gt;0,ROUND(ROUND(AI187*100,0)*ROUND(AG$7*10000,0)/12000000,0)/100,0)</f>
        <v>0</v>
      </c>
      <c r="AI188" s="24">
        <f>IF(AI187&gt;0,ROUND(AI187+AH188-AG188,2),0)</f>
        <v>0</v>
      </c>
      <c r="AJ188" s="24">
        <f>IF(AI187&gt;0,ROUND(AJ187+ROUND(ROUND(AJ187*100,0)*ROUND(AG$7*10000,0)/12000000,0)/100+0.02,2),0)</f>
        <v>0</v>
      </c>
      <c r="AK188" s="24">
        <f>IF(AM187&gt;0,IF(AND(ROUND(AM187+AL188-ROUND(AK$6+IF(AK$5=$C188,$E$5+$E188,0),2),2)&gt;0,ROUND(AM187+AL188-ROUND(AK$6+IF(AK$5=$C188,$E$5+$E188,0),2),2)&lt;=AN188,ROUND(AM187+AL188-ROUND(AK$6+IF(AK$5=$C188,$E$5+$E188,0),2),2)*10&lt;=ROUND(AK$6+IF(AK$5=$C188,$E$5+$E188,0),2)),ROUND(AM187+AL188,2),MIN(ROUND(AK$6+IF(AK$5=$C188,$E$5+$E188,0),2),ROUND(AM187+AL188,2))),0)</f>
        <v>0</v>
      </c>
      <c r="AL188" s="24">
        <f>IF(AM187&gt;0,ROUND(ROUND(AM187*100,0)*ROUND(AK$7*10000,0)/12000000,0)/100,0)</f>
        <v>0</v>
      </c>
      <c r="AM188" s="24">
        <f>IF(AM187&gt;0,ROUND(AM187+AL188-AK188,2),0)</f>
        <v>0</v>
      </c>
      <c r="AN188" s="24">
        <f>IF(AM187&gt;0,ROUND(AN187+ROUND(ROUND(AN187*100,0)*ROUND(AK$7*10000,0)/12000000,0)/100+0.02,2),0)</f>
        <v>0</v>
      </c>
      <c r="AO188" s="24">
        <f>IF(AQ187&gt;0,IF(AND(ROUND(AQ187+AP188-ROUND(AO$6+IF(AO$5=$C188,$E$5+$E188,0),2),2)&gt;0,ROUND(AQ187+AP188-ROUND(AO$6+IF(AO$5=$C188,$E$5+$E188,0),2),2)&lt;=AR188,ROUND(AQ187+AP188-ROUND(AO$6+IF(AO$5=$C188,$E$5+$E188,0),2),2)*10&lt;=ROUND(AO$6+IF(AO$5=$C188,$E$5+$E188,0),2)),ROUND(AQ187+AP188,2),MIN(ROUND(AO$6+IF(AO$5=$C188,$E$5+$E188,0),2),ROUND(AQ187+AP188,2))),0)</f>
        <v>0</v>
      </c>
      <c r="AP188" s="24">
        <f>IF(AQ187&gt;0,ROUND(ROUND(AQ187*100,0)*ROUND(AO$7*10000,0)/12000000,0)/100,0)</f>
        <v>0</v>
      </c>
      <c r="AQ188" s="24">
        <f>IF(AQ187&gt;0,ROUND(AQ187+AP188-AO188,2),0)</f>
        <v>0</v>
      </c>
      <c r="AR188" s="24">
        <f>IF(AQ187&gt;0,ROUND(AR187+ROUND(ROUND(AR187*100,0)*ROUND(AO$7*10000,0)/12000000,0)/100+0.02,2),0)</f>
        <v>0</v>
      </c>
      <c r="AS188" s="24">
        <f>IF(AU187&gt;0,IF(AND(ROUND(AU187+AT188-ROUND(AS$6+IF(AS$5=$C188,$E$5+$E188,0),2),2)&gt;0,ROUND(AU187+AT188-ROUND(AS$6+IF(AS$5=$C188,$E$5+$E188,0),2),2)&lt;=AV188,ROUND(AU187+AT188-ROUND(AS$6+IF(AS$5=$C188,$E$5+$E188,0),2),2)*10&lt;=ROUND(AS$6+IF(AS$5=$C188,$E$5+$E188,0),2)),ROUND(AU187+AT188,2),MIN(ROUND(AS$6+IF(AS$5=$C188,$E$5+$E188,0),2),ROUND(AU187+AT188,2))),0)</f>
        <v>0</v>
      </c>
      <c r="AT188" s="24">
        <f>IF(AU187&gt;0,ROUND(ROUND(AU187*100,0)*ROUND(AS$7*10000,0)/12000000,0)/100,0)</f>
        <v>0</v>
      </c>
      <c r="AU188" s="24">
        <f>IF(AU187&gt;0,ROUND(AU187+AT188-AS188,2),0)</f>
        <v>0</v>
      </c>
      <c r="AV188" s="24">
        <f>IF(AU187&gt;0,ROUND(AV187+ROUND(ROUND(AV187*100,0)*ROUND(AS$7*10000,0)/12000000,0)/100+0.02,2),0)</f>
        <v>0</v>
      </c>
    </row>
    <row r="189" spans="1:48" x14ac:dyDescent="0.25">
      <c r="A189" s="17" t="str">
        <f>IF(F189&gt;0,179,"")</f>
        <v/>
      </c>
      <c r="B189" s="18" t="str">
        <f>IF(F189&gt;0,EDATE($E$6,179),"")</f>
        <v/>
      </c>
      <c r="C189" s="21">
        <f>IF(H188&gt;0,MIN(IF(K188&gt;0,I$5,99),IF(O188&gt;0,M$5,99),IF(S188&gt;0,Q$5,99),IF(W188&gt;0,U$5,99),IF(AA188&gt;0,Y$5,99),IF(AE188&gt;0,AC$5,99),IF(AI188&gt;0,AG$5,99),IF(AM188&gt;0,AK$5,99),IF(AQ188&gt;0,AO$5,99),IF(AU188&gt;0,AS$5,99)),0)</f>
        <v>0</v>
      </c>
      <c r="D189" t="str">
        <f>IF(C189&gt;0,INDEX($I$4:$AV$4,1,MATCH(C189,$I$5:$AV$5,0)),"")</f>
        <v/>
      </c>
      <c r="E189" s="24">
        <f>ROUND(IF(AND(I$8&gt;0,K188=0),I$6,0)+IF(AND(M$8&gt;0,O188=0),M$6,0)+IF(AND(Q$8&gt;0,S188=0),Q$6,0)+IF(AND(U$8&gt;0,W188=0),U$6,0)+IF(AND(Y$8&gt;0,AA188=0),Y$6,0)+IF(AND(AC$8&gt;0,AE188=0),AC$6,0)+IF(AND(AG$8&gt;0,AI188=0),AG$6,0)+IF(AND(AK$8&gt;0,AM188=0),AK$6,0)+IF(AND(AO$8&gt;0,AQ188=0),AO$6,0)+IF(AND(AS$8&gt;0,AU188=0),AS$6,0),2)</f>
        <v>325</v>
      </c>
      <c r="F189" s="24">
        <f>ROUND(I189+M189+Q189+U189+Y189+AC189+AG189+AK189+AO189+AS189,2)</f>
        <v>0</v>
      </c>
      <c r="G189" s="24">
        <f>ROUND(J189+N189+R189+V189+Z189+AD189+AH189+AL189+AP189+AT189,2)</f>
        <v>0</v>
      </c>
      <c r="H189" s="24">
        <f>ROUND(K189+O189+S189+W189+AA189+AE189+AI189+AM189+AQ189+AU189,2)</f>
        <v>0</v>
      </c>
      <c r="I189" s="24">
        <f>IF(K188&gt;0,IF(AND(ROUND(K188+J189-ROUND(I$6+IF(I$5=$C189,$E$5+$E189,0),2),2)&gt;0,ROUND(K188+J189-ROUND(I$6+IF(I$5=$C189,$E$5+$E189,0),2),2)&lt;=L189,ROUND(K188+J189-ROUND(I$6+IF(I$5=$C189,$E$5+$E189,0),2),2)*10&lt;=ROUND(I$6+IF(I$5=$C189,$E$5+$E189,0),2)),ROUND(K188+J189,2),MIN(ROUND(I$6+IF(I$5=$C189,$E$5+$E189,0),2),ROUND(K188+J189,2))),0)</f>
        <v>0</v>
      </c>
      <c r="J189" s="24">
        <f>IF(K188&gt;0,ROUND(ROUND(K188*100,0)*ROUND(I$7*10000,0)/12000000,0)/100,0)</f>
        <v>0</v>
      </c>
      <c r="K189" s="24">
        <f>IF(K188&gt;0,ROUND(K188+J189-I189,2),0)</f>
        <v>0</v>
      </c>
      <c r="L189" s="24">
        <f>IF(K188&gt;0,ROUND(L188+ROUND(ROUND(L188*100,0)*ROUND(I$7*10000,0)/12000000,0)/100+0.02,2),0)</f>
        <v>0</v>
      </c>
      <c r="M189" s="24">
        <f>IF(O188&gt;0,IF(AND(ROUND(O188+N189-ROUND(M$6+IF(M$5=$C189,$E$5+$E189,0),2),2)&gt;0,ROUND(O188+N189-ROUND(M$6+IF(M$5=$C189,$E$5+$E189,0),2),2)&lt;=P189,ROUND(O188+N189-ROUND(M$6+IF(M$5=$C189,$E$5+$E189,0),2),2)*10&lt;=ROUND(M$6+IF(M$5=$C189,$E$5+$E189,0),2)),ROUND(O188+N189,2),MIN(ROUND(M$6+IF(M$5=$C189,$E$5+$E189,0),2),ROUND(O188+N189,2))),0)</f>
        <v>0</v>
      </c>
      <c r="N189" s="24">
        <f>IF(O188&gt;0,ROUND(ROUND(O188*100,0)*ROUND(M$7*10000,0)/12000000,0)/100,0)</f>
        <v>0</v>
      </c>
      <c r="O189" s="24">
        <f>IF(O188&gt;0,ROUND(O188+N189-M189,2),0)</f>
        <v>0</v>
      </c>
      <c r="P189" s="24">
        <f>IF(O188&gt;0,ROUND(P188+ROUND(ROUND(P188*100,0)*ROUND(M$7*10000,0)/12000000,0)/100+0.02,2),0)</f>
        <v>0</v>
      </c>
      <c r="Q189" s="24">
        <f>IF(S188&gt;0,IF(AND(ROUND(S188+R189-ROUND(Q$6+IF(Q$5=$C189,$E$5+$E189,0),2),2)&gt;0,ROUND(S188+R189-ROUND(Q$6+IF(Q$5=$C189,$E$5+$E189,0),2),2)&lt;=T189,ROUND(S188+R189-ROUND(Q$6+IF(Q$5=$C189,$E$5+$E189,0),2),2)*10&lt;=ROUND(Q$6+IF(Q$5=$C189,$E$5+$E189,0),2)),ROUND(S188+R189,2),MIN(ROUND(Q$6+IF(Q$5=$C189,$E$5+$E189,0),2),ROUND(S188+R189,2))),0)</f>
        <v>0</v>
      </c>
      <c r="R189" s="24">
        <f>IF(S188&gt;0,ROUND(ROUND(S188*100,0)*ROUND(Q$7*10000,0)/12000000,0)/100,0)</f>
        <v>0</v>
      </c>
      <c r="S189" s="24">
        <f>IF(S188&gt;0,ROUND(S188+R189-Q189,2),0)</f>
        <v>0</v>
      </c>
      <c r="T189" s="24">
        <f>IF(S188&gt;0,ROUND(T188+ROUND(ROUND(T188*100,0)*ROUND(Q$7*10000,0)/12000000,0)/100+0.02,2),0)</f>
        <v>0</v>
      </c>
      <c r="U189" s="24">
        <f>IF(W188&gt;0,IF(AND(ROUND(W188+V189-ROUND(U$6+IF(U$5=$C189,$E$5+$E189,0),2),2)&gt;0,ROUND(W188+V189-ROUND(U$6+IF(U$5=$C189,$E$5+$E189,0),2),2)&lt;=X189,ROUND(W188+V189-ROUND(U$6+IF(U$5=$C189,$E$5+$E189,0),2),2)*10&lt;=ROUND(U$6+IF(U$5=$C189,$E$5+$E189,0),2)),ROUND(W188+V189,2),MIN(ROUND(U$6+IF(U$5=$C189,$E$5+$E189,0),2),ROUND(W188+V189,2))),0)</f>
        <v>0</v>
      </c>
      <c r="V189" s="24">
        <f>IF(W188&gt;0,ROUND(ROUND(W188*100,0)*ROUND(U$7*10000,0)/12000000,0)/100,0)</f>
        <v>0</v>
      </c>
      <c r="W189" s="24">
        <f>IF(W188&gt;0,ROUND(W188+V189-U189,2),0)</f>
        <v>0</v>
      </c>
      <c r="X189" s="24">
        <f>IF(W188&gt;0,ROUND(X188+ROUND(ROUND(X188*100,0)*ROUND(U$7*10000,0)/12000000,0)/100+0.02,2),0)</f>
        <v>0</v>
      </c>
      <c r="Y189" s="24">
        <f>IF(AA188&gt;0,IF(AND(ROUND(AA188+Z189-ROUND(Y$6+IF(Y$5=$C189,$E$5+$E189,0),2),2)&gt;0,ROUND(AA188+Z189-ROUND(Y$6+IF(Y$5=$C189,$E$5+$E189,0),2),2)&lt;=AB189,ROUND(AA188+Z189-ROUND(Y$6+IF(Y$5=$C189,$E$5+$E189,0),2),2)*10&lt;=ROUND(Y$6+IF(Y$5=$C189,$E$5+$E189,0),2)),ROUND(AA188+Z189,2),MIN(ROUND(Y$6+IF(Y$5=$C189,$E$5+$E189,0),2),ROUND(AA188+Z189,2))),0)</f>
        <v>0</v>
      </c>
      <c r="Z189" s="24">
        <f>IF(AA188&gt;0,ROUND(ROUND(AA188*100,0)*ROUND(Y$7*10000,0)/12000000,0)/100,0)</f>
        <v>0</v>
      </c>
      <c r="AA189" s="24">
        <f>IF(AA188&gt;0,ROUND(AA188+Z189-Y189,2),0)</f>
        <v>0</v>
      </c>
      <c r="AB189" s="24">
        <f>IF(AA188&gt;0,ROUND(AB188+ROUND(ROUND(AB188*100,0)*ROUND(Y$7*10000,0)/12000000,0)/100+0.02,2),0)</f>
        <v>0</v>
      </c>
      <c r="AC189" s="24">
        <f>IF(AE188&gt;0,IF(AND(ROUND(AE188+AD189-ROUND(AC$6+IF(AC$5=$C189,$E$5+$E189,0),2),2)&gt;0,ROUND(AE188+AD189-ROUND(AC$6+IF(AC$5=$C189,$E$5+$E189,0),2),2)&lt;=AF189,ROUND(AE188+AD189-ROUND(AC$6+IF(AC$5=$C189,$E$5+$E189,0),2),2)*10&lt;=ROUND(AC$6+IF(AC$5=$C189,$E$5+$E189,0),2)),ROUND(AE188+AD189,2),MIN(ROUND(AC$6+IF(AC$5=$C189,$E$5+$E189,0),2),ROUND(AE188+AD189,2))),0)</f>
        <v>0</v>
      </c>
      <c r="AD189" s="24">
        <f>IF(AE188&gt;0,ROUND(ROUND(AE188*100,0)*ROUND(AC$7*10000,0)/12000000,0)/100,0)</f>
        <v>0</v>
      </c>
      <c r="AE189" s="24">
        <f>IF(AE188&gt;0,ROUND(AE188+AD189-AC189,2),0)</f>
        <v>0</v>
      </c>
      <c r="AF189" s="24">
        <f>IF(AE188&gt;0,ROUND(AF188+ROUND(ROUND(AF188*100,0)*ROUND(AC$7*10000,0)/12000000,0)/100+0.02,2),0)</f>
        <v>0</v>
      </c>
      <c r="AG189" s="24">
        <f>IF(AI188&gt;0,IF(AND(ROUND(AI188+AH189-ROUND(AG$6+IF(AG$5=$C189,$E$5+$E189,0),2),2)&gt;0,ROUND(AI188+AH189-ROUND(AG$6+IF(AG$5=$C189,$E$5+$E189,0),2),2)&lt;=AJ189,ROUND(AI188+AH189-ROUND(AG$6+IF(AG$5=$C189,$E$5+$E189,0),2),2)*10&lt;=ROUND(AG$6+IF(AG$5=$C189,$E$5+$E189,0),2)),ROUND(AI188+AH189,2),MIN(ROUND(AG$6+IF(AG$5=$C189,$E$5+$E189,0),2),ROUND(AI188+AH189,2))),0)</f>
        <v>0</v>
      </c>
      <c r="AH189" s="24">
        <f>IF(AI188&gt;0,ROUND(ROUND(AI188*100,0)*ROUND(AG$7*10000,0)/12000000,0)/100,0)</f>
        <v>0</v>
      </c>
      <c r="AI189" s="24">
        <f>IF(AI188&gt;0,ROUND(AI188+AH189-AG189,2),0)</f>
        <v>0</v>
      </c>
      <c r="AJ189" s="24">
        <f>IF(AI188&gt;0,ROUND(AJ188+ROUND(ROUND(AJ188*100,0)*ROUND(AG$7*10000,0)/12000000,0)/100+0.02,2),0)</f>
        <v>0</v>
      </c>
      <c r="AK189" s="24">
        <f>IF(AM188&gt;0,IF(AND(ROUND(AM188+AL189-ROUND(AK$6+IF(AK$5=$C189,$E$5+$E189,0),2),2)&gt;0,ROUND(AM188+AL189-ROUND(AK$6+IF(AK$5=$C189,$E$5+$E189,0),2),2)&lt;=AN189,ROUND(AM188+AL189-ROUND(AK$6+IF(AK$5=$C189,$E$5+$E189,0),2),2)*10&lt;=ROUND(AK$6+IF(AK$5=$C189,$E$5+$E189,0),2)),ROUND(AM188+AL189,2),MIN(ROUND(AK$6+IF(AK$5=$C189,$E$5+$E189,0),2),ROUND(AM188+AL189,2))),0)</f>
        <v>0</v>
      </c>
      <c r="AL189" s="24">
        <f>IF(AM188&gt;0,ROUND(ROUND(AM188*100,0)*ROUND(AK$7*10000,0)/12000000,0)/100,0)</f>
        <v>0</v>
      </c>
      <c r="AM189" s="24">
        <f>IF(AM188&gt;0,ROUND(AM188+AL189-AK189,2),0)</f>
        <v>0</v>
      </c>
      <c r="AN189" s="24">
        <f>IF(AM188&gt;0,ROUND(AN188+ROUND(ROUND(AN188*100,0)*ROUND(AK$7*10000,0)/12000000,0)/100+0.02,2),0)</f>
        <v>0</v>
      </c>
      <c r="AO189" s="24">
        <f>IF(AQ188&gt;0,IF(AND(ROUND(AQ188+AP189-ROUND(AO$6+IF(AO$5=$C189,$E$5+$E189,0),2),2)&gt;0,ROUND(AQ188+AP189-ROUND(AO$6+IF(AO$5=$C189,$E$5+$E189,0),2),2)&lt;=AR189,ROUND(AQ188+AP189-ROUND(AO$6+IF(AO$5=$C189,$E$5+$E189,0),2),2)*10&lt;=ROUND(AO$6+IF(AO$5=$C189,$E$5+$E189,0),2)),ROUND(AQ188+AP189,2),MIN(ROUND(AO$6+IF(AO$5=$C189,$E$5+$E189,0),2),ROUND(AQ188+AP189,2))),0)</f>
        <v>0</v>
      </c>
      <c r="AP189" s="24">
        <f>IF(AQ188&gt;0,ROUND(ROUND(AQ188*100,0)*ROUND(AO$7*10000,0)/12000000,0)/100,0)</f>
        <v>0</v>
      </c>
      <c r="AQ189" s="24">
        <f>IF(AQ188&gt;0,ROUND(AQ188+AP189-AO189,2),0)</f>
        <v>0</v>
      </c>
      <c r="AR189" s="24">
        <f>IF(AQ188&gt;0,ROUND(AR188+ROUND(ROUND(AR188*100,0)*ROUND(AO$7*10000,0)/12000000,0)/100+0.02,2),0)</f>
        <v>0</v>
      </c>
      <c r="AS189" s="24">
        <f>IF(AU188&gt;0,IF(AND(ROUND(AU188+AT189-ROUND(AS$6+IF(AS$5=$C189,$E$5+$E189,0),2),2)&gt;0,ROUND(AU188+AT189-ROUND(AS$6+IF(AS$5=$C189,$E$5+$E189,0),2),2)&lt;=AV189,ROUND(AU188+AT189-ROUND(AS$6+IF(AS$5=$C189,$E$5+$E189,0),2),2)*10&lt;=ROUND(AS$6+IF(AS$5=$C189,$E$5+$E189,0),2)),ROUND(AU188+AT189,2),MIN(ROUND(AS$6+IF(AS$5=$C189,$E$5+$E189,0),2),ROUND(AU188+AT189,2))),0)</f>
        <v>0</v>
      </c>
      <c r="AT189" s="24">
        <f>IF(AU188&gt;0,ROUND(ROUND(AU188*100,0)*ROUND(AS$7*10000,0)/12000000,0)/100,0)</f>
        <v>0</v>
      </c>
      <c r="AU189" s="24">
        <f>IF(AU188&gt;0,ROUND(AU188+AT189-AS189,2),0)</f>
        <v>0</v>
      </c>
      <c r="AV189" s="24">
        <f>IF(AU188&gt;0,ROUND(AV188+ROUND(ROUND(AV188*100,0)*ROUND(AS$7*10000,0)/12000000,0)/100+0.02,2),0)</f>
        <v>0</v>
      </c>
    </row>
    <row r="190" spans="1:48" x14ac:dyDescent="0.25">
      <c r="A190" s="17" t="str">
        <f>IF(F190&gt;0,180,"")</f>
        <v/>
      </c>
      <c r="B190" s="18" t="str">
        <f>IF(F190&gt;0,EDATE($E$6,180),"")</f>
        <v/>
      </c>
      <c r="C190" s="21">
        <f>IF(H189&gt;0,MIN(IF(K189&gt;0,I$5,99),IF(O189&gt;0,M$5,99),IF(S189&gt;0,Q$5,99),IF(W189&gt;0,U$5,99),IF(AA189&gt;0,Y$5,99),IF(AE189&gt;0,AC$5,99),IF(AI189&gt;0,AG$5,99),IF(AM189&gt;0,AK$5,99),IF(AQ189&gt;0,AO$5,99),IF(AU189&gt;0,AS$5,99)),0)</f>
        <v>0</v>
      </c>
      <c r="D190" t="str">
        <f>IF(C190&gt;0,INDEX($I$4:$AV$4,1,MATCH(C190,$I$5:$AV$5,0)),"")</f>
        <v/>
      </c>
      <c r="E190" s="24">
        <f>ROUND(IF(AND(I$8&gt;0,K189=0),I$6,0)+IF(AND(M$8&gt;0,O189=0),M$6,0)+IF(AND(Q$8&gt;0,S189=0),Q$6,0)+IF(AND(U$8&gt;0,W189=0),U$6,0)+IF(AND(Y$8&gt;0,AA189=0),Y$6,0)+IF(AND(AC$8&gt;0,AE189=0),AC$6,0)+IF(AND(AG$8&gt;0,AI189=0),AG$6,0)+IF(AND(AK$8&gt;0,AM189=0),AK$6,0)+IF(AND(AO$8&gt;0,AQ189=0),AO$6,0)+IF(AND(AS$8&gt;0,AU189=0),AS$6,0),2)</f>
        <v>325</v>
      </c>
      <c r="F190" s="24">
        <f>ROUND(I190+M190+Q190+U190+Y190+AC190+AG190+AK190+AO190+AS190,2)</f>
        <v>0</v>
      </c>
      <c r="G190" s="24">
        <f>ROUND(J190+N190+R190+V190+Z190+AD190+AH190+AL190+AP190+AT190,2)</f>
        <v>0</v>
      </c>
      <c r="H190" s="24">
        <f>ROUND(K190+O190+S190+W190+AA190+AE190+AI190+AM190+AQ190+AU190,2)</f>
        <v>0</v>
      </c>
      <c r="I190" s="24">
        <f>IF(K189&gt;0,IF(AND(ROUND(K189+J190-ROUND(I$6+IF(I$5=$C190,$E$5+$E190,0),2),2)&gt;0,ROUND(K189+J190-ROUND(I$6+IF(I$5=$C190,$E$5+$E190,0),2),2)&lt;=L190,ROUND(K189+J190-ROUND(I$6+IF(I$5=$C190,$E$5+$E190,0),2),2)*10&lt;=ROUND(I$6+IF(I$5=$C190,$E$5+$E190,0),2)),ROUND(K189+J190,2),MIN(ROUND(I$6+IF(I$5=$C190,$E$5+$E190,0),2),ROUND(K189+J190,2))),0)</f>
        <v>0</v>
      </c>
      <c r="J190" s="24">
        <f>IF(K189&gt;0,ROUND(ROUND(K189*100,0)*ROUND(I$7*10000,0)/12000000,0)/100,0)</f>
        <v>0</v>
      </c>
      <c r="K190" s="24">
        <f>IF(K189&gt;0,ROUND(K189+J190-I190,2),0)</f>
        <v>0</v>
      </c>
      <c r="L190" s="24">
        <f>IF(K189&gt;0,ROUND(L189+ROUND(ROUND(L189*100,0)*ROUND(I$7*10000,0)/12000000,0)/100+0.02,2),0)</f>
        <v>0</v>
      </c>
      <c r="M190" s="24">
        <f>IF(O189&gt;0,IF(AND(ROUND(O189+N190-ROUND(M$6+IF(M$5=$C190,$E$5+$E190,0),2),2)&gt;0,ROUND(O189+N190-ROUND(M$6+IF(M$5=$C190,$E$5+$E190,0),2),2)&lt;=P190,ROUND(O189+N190-ROUND(M$6+IF(M$5=$C190,$E$5+$E190,0),2),2)*10&lt;=ROUND(M$6+IF(M$5=$C190,$E$5+$E190,0),2)),ROUND(O189+N190,2),MIN(ROUND(M$6+IF(M$5=$C190,$E$5+$E190,0),2),ROUND(O189+N190,2))),0)</f>
        <v>0</v>
      </c>
      <c r="N190" s="24">
        <f>IF(O189&gt;0,ROUND(ROUND(O189*100,0)*ROUND(M$7*10000,0)/12000000,0)/100,0)</f>
        <v>0</v>
      </c>
      <c r="O190" s="24">
        <f>IF(O189&gt;0,ROUND(O189+N190-M190,2),0)</f>
        <v>0</v>
      </c>
      <c r="P190" s="24">
        <f>IF(O189&gt;0,ROUND(P189+ROUND(ROUND(P189*100,0)*ROUND(M$7*10000,0)/12000000,0)/100+0.02,2),0)</f>
        <v>0</v>
      </c>
      <c r="Q190" s="24">
        <f>IF(S189&gt;0,IF(AND(ROUND(S189+R190-ROUND(Q$6+IF(Q$5=$C190,$E$5+$E190,0),2),2)&gt;0,ROUND(S189+R190-ROUND(Q$6+IF(Q$5=$C190,$E$5+$E190,0),2),2)&lt;=T190,ROUND(S189+R190-ROUND(Q$6+IF(Q$5=$C190,$E$5+$E190,0),2),2)*10&lt;=ROUND(Q$6+IF(Q$5=$C190,$E$5+$E190,0),2)),ROUND(S189+R190,2),MIN(ROUND(Q$6+IF(Q$5=$C190,$E$5+$E190,0),2),ROUND(S189+R190,2))),0)</f>
        <v>0</v>
      </c>
      <c r="R190" s="24">
        <f>IF(S189&gt;0,ROUND(ROUND(S189*100,0)*ROUND(Q$7*10000,0)/12000000,0)/100,0)</f>
        <v>0</v>
      </c>
      <c r="S190" s="24">
        <f>IF(S189&gt;0,ROUND(S189+R190-Q190,2),0)</f>
        <v>0</v>
      </c>
      <c r="T190" s="24">
        <f>IF(S189&gt;0,ROUND(T189+ROUND(ROUND(T189*100,0)*ROUND(Q$7*10000,0)/12000000,0)/100+0.02,2),0)</f>
        <v>0</v>
      </c>
      <c r="U190" s="24">
        <f>IF(W189&gt;0,IF(AND(ROUND(W189+V190-ROUND(U$6+IF(U$5=$C190,$E$5+$E190,0),2),2)&gt;0,ROUND(W189+V190-ROUND(U$6+IF(U$5=$C190,$E$5+$E190,0),2),2)&lt;=X190,ROUND(W189+V190-ROUND(U$6+IF(U$5=$C190,$E$5+$E190,0),2),2)*10&lt;=ROUND(U$6+IF(U$5=$C190,$E$5+$E190,0),2)),ROUND(W189+V190,2),MIN(ROUND(U$6+IF(U$5=$C190,$E$5+$E190,0),2),ROUND(W189+V190,2))),0)</f>
        <v>0</v>
      </c>
      <c r="V190" s="24">
        <f>IF(W189&gt;0,ROUND(ROUND(W189*100,0)*ROUND(U$7*10000,0)/12000000,0)/100,0)</f>
        <v>0</v>
      </c>
      <c r="W190" s="24">
        <f>IF(W189&gt;0,ROUND(W189+V190-U190,2),0)</f>
        <v>0</v>
      </c>
      <c r="X190" s="24">
        <f>IF(W189&gt;0,ROUND(X189+ROUND(ROUND(X189*100,0)*ROUND(U$7*10000,0)/12000000,0)/100+0.02,2),0)</f>
        <v>0</v>
      </c>
      <c r="Y190" s="24">
        <f>IF(AA189&gt;0,IF(AND(ROUND(AA189+Z190-ROUND(Y$6+IF(Y$5=$C190,$E$5+$E190,0),2),2)&gt;0,ROUND(AA189+Z190-ROUND(Y$6+IF(Y$5=$C190,$E$5+$E190,0),2),2)&lt;=AB190,ROUND(AA189+Z190-ROUND(Y$6+IF(Y$5=$C190,$E$5+$E190,0),2),2)*10&lt;=ROUND(Y$6+IF(Y$5=$C190,$E$5+$E190,0),2)),ROUND(AA189+Z190,2),MIN(ROUND(Y$6+IF(Y$5=$C190,$E$5+$E190,0),2),ROUND(AA189+Z190,2))),0)</f>
        <v>0</v>
      </c>
      <c r="Z190" s="24">
        <f>IF(AA189&gt;0,ROUND(ROUND(AA189*100,0)*ROUND(Y$7*10000,0)/12000000,0)/100,0)</f>
        <v>0</v>
      </c>
      <c r="AA190" s="24">
        <f>IF(AA189&gt;0,ROUND(AA189+Z190-Y190,2),0)</f>
        <v>0</v>
      </c>
      <c r="AB190" s="24">
        <f>IF(AA189&gt;0,ROUND(AB189+ROUND(ROUND(AB189*100,0)*ROUND(Y$7*10000,0)/12000000,0)/100+0.02,2),0)</f>
        <v>0</v>
      </c>
      <c r="AC190" s="24">
        <f>IF(AE189&gt;0,IF(AND(ROUND(AE189+AD190-ROUND(AC$6+IF(AC$5=$C190,$E$5+$E190,0),2),2)&gt;0,ROUND(AE189+AD190-ROUND(AC$6+IF(AC$5=$C190,$E$5+$E190,0),2),2)&lt;=AF190,ROUND(AE189+AD190-ROUND(AC$6+IF(AC$5=$C190,$E$5+$E190,0),2),2)*10&lt;=ROUND(AC$6+IF(AC$5=$C190,$E$5+$E190,0),2)),ROUND(AE189+AD190,2),MIN(ROUND(AC$6+IF(AC$5=$C190,$E$5+$E190,0),2),ROUND(AE189+AD190,2))),0)</f>
        <v>0</v>
      </c>
      <c r="AD190" s="24">
        <f>IF(AE189&gt;0,ROUND(ROUND(AE189*100,0)*ROUND(AC$7*10000,0)/12000000,0)/100,0)</f>
        <v>0</v>
      </c>
      <c r="AE190" s="24">
        <f>IF(AE189&gt;0,ROUND(AE189+AD190-AC190,2),0)</f>
        <v>0</v>
      </c>
      <c r="AF190" s="24">
        <f>IF(AE189&gt;0,ROUND(AF189+ROUND(ROUND(AF189*100,0)*ROUND(AC$7*10000,0)/12000000,0)/100+0.02,2),0)</f>
        <v>0</v>
      </c>
      <c r="AG190" s="24">
        <f>IF(AI189&gt;0,IF(AND(ROUND(AI189+AH190-ROUND(AG$6+IF(AG$5=$C190,$E$5+$E190,0),2),2)&gt;0,ROUND(AI189+AH190-ROUND(AG$6+IF(AG$5=$C190,$E$5+$E190,0),2),2)&lt;=AJ190,ROUND(AI189+AH190-ROUND(AG$6+IF(AG$5=$C190,$E$5+$E190,0),2),2)*10&lt;=ROUND(AG$6+IF(AG$5=$C190,$E$5+$E190,0),2)),ROUND(AI189+AH190,2),MIN(ROUND(AG$6+IF(AG$5=$C190,$E$5+$E190,0),2),ROUND(AI189+AH190,2))),0)</f>
        <v>0</v>
      </c>
      <c r="AH190" s="24">
        <f>IF(AI189&gt;0,ROUND(ROUND(AI189*100,0)*ROUND(AG$7*10000,0)/12000000,0)/100,0)</f>
        <v>0</v>
      </c>
      <c r="AI190" s="24">
        <f>IF(AI189&gt;0,ROUND(AI189+AH190-AG190,2),0)</f>
        <v>0</v>
      </c>
      <c r="AJ190" s="24">
        <f>IF(AI189&gt;0,ROUND(AJ189+ROUND(ROUND(AJ189*100,0)*ROUND(AG$7*10000,0)/12000000,0)/100+0.02,2),0)</f>
        <v>0</v>
      </c>
      <c r="AK190" s="24">
        <f>IF(AM189&gt;0,IF(AND(ROUND(AM189+AL190-ROUND(AK$6+IF(AK$5=$C190,$E$5+$E190,0),2),2)&gt;0,ROUND(AM189+AL190-ROUND(AK$6+IF(AK$5=$C190,$E$5+$E190,0),2),2)&lt;=AN190,ROUND(AM189+AL190-ROUND(AK$6+IF(AK$5=$C190,$E$5+$E190,0),2),2)*10&lt;=ROUND(AK$6+IF(AK$5=$C190,$E$5+$E190,0),2)),ROUND(AM189+AL190,2),MIN(ROUND(AK$6+IF(AK$5=$C190,$E$5+$E190,0),2),ROUND(AM189+AL190,2))),0)</f>
        <v>0</v>
      </c>
      <c r="AL190" s="24">
        <f>IF(AM189&gt;0,ROUND(ROUND(AM189*100,0)*ROUND(AK$7*10000,0)/12000000,0)/100,0)</f>
        <v>0</v>
      </c>
      <c r="AM190" s="24">
        <f>IF(AM189&gt;0,ROUND(AM189+AL190-AK190,2),0)</f>
        <v>0</v>
      </c>
      <c r="AN190" s="24">
        <f>IF(AM189&gt;0,ROUND(AN189+ROUND(ROUND(AN189*100,0)*ROUND(AK$7*10000,0)/12000000,0)/100+0.02,2),0)</f>
        <v>0</v>
      </c>
      <c r="AO190" s="24">
        <f>IF(AQ189&gt;0,IF(AND(ROUND(AQ189+AP190-ROUND(AO$6+IF(AO$5=$C190,$E$5+$E190,0),2),2)&gt;0,ROUND(AQ189+AP190-ROUND(AO$6+IF(AO$5=$C190,$E$5+$E190,0),2),2)&lt;=AR190,ROUND(AQ189+AP190-ROUND(AO$6+IF(AO$5=$C190,$E$5+$E190,0),2),2)*10&lt;=ROUND(AO$6+IF(AO$5=$C190,$E$5+$E190,0),2)),ROUND(AQ189+AP190,2),MIN(ROUND(AO$6+IF(AO$5=$C190,$E$5+$E190,0),2),ROUND(AQ189+AP190,2))),0)</f>
        <v>0</v>
      </c>
      <c r="AP190" s="24">
        <f>IF(AQ189&gt;0,ROUND(ROUND(AQ189*100,0)*ROUND(AO$7*10000,0)/12000000,0)/100,0)</f>
        <v>0</v>
      </c>
      <c r="AQ190" s="24">
        <f>IF(AQ189&gt;0,ROUND(AQ189+AP190-AO190,2),0)</f>
        <v>0</v>
      </c>
      <c r="AR190" s="24">
        <f>IF(AQ189&gt;0,ROUND(AR189+ROUND(ROUND(AR189*100,0)*ROUND(AO$7*10000,0)/12000000,0)/100+0.02,2),0)</f>
        <v>0</v>
      </c>
      <c r="AS190" s="24">
        <f>IF(AU189&gt;0,IF(AND(ROUND(AU189+AT190-ROUND(AS$6+IF(AS$5=$C190,$E$5+$E190,0),2),2)&gt;0,ROUND(AU189+AT190-ROUND(AS$6+IF(AS$5=$C190,$E$5+$E190,0),2),2)&lt;=AV190,ROUND(AU189+AT190-ROUND(AS$6+IF(AS$5=$C190,$E$5+$E190,0),2),2)*10&lt;=ROUND(AS$6+IF(AS$5=$C190,$E$5+$E190,0),2)),ROUND(AU189+AT190,2),MIN(ROUND(AS$6+IF(AS$5=$C190,$E$5+$E190,0),2),ROUND(AU189+AT190,2))),0)</f>
        <v>0</v>
      </c>
      <c r="AT190" s="24">
        <f>IF(AU189&gt;0,ROUND(ROUND(AU189*100,0)*ROUND(AS$7*10000,0)/12000000,0)/100,0)</f>
        <v>0</v>
      </c>
      <c r="AU190" s="24">
        <f>IF(AU189&gt;0,ROUND(AU189+AT190-AS190,2),0)</f>
        <v>0</v>
      </c>
      <c r="AV190" s="24">
        <f>IF(AU189&gt;0,ROUND(AV189+ROUND(ROUND(AV189*100,0)*ROUND(AS$7*10000,0)/12000000,0)/100+0.02,2),0)</f>
        <v>0</v>
      </c>
    </row>
    <row r="191" spans="1:48" x14ac:dyDescent="0.25">
      <c r="A191" s="17" t="str">
        <f>IF(F191&gt;0,181,"")</f>
        <v/>
      </c>
      <c r="B191" s="18" t="str">
        <f>IF(F191&gt;0,EDATE($E$6,181),"")</f>
        <v/>
      </c>
      <c r="C191" s="21">
        <f>IF(H190&gt;0,MIN(IF(K190&gt;0,I$5,99),IF(O190&gt;0,M$5,99),IF(S190&gt;0,Q$5,99),IF(W190&gt;0,U$5,99),IF(AA190&gt;0,Y$5,99),IF(AE190&gt;0,AC$5,99),IF(AI190&gt;0,AG$5,99),IF(AM190&gt;0,AK$5,99),IF(AQ190&gt;0,AO$5,99),IF(AU190&gt;0,AS$5,99)),0)</f>
        <v>0</v>
      </c>
      <c r="D191" t="str">
        <f>IF(C191&gt;0,INDEX($I$4:$AV$4,1,MATCH(C191,$I$5:$AV$5,0)),"")</f>
        <v/>
      </c>
      <c r="E191" s="24">
        <f>ROUND(IF(AND(I$8&gt;0,K190=0),I$6,0)+IF(AND(M$8&gt;0,O190=0),M$6,0)+IF(AND(Q$8&gt;0,S190=0),Q$6,0)+IF(AND(U$8&gt;0,W190=0),U$6,0)+IF(AND(Y$8&gt;0,AA190=0),Y$6,0)+IF(AND(AC$8&gt;0,AE190=0),AC$6,0)+IF(AND(AG$8&gt;0,AI190=0),AG$6,0)+IF(AND(AK$8&gt;0,AM190=0),AK$6,0)+IF(AND(AO$8&gt;0,AQ190=0),AO$6,0)+IF(AND(AS$8&gt;0,AU190=0),AS$6,0),2)</f>
        <v>325</v>
      </c>
      <c r="F191" s="24">
        <f>ROUND(I191+M191+Q191+U191+Y191+AC191+AG191+AK191+AO191+AS191,2)</f>
        <v>0</v>
      </c>
      <c r="G191" s="24">
        <f>ROUND(J191+N191+R191+V191+Z191+AD191+AH191+AL191+AP191+AT191,2)</f>
        <v>0</v>
      </c>
      <c r="H191" s="24">
        <f>ROUND(K191+O191+S191+W191+AA191+AE191+AI191+AM191+AQ191+AU191,2)</f>
        <v>0</v>
      </c>
      <c r="I191" s="24">
        <f>IF(K190&gt;0,IF(AND(ROUND(K190+J191-ROUND(I$6+IF(I$5=$C191,$E$5+$E191,0),2),2)&gt;0,ROUND(K190+J191-ROUND(I$6+IF(I$5=$C191,$E$5+$E191,0),2),2)&lt;=L191,ROUND(K190+J191-ROUND(I$6+IF(I$5=$C191,$E$5+$E191,0),2),2)*10&lt;=ROUND(I$6+IF(I$5=$C191,$E$5+$E191,0),2)),ROUND(K190+J191,2),MIN(ROUND(I$6+IF(I$5=$C191,$E$5+$E191,0),2),ROUND(K190+J191,2))),0)</f>
        <v>0</v>
      </c>
      <c r="J191" s="24">
        <f>IF(K190&gt;0,ROUND(ROUND(K190*100,0)*ROUND(I$7*10000,0)/12000000,0)/100,0)</f>
        <v>0</v>
      </c>
      <c r="K191" s="24">
        <f>IF(K190&gt;0,ROUND(K190+J191-I191,2),0)</f>
        <v>0</v>
      </c>
      <c r="L191" s="24">
        <f>IF(K190&gt;0,ROUND(L190+ROUND(ROUND(L190*100,0)*ROUND(I$7*10000,0)/12000000,0)/100+0.02,2),0)</f>
        <v>0</v>
      </c>
      <c r="M191" s="24">
        <f>IF(O190&gt;0,IF(AND(ROUND(O190+N191-ROUND(M$6+IF(M$5=$C191,$E$5+$E191,0),2),2)&gt;0,ROUND(O190+N191-ROUND(M$6+IF(M$5=$C191,$E$5+$E191,0),2),2)&lt;=P191,ROUND(O190+N191-ROUND(M$6+IF(M$5=$C191,$E$5+$E191,0),2),2)*10&lt;=ROUND(M$6+IF(M$5=$C191,$E$5+$E191,0),2)),ROUND(O190+N191,2),MIN(ROUND(M$6+IF(M$5=$C191,$E$5+$E191,0),2),ROUND(O190+N191,2))),0)</f>
        <v>0</v>
      </c>
      <c r="N191" s="24">
        <f>IF(O190&gt;0,ROUND(ROUND(O190*100,0)*ROUND(M$7*10000,0)/12000000,0)/100,0)</f>
        <v>0</v>
      </c>
      <c r="O191" s="24">
        <f>IF(O190&gt;0,ROUND(O190+N191-M191,2),0)</f>
        <v>0</v>
      </c>
      <c r="P191" s="24">
        <f>IF(O190&gt;0,ROUND(P190+ROUND(ROUND(P190*100,0)*ROUND(M$7*10000,0)/12000000,0)/100+0.02,2),0)</f>
        <v>0</v>
      </c>
      <c r="Q191" s="24">
        <f>IF(S190&gt;0,IF(AND(ROUND(S190+R191-ROUND(Q$6+IF(Q$5=$C191,$E$5+$E191,0),2),2)&gt;0,ROUND(S190+R191-ROUND(Q$6+IF(Q$5=$C191,$E$5+$E191,0),2),2)&lt;=T191,ROUND(S190+R191-ROUND(Q$6+IF(Q$5=$C191,$E$5+$E191,0),2),2)*10&lt;=ROUND(Q$6+IF(Q$5=$C191,$E$5+$E191,0),2)),ROUND(S190+R191,2),MIN(ROUND(Q$6+IF(Q$5=$C191,$E$5+$E191,0),2),ROUND(S190+R191,2))),0)</f>
        <v>0</v>
      </c>
      <c r="R191" s="24">
        <f>IF(S190&gt;0,ROUND(ROUND(S190*100,0)*ROUND(Q$7*10000,0)/12000000,0)/100,0)</f>
        <v>0</v>
      </c>
      <c r="S191" s="24">
        <f>IF(S190&gt;0,ROUND(S190+R191-Q191,2),0)</f>
        <v>0</v>
      </c>
      <c r="T191" s="24">
        <f>IF(S190&gt;0,ROUND(T190+ROUND(ROUND(T190*100,0)*ROUND(Q$7*10000,0)/12000000,0)/100+0.02,2),0)</f>
        <v>0</v>
      </c>
      <c r="U191" s="24">
        <f>IF(W190&gt;0,IF(AND(ROUND(W190+V191-ROUND(U$6+IF(U$5=$C191,$E$5+$E191,0),2),2)&gt;0,ROUND(W190+V191-ROUND(U$6+IF(U$5=$C191,$E$5+$E191,0),2),2)&lt;=X191,ROUND(W190+V191-ROUND(U$6+IF(U$5=$C191,$E$5+$E191,0),2),2)*10&lt;=ROUND(U$6+IF(U$5=$C191,$E$5+$E191,0),2)),ROUND(W190+V191,2),MIN(ROUND(U$6+IF(U$5=$C191,$E$5+$E191,0),2),ROUND(W190+V191,2))),0)</f>
        <v>0</v>
      </c>
      <c r="V191" s="24">
        <f>IF(W190&gt;0,ROUND(ROUND(W190*100,0)*ROUND(U$7*10000,0)/12000000,0)/100,0)</f>
        <v>0</v>
      </c>
      <c r="W191" s="24">
        <f>IF(W190&gt;0,ROUND(W190+V191-U191,2),0)</f>
        <v>0</v>
      </c>
      <c r="X191" s="24">
        <f>IF(W190&gt;0,ROUND(X190+ROUND(ROUND(X190*100,0)*ROUND(U$7*10000,0)/12000000,0)/100+0.02,2),0)</f>
        <v>0</v>
      </c>
      <c r="Y191" s="24">
        <f>IF(AA190&gt;0,IF(AND(ROUND(AA190+Z191-ROUND(Y$6+IF(Y$5=$C191,$E$5+$E191,0),2),2)&gt;0,ROUND(AA190+Z191-ROUND(Y$6+IF(Y$5=$C191,$E$5+$E191,0),2),2)&lt;=AB191,ROUND(AA190+Z191-ROUND(Y$6+IF(Y$5=$C191,$E$5+$E191,0),2),2)*10&lt;=ROUND(Y$6+IF(Y$5=$C191,$E$5+$E191,0),2)),ROUND(AA190+Z191,2),MIN(ROUND(Y$6+IF(Y$5=$C191,$E$5+$E191,0),2),ROUND(AA190+Z191,2))),0)</f>
        <v>0</v>
      </c>
      <c r="Z191" s="24">
        <f>IF(AA190&gt;0,ROUND(ROUND(AA190*100,0)*ROUND(Y$7*10000,0)/12000000,0)/100,0)</f>
        <v>0</v>
      </c>
      <c r="AA191" s="24">
        <f>IF(AA190&gt;0,ROUND(AA190+Z191-Y191,2),0)</f>
        <v>0</v>
      </c>
      <c r="AB191" s="24">
        <f>IF(AA190&gt;0,ROUND(AB190+ROUND(ROUND(AB190*100,0)*ROUND(Y$7*10000,0)/12000000,0)/100+0.02,2),0)</f>
        <v>0</v>
      </c>
      <c r="AC191" s="24">
        <f>IF(AE190&gt;0,IF(AND(ROUND(AE190+AD191-ROUND(AC$6+IF(AC$5=$C191,$E$5+$E191,0),2),2)&gt;0,ROUND(AE190+AD191-ROUND(AC$6+IF(AC$5=$C191,$E$5+$E191,0),2),2)&lt;=AF191,ROUND(AE190+AD191-ROUND(AC$6+IF(AC$5=$C191,$E$5+$E191,0),2),2)*10&lt;=ROUND(AC$6+IF(AC$5=$C191,$E$5+$E191,0),2)),ROUND(AE190+AD191,2),MIN(ROUND(AC$6+IF(AC$5=$C191,$E$5+$E191,0),2),ROUND(AE190+AD191,2))),0)</f>
        <v>0</v>
      </c>
      <c r="AD191" s="24">
        <f>IF(AE190&gt;0,ROUND(ROUND(AE190*100,0)*ROUND(AC$7*10000,0)/12000000,0)/100,0)</f>
        <v>0</v>
      </c>
      <c r="AE191" s="24">
        <f>IF(AE190&gt;0,ROUND(AE190+AD191-AC191,2),0)</f>
        <v>0</v>
      </c>
      <c r="AF191" s="24">
        <f>IF(AE190&gt;0,ROUND(AF190+ROUND(ROUND(AF190*100,0)*ROUND(AC$7*10000,0)/12000000,0)/100+0.02,2),0)</f>
        <v>0</v>
      </c>
      <c r="AG191" s="24">
        <f>IF(AI190&gt;0,IF(AND(ROUND(AI190+AH191-ROUND(AG$6+IF(AG$5=$C191,$E$5+$E191,0),2),2)&gt;0,ROUND(AI190+AH191-ROUND(AG$6+IF(AG$5=$C191,$E$5+$E191,0),2),2)&lt;=AJ191,ROUND(AI190+AH191-ROUND(AG$6+IF(AG$5=$C191,$E$5+$E191,0),2),2)*10&lt;=ROUND(AG$6+IF(AG$5=$C191,$E$5+$E191,0),2)),ROUND(AI190+AH191,2),MIN(ROUND(AG$6+IF(AG$5=$C191,$E$5+$E191,0),2),ROUND(AI190+AH191,2))),0)</f>
        <v>0</v>
      </c>
      <c r="AH191" s="24">
        <f>IF(AI190&gt;0,ROUND(ROUND(AI190*100,0)*ROUND(AG$7*10000,0)/12000000,0)/100,0)</f>
        <v>0</v>
      </c>
      <c r="AI191" s="24">
        <f>IF(AI190&gt;0,ROUND(AI190+AH191-AG191,2),0)</f>
        <v>0</v>
      </c>
      <c r="AJ191" s="24">
        <f>IF(AI190&gt;0,ROUND(AJ190+ROUND(ROUND(AJ190*100,0)*ROUND(AG$7*10000,0)/12000000,0)/100+0.02,2),0)</f>
        <v>0</v>
      </c>
      <c r="AK191" s="24">
        <f>IF(AM190&gt;0,IF(AND(ROUND(AM190+AL191-ROUND(AK$6+IF(AK$5=$C191,$E$5+$E191,0),2),2)&gt;0,ROUND(AM190+AL191-ROUND(AK$6+IF(AK$5=$C191,$E$5+$E191,0),2),2)&lt;=AN191,ROUND(AM190+AL191-ROUND(AK$6+IF(AK$5=$C191,$E$5+$E191,0),2),2)*10&lt;=ROUND(AK$6+IF(AK$5=$C191,$E$5+$E191,0),2)),ROUND(AM190+AL191,2),MIN(ROUND(AK$6+IF(AK$5=$C191,$E$5+$E191,0),2),ROUND(AM190+AL191,2))),0)</f>
        <v>0</v>
      </c>
      <c r="AL191" s="24">
        <f>IF(AM190&gt;0,ROUND(ROUND(AM190*100,0)*ROUND(AK$7*10000,0)/12000000,0)/100,0)</f>
        <v>0</v>
      </c>
      <c r="AM191" s="24">
        <f>IF(AM190&gt;0,ROUND(AM190+AL191-AK191,2),0)</f>
        <v>0</v>
      </c>
      <c r="AN191" s="24">
        <f>IF(AM190&gt;0,ROUND(AN190+ROUND(ROUND(AN190*100,0)*ROUND(AK$7*10000,0)/12000000,0)/100+0.02,2),0)</f>
        <v>0</v>
      </c>
      <c r="AO191" s="24">
        <f>IF(AQ190&gt;0,IF(AND(ROUND(AQ190+AP191-ROUND(AO$6+IF(AO$5=$C191,$E$5+$E191,0),2),2)&gt;0,ROUND(AQ190+AP191-ROUND(AO$6+IF(AO$5=$C191,$E$5+$E191,0),2),2)&lt;=AR191,ROUND(AQ190+AP191-ROUND(AO$6+IF(AO$5=$C191,$E$5+$E191,0),2),2)*10&lt;=ROUND(AO$6+IF(AO$5=$C191,$E$5+$E191,0),2)),ROUND(AQ190+AP191,2),MIN(ROUND(AO$6+IF(AO$5=$C191,$E$5+$E191,0),2),ROUND(AQ190+AP191,2))),0)</f>
        <v>0</v>
      </c>
      <c r="AP191" s="24">
        <f>IF(AQ190&gt;0,ROUND(ROUND(AQ190*100,0)*ROUND(AO$7*10000,0)/12000000,0)/100,0)</f>
        <v>0</v>
      </c>
      <c r="AQ191" s="24">
        <f>IF(AQ190&gt;0,ROUND(AQ190+AP191-AO191,2),0)</f>
        <v>0</v>
      </c>
      <c r="AR191" s="24">
        <f>IF(AQ190&gt;0,ROUND(AR190+ROUND(ROUND(AR190*100,0)*ROUND(AO$7*10000,0)/12000000,0)/100+0.02,2),0)</f>
        <v>0</v>
      </c>
      <c r="AS191" s="24">
        <f>IF(AU190&gt;0,IF(AND(ROUND(AU190+AT191-ROUND(AS$6+IF(AS$5=$C191,$E$5+$E191,0),2),2)&gt;0,ROUND(AU190+AT191-ROUND(AS$6+IF(AS$5=$C191,$E$5+$E191,0),2),2)&lt;=AV191,ROUND(AU190+AT191-ROUND(AS$6+IF(AS$5=$C191,$E$5+$E191,0),2),2)*10&lt;=ROUND(AS$6+IF(AS$5=$C191,$E$5+$E191,0),2)),ROUND(AU190+AT191,2),MIN(ROUND(AS$6+IF(AS$5=$C191,$E$5+$E191,0),2),ROUND(AU190+AT191,2))),0)</f>
        <v>0</v>
      </c>
      <c r="AT191" s="24">
        <f>IF(AU190&gt;0,ROUND(ROUND(AU190*100,0)*ROUND(AS$7*10000,0)/12000000,0)/100,0)</f>
        <v>0</v>
      </c>
      <c r="AU191" s="24">
        <f>IF(AU190&gt;0,ROUND(AU190+AT191-AS191,2),0)</f>
        <v>0</v>
      </c>
      <c r="AV191" s="24">
        <f>IF(AU190&gt;0,ROUND(AV190+ROUND(ROUND(AV190*100,0)*ROUND(AS$7*10000,0)/12000000,0)/100+0.02,2),0)</f>
        <v>0</v>
      </c>
    </row>
    <row r="192" spans="1:48" x14ac:dyDescent="0.25">
      <c r="A192" s="17" t="str">
        <f>IF(F192&gt;0,182,"")</f>
        <v/>
      </c>
      <c r="B192" s="18" t="str">
        <f>IF(F192&gt;0,EDATE($E$6,182),"")</f>
        <v/>
      </c>
      <c r="C192" s="21">
        <f>IF(H191&gt;0,MIN(IF(K191&gt;0,I$5,99),IF(O191&gt;0,M$5,99),IF(S191&gt;0,Q$5,99),IF(W191&gt;0,U$5,99),IF(AA191&gt;0,Y$5,99),IF(AE191&gt;0,AC$5,99),IF(AI191&gt;0,AG$5,99),IF(AM191&gt;0,AK$5,99),IF(AQ191&gt;0,AO$5,99),IF(AU191&gt;0,AS$5,99)),0)</f>
        <v>0</v>
      </c>
      <c r="D192" t="str">
        <f>IF(C192&gt;0,INDEX($I$4:$AV$4,1,MATCH(C192,$I$5:$AV$5,0)),"")</f>
        <v/>
      </c>
      <c r="E192" s="24">
        <f>ROUND(IF(AND(I$8&gt;0,K191=0),I$6,0)+IF(AND(M$8&gt;0,O191=0),M$6,0)+IF(AND(Q$8&gt;0,S191=0),Q$6,0)+IF(AND(U$8&gt;0,W191=0),U$6,0)+IF(AND(Y$8&gt;0,AA191=0),Y$6,0)+IF(AND(AC$8&gt;0,AE191=0),AC$6,0)+IF(AND(AG$8&gt;0,AI191=0),AG$6,0)+IF(AND(AK$8&gt;0,AM191=0),AK$6,0)+IF(AND(AO$8&gt;0,AQ191=0),AO$6,0)+IF(AND(AS$8&gt;0,AU191=0),AS$6,0),2)</f>
        <v>325</v>
      </c>
      <c r="F192" s="24">
        <f>ROUND(I192+M192+Q192+U192+Y192+AC192+AG192+AK192+AO192+AS192,2)</f>
        <v>0</v>
      </c>
      <c r="G192" s="24">
        <f>ROUND(J192+N192+R192+V192+Z192+AD192+AH192+AL192+AP192+AT192,2)</f>
        <v>0</v>
      </c>
      <c r="H192" s="24">
        <f>ROUND(K192+O192+S192+W192+AA192+AE192+AI192+AM192+AQ192+AU192,2)</f>
        <v>0</v>
      </c>
      <c r="I192" s="24">
        <f>IF(K191&gt;0,IF(AND(ROUND(K191+J192-ROUND(I$6+IF(I$5=$C192,$E$5+$E192,0),2),2)&gt;0,ROUND(K191+J192-ROUND(I$6+IF(I$5=$C192,$E$5+$E192,0),2),2)&lt;=L192,ROUND(K191+J192-ROUND(I$6+IF(I$5=$C192,$E$5+$E192,0),2),2)*10&lt;=ROUND(I$6+IF(I$5=$C192,$E$5+$E192,0),2)),ROUND(K191+J192,2),MIN(ROUND(I$6+IF(I$5=$C192,$E$5+$E192,0),2),ROUND(K191+J192,2))),0)</f>
        <v>0</v>
      </c>
      <c r="J192" s="24">
        <f>IF(K191&gt;0,ROUND(ROUND(K191*100,0)*ROUND(I$7*10000,0)/12000000,0)/100,0)</f>
        <v>0</v>
      </c>
      <c r="K192" s="24">
        <f>IF(K191&gt;0,ROUND(K191+J192-I192,2),0)</f>
        <v>0</v>
      </c>
      <c r="L192" s="24">
        <f>IF(K191&gt;0,ROUND(L191+ROUND(ROUND(L191*100,0)*ROUND(I$7*10000,0)/12000000,0)/100+0.02,2),0)</f>
        <v>0</v>
      </c>
      <c r="M192" s="24">
        <f>IF(O191&gt;0,IF(AND(ROUND(O191+N192-ROUND(M$6+IF(M$5=$C192,$E$5+$E192,0),2),2)&gt;0,ROUND(O191+N192-ROUND(M$6+IF(M$5=$C192,$E$5+$E192,0),2),2)&lt;=P192,ROUND(O191+N192-ROUND(M$6+IF(M$5=$C192,$E$5+$E192,0),2),2)*10&lt;=ROUND(M$6+IF(M$5=$C192,$E$5+$E192,0),2)),ROUND(O191+N192,2),MIN(ROUND(M$6+IF(M$5=$C192,$E$5+$E192,0),2),ROUND(O191+N192,2))),0)</f>
        <v>0</v>
      </c>
      <c r="N192" s="24">
        <f>IF(O191&gt;0,ROUND(ROUND(O191*100,0)*ROUND(M$7*10000,0)/12000000,0)/100,0)</f>
        <v>0</v>
      </c>
      <c r="O192" s="24">
        <f>IF(O191&gt;0,ROUND(O191+N192-M192,2),0)</f>
        <v>0</v>
      </c>
      <c r="P192" s="24">
        <f>IF(O191&gt;0,ROUND(P191+ROUND(ROUND(P191*100,0)*ROUND(M$7*10000,0)/12000000,0)/100+0.02,2),0)</f>
        <v>0</v>
      </c>
      <c r="Q192" s="24">
        <f>IF(S191&gt;0,IF(AND(ROUND(S191+R192-ROUND(Q$6+IF(Q$5=$C192,$E$5+$E192,0),2),2)&gt;0,ROUND(S191+R192-ROUND(Q$6+IF(Q$5=$C192,$E$5+$E192,0),2),2)&lt;=T192,ROUND(S191+R192-ROUND(Q$6+IF(Q$5=$C192,$E$5+$E192,0),2),2)*10&lt;=ROUND(Q$6+IF(Q$5=$C192,$E$5+$E192,0),2)),ROUND(S191+R192,2),MIN(ROUND(Q$6+IF(Q$5=$C192,$E$5+$E192,0),2),ROUND(S191+R192,2))),0)</f>
        <v>0</v>
      </c>
      <c r="R192" s="24">
        <f>IF(S191&gt;0,ROUND(ROUND(S191*100,0)*ROUND(Q$7*10000,0)/12000000,0)/100,0)</f>
        <v>0</v>
      </c>
      <c r="S192" s="24">
        <f>IF(S191&gt;0,ROUND(S191+R192-Q192,2),0)</f>
        <v>0</v>
      </c>
      <c r="T192" s="24">
        <f>IF(S191&gt;0,ROUND(T191+ROUND(ROUND(T191*100,0)*ROUND(Q$7*10000,0)/12000000,0)/100+0.02,2),0)</f>
        <v>0</v>
      </c>
      <c r="U192" s="24">
        <f>IF(W191&gt;0,IF(AND(ROUND(W191+V192-ROUND(U$6+IF(U$5=$C192,$E$5+$E192,0),2),2)&gt;0,ROUND(W191+V192-ROUND(U$6+IF(U$5=$C192,$E$5+$E192,0),2),2)&lt;=X192,ROUND(W191+V192-ROUND(U$6+IF(U$5=$C192,$E$5+$E192,0),2),2)*10&lt;=ROUND(U$6+IF(U$5=$C192,$E$5+$E192,0),2)),ROUND(W191+V192,2),MIN(ROUND(U$6+IF(U$5=$C192,$E$5+$E192,0),2),ROUND(W191+V192,2))),0)</f>
        <v>0</v>
      </c>
      <c r="V192" s="24">
        <f>IF(W191&gt;0,ROUND(ROUND(W191*100,0)*ROUND(U$7*10000,0)/12000000,0)/100,0)</f>
        <v>0</v>
      </c>
      <c r="W192" s="24">
        <f>IF(W191&gt;0,ROUND(W191+V192-U192,2),0)</f>
        <v>0</v>
      </c>
      <c r="X192" s="24">
        <f>IF(W191&gt;0,ROUND(X191+ROUND(ROUND(X191*100,0)*ROUND(U$7*10000,0)/12000000,0)/100+0.02,2),0)</f>
        <v>0</v>
      </c>
      <c r="Y192" s="24">
        <f>IF(AA191&gt;0,IF(AND(ROUND(AA191+Z192-ROUND(Y$6+IF(Y$5=$C192,$E$5+$E192,0),2),2)&gt;0,ROUND(AA191+Z192-ROUND(Y$6+IF(Y$5=$C192,$E$5+$E192,0),2),2)&lt;=AB192,ROUND(AA191+Z192-ROUND(Y$6+IF(Y$5=$C192,$E$5+$E192,0),2),2)*10&lt;=ROUND(Y$6+IF(Y$5=$C192,$E$5+$E192,0),2)),ROUND(AA191+Z192,2),MIN(ROUND(Y$6+IF(Y$5=$C192,$E$5+$E192,0),2),ROUND(AA191+Z192,2))),0)</f>
        <v>0</v>
      </c>
      <c r="Z192" s="24">
        <f>IF(AA191&gt;0,ROUND(ROUND(AA191*100,0)*ROUND(Y$7*10000,0)/12000000,0)/100,0)</f>
        <v>0</v>
      </c>
      <c r="AA192" s="24">
        <f>IF(AA191&gt;0,ROUND(AA191+Z192-Y192,2),0)</f>
        <v>0</v>
      </c>
      <c r="AB192" s="24">
        <f>IF(AA191&gt;0,ROUND(AB191+ROUND(ROUND(AB191*100,0)*ROUND(Y$7*10000,0)/12000000,0)/100+0.02,2),0)</f>
        <v>0</v>
      </c>
      <c r="AC192" s="24">
        <f>IF(AE191&gt;0,IF(AND(ROUND(AE191+AD192-ROUND(AC$6+IF(AC$5=$C192,$E$5+$E192,0),2),2)&gt;0,ROUND(AE191+AD192-ROUND(AC$6+IF(AC$5=$C192,$E$5+$E192,0),2),2)&lt;=AF192,ROUND(AE191+AD192-ROUND(AC$6+IF(AC$5=$C192,$E$5+$E192,0),2),2)*10&lt;=ROUND(AC$6+IF(AC$5=$C192,$E$5+$E192,0),2)),ROUND(AE191+AD192,2),MIN(ROUND(AC$6+IF(AC$5=$C192,$E$5+$E192,0),2),ROUND(AE191+AD192,2))),0)</f>
        <v>0</v>
      </c>
      <c r="AD192" s="24">
        <f>IF(AE191&gt;0,ROUND(ROUND(AE191*100,0)*ROUND(AC$7*10000,0)/12000000,0)/100,0)</f>
        <v>0</v>
      </c>
      <c r="AE192" s="24">
        <f>IF(AE191&gt;0,ROUND(AE191+AD192-AC192,2),0)</f>
        <v>0</v>
      </c>
      <c r="AF192" s="24">
        <f>IF(AE191&gt;0,ROUND(AF191+ROUND(ROUND(AF191*100,0)*ROUND(AC$7*10000,0)/12000000,0)/100+0.02,2),0)</f>
        <v>0</v>
      </c>
      <c r="AG192" s="24">
        <f>IF(AI191&gt;0,IF(AND(ROUND(AI191+AH192-ROUND(AG$6+IF(AG$5=$C192,$E$5+$E192,0),2),2)&gt;0,ROUND(AI191+AH192-ROUND(AG$6+IF(AG$5=$C192,$E$5+$E192,0),2),2)&lt;=AJ192,ROUND(AI191+AH192-ROUND(AG$6+IF(AG$5=$C192,$E$5+$E192,0),2),2)*10&lt;=ROUND(AG$6+IF(AG$5=$C192,$E$5+$E192,0),2)),ROUND(AI191+AH192,2),MIN(ROUND(AG$6+IF(AG$5=$C192,$E$5+$E192,0),2),ROUND(AI191+AH192,2))),0)</f>
        <v>0</v>
      </c>
      <c r="AH192" s="24">
        <f>IF(AI191&gt;0,ROUND(ROUND(AI191*100,0)*ROUND(AG$7*10000,0)/12000000,0)/100,0)</f>
        <v>0</v>
      </c>
      <c r="AI192" s="24">
        <f>IF(AI191&gt;0,ROUND(AI191+AH192-AG192,2),0)</f>
        <v>0</v>
      </c>
      <c r="AJ192" s="24">
        <f>IF(AI191&gt;0,ROUND(AJ191+ROUND(ROUND(AJ191*100,0)*ROUND(AG$7*10000,0)/12000000,0)/100+0.02,2),0)</f>
        <v>0</v>
      </c>
      <c r="AK192" s="24">
        <f>IF(AM191&gt;0,IF(AND(ROUND(AM191+AL192-ROUND(AK$6+IF(AK$5=$C192,$E$5+$E192,0),2),2)&gt;0,ROUND(AM191+AL192-ROUND(AK$6+IF(AK$5=$C192,$E$5+$E192,0),2),2)&lt;=AN192,ROUND(AM191+AL192-ROUND(AK$6+IF(AK$5=$C192,$E$5+$E192,0),2),2)*10&lt;=ROUND(AK$6+IF(AK$5=$C192,$E$5+$E192,0),2)),ROUND(AM191+AL192,2),MIN(ROUND(AK$6+IF(AK$5=$C192,$E$5+$E192,0),2),ROUND(AM191+AL192,2))),0)</f>
        <v>0</v>
      </c>
      <c r="AL192" s="24">
        <f>IF(AM191&gt;0,ROUND(ROUND(AM191*100,0)*ROUND(AK$7*10000,0)/12000000,0)/100,0)</f>
        <v>0</v>
      </c>
      <c r="AM192" s="24">
        <f>IF(AM191&gt;0,ROUND(AM191+AL192-AK192,2),0)</f>
        <v>0</v>
      </c>
      <c r="AN192" s="24">
        <f>IF(AM191&gt;0,ROUND(AN191+ROUND(ROUND(AN191*100,0)*ROUND(AK$7*10000,0)/12000000,0)/100+0.02,2),0)</f>
        <v>0</v>
      </c>
      <c r="AO192" s="24">
        <f>IF(AQ191&gt;0,IF(AND(ROUND(AQ191+AP192-ROUND(AO$6+IF(AO$5=$C192,$E$5+$E192,0),2),2)&gt;0,ROUND(AQ191+AP192-ROUND(AO$6+IF(AO$5=$C192,$E$5+$E192,0),2),2)&lt;=AR192,ROUND(AQ191+AP192-ROUND(AO$6+IF(AO$5=$C192,$E$5+$E192,0),2),2)*10&lt;=ROUND(AO$6+IF(AO$5=$C192,$E$5+$E192,0),2)),ROUND(AQ191+AP192,2),MIN(ROUND(AO$6+IF(AO$5=$C192,$E$5+$E192,0),2),ROUND(AQ191+AP192,2))),0)</f>
        <v>0</v>
      </c>
      <c r="AP192" s="24">
        <f>IF(AQ191&gt;0,ROUND(ROUND(AQ191*100,0)*ROUND(AO$7*10000,0)/12000000,0)/100,0)</f>
        <v>0</v>
      </c>
      <c r="AQ192" s="24">
        <f>IF(AQ191&gt;0,ROUND(AQ191+AP192-AO192,2),0)</f>
        <v>0</v>
      </c>
      <c r="AR192" s="24">
        <f>IF(AQ191&gt;0,ROUND(AR191+ROUND(ROUND(AR191*100,0)*ROUND(AO$7*10000,0)/12000000,0)/100+0.02,2),0)</f>
        <v>0</v>
      </c>
      <c r="AS192" s="24">
        <f>IF(AU191&gt;0,IF(AND(ROUND(AU191+AT192-ROUND(AS$6+IF(AS$5=$C192,$E$5+$E192,0),2),2)&gt;0,ROUND(AU191+AT192-ROUND(AS$6+IF(AS$5=$C192,$E$5+$E192,0),2),2)&lt;=AV192,ROUND(AU191+AT192-ROUND(AS$6+IF(AS$5=$C192,$E$5+$E192,0),2),2)*10&lt;=ROUND(AS$6+IF(AS$5=$C192,$E$5+$E192,0),2)),ROUND(AU191+AT192,2),MIN(ROUND(AS$6+IF(AS$5=$C192,$E$5+$E192,0),2),ROUND(AU191+AT192,2))),0)</f>
        <v>0</v>
      </c>
      <c r="AT192" s="24">
        <f>IF(AU191&gt;0,ROUND(ROUND(AU191*100,0)*ROUND(AS$7*10000,0)/12000000,0)/100,0)</f>
        <v>0</v>
      </c>
      <c r="AU192" s="24">
        <f>IF(AU191&gt;0,ROUND(AU191+AT192-AS192,2),0)</f>
        <v>0</v>
      </c>
      <c r="AV192" s="24">
        <f>IF(AU191&gt;0,ROUND(AV191+ROUND(ROUND(AV191*100,0)*ROUND(AS$7*10000,0)/12000000,0)/100+0.02,2),0)</f>
        <v>0</v>
      </c>
    </row>
    <row r="193" spans="1:48" x14ac:dyDescent="0.25">
      <c r="A193" s="17" t="str">
        <f>IF(F193&gt;0,183,"")</f>
        <v/>
      </c>
      <c r="B193" s="18" t="str">
        <f>IF(F193&gt;0,EDATE($E$6,183),"")</f>
        <v/>
      </c>
      <c r="C193" s="21">
        <f>IF(H192&gt;0,MIN(IF(K192&gt;0,I$5,99),IF(O192&gt;0,M$5,99),IF(S192&gt;0,Q$5,99),IF(W192&gt;0,U$5,99),IF(AA192&gt;0,Y$5,99),IF(AE192&gt;0,AC$5,99),IF(AI192&gt;0,AG$5,99),IF(AM192&gt;0,AK$5,99),IF(AQ192&gt;0,AO$5,99),IF(AU192&gt;0,AS$5,99)),0)</f>
        <v>0</v>
      </c>
      <c r="D193" t="str">
        <f>IF(C193&gt;0,INDEX($I$4:$AV$4,1,MATCH(C193,$I$5:$AV$5,0)),"")</f>
        <v/>
      </c>
      <c r="E193" s="24">
        <f>ROUND(IF(AND(I$8&gt;0,K192=0),I$6,0)+IF(AND(M$8&gt;0,O192=0),M$6,0)+IF(AND(Q$8&gt;0,S192=0),Q$6,0)+IF(AND(U$8&gt;0,W192=0),U$6,0)+IF(AND(Y$8&gt;0,AA192=0),Y$6,0)+IF(AND(AC$8&gt;0,AE192=0),AC$6,0)+IF(AND(AG$8&gt;0,AI192=0),AG$6,0)+IF(AND(AK$8&gt;0,AM192=0),AK$6,0)+IF(AND(AO$8&gt;0,AQ192=0),AO$6,0)+IF(AND(AS$8&gt;0,AU192=0),AS$6,0),2)</f>
        <v>325</v>
      </c>
      <c r="F193" s="24">
        <f>ROUND(I193+M193+Q193+U193+Y193+AC193+AG193+AK193+AO193+AS193,2)</f>
        <v>0</v>
      </c>
      <c r="G193" s="24">
        <f>ROUND(J193+N193+R193+V193+Z193+AD193+AH193+AL193+AP193+AT193,2)</f>
        <v>0</v>
      </c>
      <c r="H193" s="24">
        <f>ROUND(K193+O193+S193+W193+AA193+AE193+AI193+AM193+AQ193+AU193,2)</f>
        <v>0</v>
      </c>
      <c r="I193" s="24">
        <f>IF(K192&gt;0,IF(AND(ROUND(K192+J193-ROUND(I$6+IF(I$5=$C193,$E$5+$E193,0),2),2)&gt;0,ROUND(K192+J193-ROUND(I$6+IF(I$5=$C193,$E$5+$E193,0),2),2)&lt;=L193,ROUND(K192+J193-ROUND(I$6+IF(I$5=$C193,$E$5+$E193,0),2),2)*10&lt;=ROUND(I$6+IF(I$5=$C193,$E$5+$E193,0),2)),ROUND(K192+J193,2),MIN(ROUND(I$6+IF(I$5=$C193,$E$5+$E193,0),2),ROUND(K192+J193,2))),0)</f>
        <v>0</v>
      </c>
      <c r="J193" s="24">
        <f>IF(K192&gt;0,ROUND(ROUND(K192*100,0)*ROUND(I$7*10000,0)/12000000,0)/100,0)</f>
        <v>0</v>
      </c>
      <c r="K193" s="24">
        <f>IF(K192&gt;0,ROUND(K192+J193-I193,2),0)</f>
        <v>0</v>
      </c>
      <c r="L193" s="24">
        <f>IF(K192&gt;0,ROUND(L192+ROUND(ROUND(L192*100,0)*ROUND(I$7*10000,0)/12000000,0)/100+0.02,2),0)</f>
        <v>0</v>
      </c>
      <c r="M193" s="24">
        <f>IF(O192&gt;0,IF(AND(ROUND(O192+N193-ROUND(M$6+IF(M$5=$C193,$E$5+$E193,0),2),2)&gt;0,ROUND(O192+N193-ROUND(M$6+IF(M$5=$C193,$E$5+$E193,0),2),2)&lt;=P193,ROUND(O192+N193-ROUND(M$6+IF(M$5=$C193,$E$5+$E193,0),2),2)*10&lt;=ROUND(M$6+IF(M$5=$C193,$E$5+$E193,0),2)),ROUND(O192+N193,2),MIN(ROUND(M$6+IF(M$5=$C193,$E$5+$E193,0),2),ROUND(O192+N193,2))),0)</f>
        <v>0</v>
      </c>
      <c r="N193" s="24">
        <f>IF(O192&gt;0,ROUND(ROUND(O192*100,0)*ROUND(M$7*10000,0)/12000000,0)/100,0)</f>
        <v>0</v>
      </c>
      <c r="O193" s="24">
        <f>IF(O192&gt;0,ROUND(O192+N193-M193,2),0)</f>
        <v>0</v>
      </c>
      <c r="P193" s="24">
        <f>IF(O192&gt;0,ROUND(P192+ROUND(ROUND(P192*100,0)*ROUND(M$7*10000,0)/12000000,0)/100+0.02,2),0)</f>
        <v>0</v>
      </c>
      <c r="Q193" s="24">
        <f>IF(S192&gt;0,IF(AND(ROUND(S192+R193-ROUND(Q$6+IF(Q$5=$C193,$E$5+$E193,0),2),2)&gt;0,ROUND(S192+R193-ROUND(Q$6+IF(Q$5=$C193,$E$5+$E193,0),2),2)&lt;=T193,ROUND(S192+R193-ROUND(Q$6+IF(Q$5=$C193,$E$5+$E193,0),2),2)*10&lt;=ROUND(Q$6+IF(Q$5=$C193,$E$5+$E193,0),2)),ROUND(S192+R193,2),MIN(ROUND(Q$6+IF(Q$5=$C193,$E$5+$E193,0),2),ROUND(S192+R193,2))),0)</f>
        <v>0</v>
      </c>
      <c r="R193" s="24">
        <f>IF(S192&gt;0,ROUND(ROUND(S192*100,0)*ROUND(Q$7*10000,0)/12000000,0)/100,0)</f>
        <v>0</v>
      </c>
      <c r="S193" s="24">
        <f>IF(S192&gt;0,ROUND(S192+R193-Q193,2),0)</f>
        <v>0</v>
      </c>
      <c r="T193" s="24">
        <f>IF(S192&gt;0,ROUND(T192+ROUND(ROUND(T192*100,0)*ROUND(Q$7*10000,0)/12000000,0)/100+0.02,2),0)</f>
        <v>0</v>
      </c>
      <c r="U193" s="24">
        <f>IF(W192&gt;0,IF(AND(ROUND(W192+V193-ROUND(U$6+IF(U$5=$C193,$E$5+$E193,0),2),2)&gt;0,ROUND(W192+V193-ROUND(U$6+IF(U$5=$C193,$E$5+$E193,0),2),2)&lt;=X193,ROUND(W192+V193-ROUND(U$6+IF(U$5=$C193,$E$5+$E193,0),2),2)*10&lt;=ROUND(U$6+IF(U$5=$C193,$E$5+$E193,0),2)),ROUND(W192+V193,2),MIN(ROUND(U$6+IF(U$5=$C193,$E$5+$E193,0),2),ROUND(W192+V193,2))),0)</f>
        <v>0</v>
      </c>
      <c r="V193" s="24">
        <f>IF(W192&gt;0,ROUND(ROUND(W192*100,0)*ROUND(U$7*10000,0)/12000000,0)/100,0)</f>
        <v>0</v>
      </c>
      <c r="W193" s="24">
        <f>IF(W192&gt;0,ROUND(W192+V193-U193,2),0)</f>
        <v>0</v>
      </c>
      <c r="X193" s="24">
        <f>IF(W192&gt;0,ROUND(X192+ROUND(ROUND(X192*100,0)*ROUND(U$7*10000,0)/12000000,0)/100+0.02,2),0)</f>
        <v>0</v>
      </c>
      <c r="Y193" s="24">
        <f>IF(AA192&gt;0,IF(AND(ROUND(AA192+Z193-ROUND(Y$6+IF(Y$5=$C193,$E$5+$E193,0),2),2)&gt;0,ROUND(AA192+Z193-ROUND(Y$6+IF(Y$5=$C193,$E$5+$E193,0),2),2)&lt;=AB193,ROUND(AA192+Z193-ROUND(Y$6+IF(Y$5=$C193,$E$5+$E193,0),2),2)*10&lt;=ROUND(Y$6+IF(Y$5=$C193,$E$5+$E193,0),2)),ROUND(AA192+Z193,2),MIN(ROUND(Y$6+IF(Y$5=$C193,$E$5+$E193,0),2),ROUND(AA192+Z193,2))),0)</f>
        <v>0</v>
      </c>
      <c r="Z193" s="24">
        <f>IF(AA192&gt;0,ROUND(ROUND(AA192*100,0)*ROUND(Y$7*10000,0)/12000000,0)/100,0)</f>
        <v>0</v>
      </c>
      <c r="AA193" s="24">
        <f>IF(AA192&gt;0,ROUND(AA192+Z193-Y193,2),0)</f>
        <v>0</v>
      </c>
      <c r="AB193" s="24">
        <f>IF(AA192&gt;0,ROUND(AB192+ROUND(ROUND(AB192*100,0)*ROUND(Y$7*10000,0)/12000000,0)/100+0.02,2),0)</f>
        <v>0</v>
      </c>
      <c r="AC193" s="24">
        <f>IF(AE192&gt;0,IF(AND(ROUND(AE192+AD193-ROUND(AC$6+IF(AC$5=$C193,$E$5+$E193,0),2),2)&gt;0,ROUND(AE192+AD193-ROUND(AC$6+IF(AC$5=$C193,$E$5+$E193,0),2),2)&lt;=AF193,ROUND(AE192+AD193-ROUND(AC$6+IF(AC$5=$C193,$E$5+$E193,0),2),2)*10&lt;=ROUND(AC$6+IF(AC$5=$C193,$E$5+$E193,0),2)),ROUND(AE192+AD193,2),MIN(ROUND(AC$6+IF(AC$5=$C193,$E$5+$E193,0),2),ROUND(AE192+AD193,2))),0)</f>
        <v>0</v>
      </c>
      <c r="AD193" s="24">
        <f>IF(AE192&gt;0,ROUND(ROUND(AE192*100,0)*ROUND(AC$7*10000,0)/12000000,0)/100,0)</f>
        <v>0</v>
      </c>
      <c r="AE193" s="24">
        <f>IF(AE192&gt;0,ROUND(AE192+AD193-AC193,2),0)</f>
        <v>0</v>
      </c>
      <c r="AF193" s="24">
        <f>IF(AE192&gt;0,ROUND(AF192+ROUND(ROUND(AF192*100,0)*ROUND(AC$7*10000,0)/12000000,0)/100+0.02,2),0)</f>
        <v>0</v>
      </c>
      <c r="AG193" s="24">
        <f>IF(AI192&gt;0,IF(AND(ROUND(AI192+AH193-ROUND(AG$6+IF(AG$5=$C193,$E$5+$E193,0),2),2)&gt;0,ROUND(AI192+AH193-ROUND(AG$6+IF(AG$5=$C193,$E$5+$E193,0),2),2)&lt;=AJ193,ROUND(AI192+AH193-ROUND(AG$6+IF(AG$5=$C193,$E$5+$E193,0),2),2)*10&lt;=ROUND(AG$6+IF(AG$5=$C193,$E$5+$E193,0),2)),ROUND(AI192+AH193,2),MIN(ROUND(AG$6+IF(AG$5=$C193,$E$5+$E193,0),2),ROUND(AI192+AH193,2))),0)</f>
        <v>0</v>
      </c>
      <c r="AH193" s="24">
        <f>IF(AI192&gt;0,ROUND(ROUND(AI192*100,0)*ROUND(AG$7*10000,0)/12000000,0)/100,0)</f>
        <v>0</v>
      </c>
      <c r="AI193" s="24">
        <f>IF(AI192&gt;0,ROUND(AI192+AH193-AG193,2),0)</f>
        <v>0</v>
      </c>
      <c r="AJ193" s="24">
        <f>IF(AI192&gt;0,ROUND(AJ192+ROUND(ROUND(AJ192*100,0)*ROUND(AG$7*10000,0)/12000000,0)/100+0.02,2),0)</f>
        <v>0</v>
      </c>
      <c r="AK193" s="24">
        <f>IF(AM192&gt;0,IF(AND(ROUND(AM192+AL193-ROUND(AK$6+IF(AK$5=$C193,$E$5+$E193,0),2),2)&gt;0,ROUND(AM192+AL193-ROUND(AK$6+IF(AK$5=$C193,$E$5+$E193,0),2),2)&lt;=AN193,ROUND(AM192+AL193-ROUND(AK$6+IF(AK$5=$C193,$E$5+$E193,0),2),2)*10&lt;=ROUND(AK$6+IF(AK$5=$C193,$E$5+$E193,0),2)),ROUND(AM192+AL193,2),MIN(ROUND(AK$6+IF(AK$5=$C193,$E$5+$E193,0),2),ROUND(AM192+AL193,2))),0)</f>
        <v>0</v>
      </c>
      <c r="AL193" s="24">
        <f>IF(AM192&gt;0,ROUND(ROUND(AM192*100,0)*ROUND(AK$7*10000,0)/12000000,0)/100,0)</f>
        <v>0</v>
      </c>
      <c r="AM193" s="24">
        <f>IF(AM192&gt;0,ROUND(AM192+AL193-AK193,2),0)</f>
        <v>0</v>
      </c>
      <c r="AN193" s="24">
        <f>IF(AM192&gt;0,ROUND(AN192+ROUND(ROUND(AN192*100,0)*ROUND(AK$7*10000,0)/12000000,0)/100+0.02,2),0)</f>
        <v>0</v>
      </c>
      <c r="AO193" s="24">
        <f>IF(AQ192&gt;0,IF(AND(ROUND(AQ192+AP193-ROUND(AO$6+IF(AO$5=$C193,$E$5+$E193,0),2),2)&gt;0,ROUND(AQ192+AP193-ROUND(AO$6+IF(AO$5=$C193,$E$5+$E193,0),2),2)&lt;=AR193,ROUND(AQ192+AP193-ROUND(AO$6+IF(AO$5=$C193,$E$5+$E193,0),2),2)*10&lt;=ROUND(AO$6+IF(AO$5=$C193,$E$5+$E193,0),2)),ROUND(AQ192+AP193,2),MIN(ROUND(AO$6+IF(AO$5=$C193,$E$5+$E193,0),2),ROUND(AQ192+AP193,2))),0)</f>
        <v>0</v>
      </c>
      <c r="AP193" s="24">
        <f>IF(AQ192&gt;0,ROUND(ROUND(AQ192*100,0)*ROUND(AO$7*10000,0)/12000000,0)/100,0)</f>
        <v>0</v>
      </c>
      <c r="AQ193" s="24">
        <f>IF(AQ192&gt;0,ROUND(AQ192+AP193-AO193,2),0)</f>
        <v>0</v>
      </c>
      <c r="AR193" s="24">
        <f>IF(AQ192&gt;0,ROUND(AR192+ROUND(ROUND(AR192*100,0)*ROUND(AO$7*10000,0)/12000000,0)/100+0.02,2),0)</f>
        <v>0</v>
      </c>
      <c r="AS193" s="24">
        <f>IF(AU192&gt;0,IF(AND(ROUND(AU192+AT193-ROUND(AS$6+IF(AS$5=$C193,$E$5+$E193,0),2),2)&gt;0,ROUND(AU192+AT193-ROUND(AS$6+IF(AS$5=$C193,$E$5+$E193,0),2),2)&lt;=AV193,ROUND(AU192+AT193-ROUND(AS$6+IF(AS$5=$C193,$E$5+$E193,0),2),2)*10&lt;=ROUND(AS$6+IF(AS$5=$C193,$E$5+$E193,0),2)),ROUND(AU192+AT193,2),MIN(ROUND(AS$6+IF(AS$5=$C193,$E$5+$E193,0),2),ROUND(AU192+AT193,2))),0)</f>
        <v>0</v>
      </c>
      <c r="AT193" s="24">
        <f>IF(AU192&gt;0,ROUND(ROUND(AU192*100,0)*ROUND(AS$7*10000,0)/12000000,0)/100,0)</f>
        <v>0</v>
      </c>
      <c r="AU193" s="24">
        <f>IF(AU192&gt;0,ROUND(AU192+AT193-AS193,2),0)</f>
        <v>0</v>
      </c>
      <c r="AV193" s="24">
        <f>IF(AU192&gt;0,ROUND(AV192+ROUND(ROUND(AV192*100,0)*ROUND(AS$7*10000,0)/12000000,0)/100+0.02,2),0)</f>
        <v>0</v>
      </c>
    </row>
    <row r="194" spans="1:48" x14ac:dyDescent="0.25">
      <c r="A194" s="17" t="str">
        <f>IF(F194&gt;0,184,"")</f>
        <v/>
      </c>
      <c r="B194" s="18" t="str">
        <f>IF(F194&gt;0,EDATE($E$6,184),"")</f>
        <v/>
      </c>
      <c r="C194" s="21">
        <f>IF(H193&gt;0,MIN(IF(K193&gt;0,I$5,99),IF(O193&gt;0,M$5,99),IF(S193&gt;0,Q$5,99),IF(W193&gt;0,U$5,99),IF(AA193&gt;0,Y$5,99),IF(AE193&gt;0,AC$5,99),IF(AI193&gt;0,AG$5,99),IF(AM193&gt;0,AK$5,99),IF(AQ193&gt;0,AO$5,99),IF(AU193&gt;0,AS$5,99)),0)</f>
        <v>0</v>
      </c>
      <c r="D194" t="str">
        <f>IF(C194&gt;0,INDEX($I$4:$AV$4,1,MATCH(C194,$I$5:$AV$5,0)),"")</f>
        <v/>
      </c>
      <c r="E194" s="24">
        <f>ROUND(IF(AND(I$8&gt;0,K193=0),I$6,0)+IF(AND(M$8&gt;0,O193=0),M$6,0)+IF(AND(Q$8&gt;0,S193=0),Q$6,0)+IF(AND(U$8&gt;0,W193=0),U$6,0)+IF(AND(Y$8&gt;0,AA193=0),Y$6,0)+IF(AND(AC$8&gt;0,AE193=0),AC$6,0)+IF(AND(AG$8&gt;0,AI193=0),AG$6,0)+IF(AND(AK$8&gt;0,AM193=0),AK$6,0)+IF(AND(AO$8&gt;0,AQ193=0),AO$6,0)+IF(AND(AS$8&gt;0,AU193=0),AS$6,0),2)</f>
        <v>325</v>
      </c>
      <c r="F194" s="24">
        <f>ROUND(I194+M194+Q194+U194+Y194+AC194+AG194+AK194+AO194+AS194,2)</f>
        <v>0</v>
      </c>
      <c r="G194" s="24">
        <f>ROUND(J194+N194+R194+V194+Z194+AD194+AH194+AL194+AP194+AT194,2)</f>
        <v>0</v>
      </c>
      <c r="H194" s="24">
        <f>ROUND(K194+O194+S194+W194+AA194+AE194+AI194+AM194+AQ194+AU194,2)</f>
        <v>0</v>
      </c>
      <c r="I194" s="24">
        <f>IF(K193&gt;0,IF(AND(ROUND(K193+J194-ROUND(I$6+IF(I$5=$C194,$E$5+$E194,0),2),2)&gt;0,ROUND(K193+J194-ROUND(I$6+IF(I$5=$C194,$E$5+$E194,0),2),2)&lt;=L194,ROUND(K193+J194-ROUND(I$6+IF(I$5=$C194,$E$5+$E194,0),2),2)*10&lt;=ROUND(I$6+IF(I$5=$C194,$E$5+$E194,0),2)),ROUND(K193+J194,2),MIN(ROUND(I$6+IF(I$5=$C194,$E$5+$E194,0),2),ROUND(K193+J194,2))),0)</f>
        <v>0</v>
      </c>
      <c r="J194" s="24">
        <f>IF(K193&gt;0,ROUND(ROUND(K193*100,0)*ROUND(I$7*10000,0)/12000000,0)/100,0)</f>
        <v>0</v>
      </c>
      <c r="K194" s="24">
        <f>IF(K193&gt;0,ROUND(K193+J194-I194,2),0)</f>
        <v>0</v>
      </c>
      <c r="L194" s="24">
        <f>IF(K193&gt;0,ROUND(L193+ROUND(ROUND(L193*100,0)*ROUND(I$7*10000,0)/12000000,0)/100+0.02,2),0)</f>
        <v>0</v>
      </c>
      <c r="M194" s="24">
        <f>IF(O193&gt;0,IF(AND(ROUND(O193+N194-ROUND(M$6+IF(M$5=$C194,$E$5+$E194,0),2),2)&gt;0,ROUND(O193+N194-ROUND(M$6+IF(M$5=$C194,$E$5+$E194,0),2),2)&lt;=P194,ROUND(O193+N194-ROUND(M$6+IF(M$5=$C194,$E$5+$E194,0),2),2)*10&lt;=ROUND(M$6+IF(M$5=$C194,$E$5+$E194,0),2)),ROUND(O193+N194,2),MIN(ROUND(M$6+IF(M$5=$C194,$E$5+$E194,0),2),ROUND(O193+N194,2))),0)</f>
        <v>0</v>
      </c>
      <c r="N194" s="24">
        <f>IF(O193&gt;0,ROUND(ROUND(O193*100,0)*ROUND(M$7*10000,0)/12000000,0)/100,0)</f>
        <v>0</v>
      </c>
      <c r="O194" s="24">
        <f>IF(O193&gt;0,ROUND(O193+N194-M194,2),0)</f>
        <v>0</v>
      </c>
      <c r="P194" s="24">
        <f>IF(O193&gt;0,ROUND(P193+ROUND(ROUND(P193*100,0)*ROUND(M$7*10000,0)/12000000,0)/100+0.02,2),0)</f>
        <v>0</v>
      </c>
      <c r="Q194" s="24">
        <f>IF(S193&gt;0,IF(AND(ROUND(S193+R194-ROUND(Q$6+IF(Q$5=$C194,$E$5+$E194,0),2),2)&gt;0,ROUND(S193+R194-ROUND(Q$6+IF(Q$5=$C194,$E$5+$E194,0),2),2)&lt;=T194,ROUND(S193+R194-ROUND(Q$6+IF(Q$5=$C194,$E$5+$E194,0),2),2)*10&lt;=ROUND(Q$6+IF(Q$5=$C194,$E$5+$E194,0),2)),ROUND(S193+R194,2),MIN(ROUND(Q$6+IF(Q$5=$C194,$E$5+$E194,0),2),ROUND(S193+R194,2))),0)</f>
        <v>0</v>
      </c>
      <c r="R194" s="24">
        <f>IF(S193&gt;0,ROUND(ROUND(S193*100,0)*ROUND(Q$7*10000,0)/12000000,0)/100,0)</f>
        <v>0</v>
      </c>
      <c r="S194" s="24">
        <f>IF(S193&gt;0,ROUND(S193+R194-Q194,2),0)</f>
        <v>0</v>
      </c>
      <c r="T194" s="24">
        <f>IF(S193&gt;0,ROUND(T193+ROUND(ROUND(T193*100,0)*ROUND(Q$7*10000,0)/12000000,0)/100+0.02,2),0)</f>
        <v>0</v>
      </c>
      <c r="U194" s="24">
        <f>IF(W193&gt;0,IF(AND(ROUND(W193+V194-ROUND(U$6+IF(U$5=$C194,$E$5+$E194,0),2),2)&gt;0,ROUND(W193+V194-ROUND(U$6+IF(U$5=$C194,$E$5+$E194,0),2),2)&lt;=X194,ROUND(W193+V194-ROUND(U$6+IF(U$5=$C194,$E$5+$E194,0),2),2)*10&lt;=ROUND(U$6+IF(U$5=$C194,$E$5+$E194,0),2)),ROUND(W193+V194,2),MIN(ROUND(U$6+IF(U$5=$C194,$E$5+$E194,0),2),ROUND(W193+V194,2))),0)</f>
        <v>0</v>
      </c>
      <c r="V194" s="24">
        <f>IF(W193&gt;0,ROUND(ROUND(W193*100,0)*ROUND(U$7*10000,0)/12000000,0)/100,0)</f>
        <v>0</v>
      </c>
      <c r="W194" s="24">
        <f>IF(W193&gt;0,ROUND(W193+V194-U194,2),0)</f>
        <v>0</v>
      </c>
      <c r="X194" s="24">
        <f>IF(W193&gt;0,ROUND(X193+ROUND(ROUND(X193*100,0)*ROUND(U$7*10000,0)/12000000,0)/100+0.02,2),0)</f>
        <v>0</v>
      </c>
      <c r="Y194" s="24">
        <f>IF(AA193&gt;0,IF(AND(ROUND(AA193+Z194-ROUND(Y$6+IF(Y$5=$C194,$E$5+$E194,0),2),2)&gt;0,ROUND(AA193+Z194-ROUND(Y$6+IF(Y$5=$C194,$E$5+$E194,0),2),2)&lt;=AB194,ROUND(AA193+Z194-ROUND(Y$6+IF(Y$5=$C194,$E$5+$E194,0),2),2)*10&lt;=ROUND(Y$6+IF(Y$5=$C194,$E$5+$E194,0),2)),ROUND(AA193+Z194,2),MIN(ROUND(Y$6+IF(Y$5=$C194,$E$5+$E194,0),2),ROUND(AA193+Z194,2))),0)</f>
        <v>0</v>
      </c>
      <c r="Z194" s="24">
        <f>IF(AA193&gt;0,ROUND(ROUND(AA193*100,0)*ROUND(Y$7*10000,0)/12000000,0)/100,0)</f>
        <v>0</v>
      </c>
      <c r="AA194" s="24">
        <f>IF(AA193&gt;0,ROUND(AA193+Z194-Y194,2),0)</f>
        <v>0</v>
      </c>
      <c r="AB194" s="24">
        <f>IF(AA193&gt;0,ROUND(AB193+ROUND(ROUND(AB193*100,0)*ROUND(Y$7*10000,0)/12000000,0)/100+0.02,2),0)</f>
        <v>0</v>
      </c>
      <c r="AC194" s="24">
        <f>IF(AE193&gt;0,IF(AND(ROUND(AE193+AD194-ROUND(AC$6+IF(AC$5=$C194,$E$5+$E194,0),2),2)&gt;0,ROUND(AE193+AD194-ROUND(AC$6+IF(AC$5=$C194,$E$5+$E194,0),2),2)&lt;=AF194,ROUND(AE193+AD194-ROUND(AC$6+IF(AC$5=$C194,$E$5+$E194,0),2),2)*10&lt;=ROUND(AC$6+IF(AC$5=$C194,$E$5+$E194,0),2)),ROUND(AE193+AD194,2),MIN(ROUND(AC$6+IF(AC$5=$C194,$E$5+$E194,0),2),ROUND(AE193+AD194,2))),0)</f>
        <v>0</v>
      </c>
      <c r="AD194" s="24">
        <f>IF(AE193&gt;0,ROUND(ROUND(AE193*100,0)*ROUND(AC$7*10000,0)/12000000,0)/100,0)</f>
        <v>0</v>
      </c>
      <c r="AE194" s="24">
        <f>IF(AE193&gt;0,ROUND(AE193+AD194-AC194,2),0)</f>
        <v>0</v>
      </c>
      <c r="AF194" s="24">
        <f>IF(AE193&gt;0,ROUND(AF193+ROUND(ROUND(AF193*100,0)*ROUND(AC$7*10000,0)/12000000,0)/100+0.02,2),0)</f>
        <v>0</v>
      </c>
      <c r="AG194" s="24">
        <f>IF(AI193&gt;0,IF(AND(ROUND(AI193+AH194-ROUND(AG$6+IF(AG$5=$C194,$E$5+$E194,0),2),2)&gt;0,ROUND(AI193+AH194-ROUND(AG$6+IF(AG$5=$C194,$E$5+$E194,0),2),2)&lt;=AJ194,ROUND(AI193+AH194-ROUND(AG$6+IF(AG$5=$C194,$E$5+$E194,0),2),2)*10&lt;=ROUND(AG$6+IF(AG$5=$C194,$E$5+$E194,0),2)),ROUND(AI193+AH194,2),MIN(ROUND(AG$6+IF(AG$5=$C194,$E$5+$E194,0),2),ROUND(AI193+AH194,2))),0)</f>
        <v>0</v>
      </c>
      <c r="AH194" s="24">
        <f>IF(AI193&gt;0,ROUND(ROUND(AI193*100,0)*ROUND(AG$7*10000,0)/12000000,0)/100,0)</f>
        <v>0</v>
      </c>
      <c r="AI194" s="24">
        <f>IF(AI193&gt;0,ROUND(AI193+AH194-AG194,2),0)</f>
        <v>0</v>
      </c>
      <c r="AJ194" s="24">
        <f>IF(AI193&gt;0,ROUND(AJ193+ROUND(ROUND(AJ193*100,0)*ROUND(AG$7*10000,0)/12000000,0)/100+0.02,2),0)</f>
        <v>0</v>
      </c>
      <c r="AK194" s="24">
        <f>IF(AM193&gt;0,IF(AND(ROUND(AM193+AL194-ROUND(AK$6+IF(AK$5=$C194,$E$5+$E194,0),2),2)&gt;0,ROUND(AM193+AL194-ROUND(AK$6+IF(AK$5=$C194,$E$5+$E194,0),2),2)&lt;=AN194,ROUND(AM193+AL194-ROUND(AK$6+IF(AK$5=$C194,$E$5+$E194,0),2),2)*10&lt;=ROUND(AK$6+IF(AK$5=$C194,$E$5+$E194,0),2)),ROUND(AM193+AL194,2),MIN(ROUND(AK$6+IF(AK$5=$C194,$E$5+$E194,0),2),ROUND(AM193+AL194,2))),0)</f>
        <v>0</v>
      </c>
      <c r="AL194" s="24">
        <f>IF(AM193&gt;0,ROUND(ROUND(AM193*100,0)*ROUND(AK$7*10000,0)/12000000,0)/100,0)</f>
        <v>0</v>
      </c>
      <c r="AM194" s="24">
        <f>IF(AM193&gt;0,ROUND(AM193+AL194-AK194,2),0)</f>
        <v>0</v>
      </c>
      <c r="AN194" s="24">
        <f>IF(AM193&gt;0,ROUND(AN193+ROUND(ROUND(AN193*100,0)*ROUND(AK$7*10000,0)/12000000,0)/100+0.02,2),0)</f>
        <v>0</v>
      </c>
      <c r="AO194" s="24">
        <f>IF(AQ193&gt;0,IF(AND(ROUND(AQ193+AP194-ROUND(AO$6+IF(AO$5=$C194,$E$5+$E194,0),2),2)&gt;0,ROUND(AQ193+AP194-ROUND(AO$6+IF(AO$5=$C194,$E$5+$E194,0),2),2)&lt;=AR194,ROUND(AQ193+AP194-ROUND(AO$6+IF(AO$5=$C194,$E$5+$E194,0),2),2)*10&lt;=ROUND(AO$6+IF(AO$5=$C194,$E$5+$E194,0),2)),ROUND(AQ193+AP194,2),MIN(ROUND(AO$6+IF(AO$5=$C194,$E$5+$E194,0),2),ROUND(AQ193+AP194,2))),0)</f>
        <v>0</v>
      </c>
      <c r="AP194" s="24">
        <f>IF(AQ193&gt;0,ROUND(ROUND(AQ193*100,0)*ROUND(AO$7*10000,0)/12000000,0)/100,0)</f>
        <v>0</v>
      </c>
      <c r="AQ194" s="24">
        <f>IF(AQ193&gt;0,ROUND(AQ193+AP194-AO194,2),0)</f>
        <v>0</v>
      </c>
      <c r="AR194" s="24">
        <f>IF(AQ193&gt;0,ROUND(AR193+ROUND(ROUND(AR193*100,0)*ROUND(AO$7*10000,0)/12000000,0)/100+0.02,2),0)</f>
        <v>0</v>
      </c>
      <c r="AS194" s="24">
        <f>IF(AU193&gt;0,IF(AND(ROUND(AU193+AT194-ROUND(AS$6+IF(AS$5=$C194,$E$5+$E194,0),2),2)&gt;0,ROUND(AU193+AT194-ROUND(AS$6+IF(AS$5=$C194,$E$5+$E194,0),2),2)&lt;=AV194,ROUND(AU193+AT194-ROUND(AS$6+IF(AS$5=$C194,$E$5+$E194,0),2),2)*10&lt;=ROUND(AS$6+IF(AS$5=$C194,$E$5+$E194,0),2)),ROUND(AU193+AT194,2),MIN(ROUND(AS$6+IF(AS$5=$C194,$E$5+$E194,0),2),ROUND(AU193+AT194,2))),0)</f>
        <v>0</v>
      </c>
      <c r="AT194" s="24">
        <f>IF(AU193&gt;0,ROUND(ROUND(AU193*100,0)*ROUND(AS$7*10000,0)/12000000,0)/100,0)</f>
        <v>0</v>
      </c>
      <c r="AU194" s="24">
        <f>IF(AU193&gt;0,ROUND(AU193+AT194-AS194,2),0)</f>
        <v>0</v>
      </c>
      <c r="AV194" s="24">
        <f>IF(AU193&gt;0,ROUND(AV193+ROUND(ROUND(AV193*100,0)*ROUND(AS$7*10000,0)/12000000,0)/100+0.02,2),0)</f>
        <v>0</v>
      </c>
    </row>
    <row r="195" spans="1:48" x14ac:dyDescent="0.25">
      <c r="A195" s="17" t="str">
        <f>IF(F195&gt;0,185,"")</f>
        <v/>
      </c>
      <c r="B195" s="18" t="str">
        <f>IF(F195&gt;0,EDATE($E$6,185),"")</f>
        <v/>
      </c>
      <c r="C195" s="21">
        <f>IF(H194&gt;0,MIN(IF(K194&gt;0,I$5,99),IF(O194&gt;0,M$5,99),IF(S194&gt;0,Q$5,99),IF(W194&gt;0,U$5,99),IF(AA194&gt;0,Y$5,99),IF(AE194&gt;0,AC$5,99),IF(AI194&gt;0,AG$5,99),IF(AM194&gt;0,AK$5,99),IF(AQ194&gt;0,AO$5,99),IF(AU194&gt;0,AS$5,99)),0)</f>
        <v>0</v>
      </c>
      <c r="D195" t="str">
        <f>IF(C195&gt;0,INDEX($I$4:$AV$4,1,MATCH(C195,$I$5:$AV$5,0)),"")</f>
        <v/>
      </c>
      <c r="E195" s="24">
        <f>ROUND(IF(AND(I$8&gt;0,K194=0),I$6,0)+IF(AND(M$8&gt;0,O194=0),M$6,0)+IF(AND(Q$8&gt;0,S194=0),Q$6,0)+IF(AND(U$8&gt;0,W194=0),U$6,0)+IF(AND(Y$8&gt;0,AA194=0),Y$6,0)+IF(AND(AC$8&gt;0,AE194=0),AC$6,0)+IF(AND(AG$8&gt;0,AI194=0),AG$6,0)+IF(AND(AK$8&gt;0,AM194=0),AK$6,0)+IF(AND(AO$8&gt;0,AQ194=0),AO$6,0)+IF(AND(AS$8&gt;0,AU194=0),AS$6,0),2)</f>
        <v>325</v>
      </c>
      <c r="F195" s="24">
        <f>ROUND(I195+M195+Q195+U195+Y195+AC195+AG195+AK195+AO195+AS195,2)</f>
        <v>0</v>
      </c>
      <c r="G195" s="24">
        <f>ROUND(J195+N195+R195+V195+Z195+AD195+AH195+AL195+AP195+AT195,2)</f>
        <v>0</v>
      </c>
      <c r="H195" s="24">
        <f>ROUND(K195+O195+S195+W195+AA195+AE195+AI195+AM195+AQ195+AU195,2)</f>
        <v>0</v>
      </c>
      <c r="I195" s="24">
        <f>IF(K194&gt;0,IF(AND(ROUND(K194+J195-ROUND(I$6+IF(I$5=$C195,$E$5+$E195,0),2),2)&gt;0,ROUND(K194+J195-ROUND(I$6+IF(I$5=$C195,$E$5+$E195,0),2),2)&lt;=L195,ROUND(K194+J195-ROUND(I$6+IF(I$5=$C195,$E$5+$E195,0),2),2)*10&lt;=ROUND(I$6+IF(I$5=$C195,$E$5+$E195,0),2)),ROUND(K194+J195,2),MIN(ROUND(I$6+IF(I$5=$C195,$E$5+$E195,0),2),ROUND(K194+J195,2))),0)</f>
        <v>0</v>
      </c>
      <c r="J195" s="24">
        <f>IF(K194&gt;0,ROUND(ROUND(K194*100,0)*ROUND(I$7*10000,0)/12000000,0)/100,0)</f>
        <v>0</v>
      </c>
      <c r="K195" s="24">
        <f>IF(K194&gt;0,ROUND(K194+J195-I195,2),0)</f>
        <v>0</v>
      </c>
      <c r="L195" s="24">
        <f>IF(K194&gt;0,ROUND(L194+ROUND(ROUND(L194*100,0)*ROUND(I$7*10000,0)/12000000,0)/100+0.02,2),0)</f>
        <v>0</v>
      </c>
      <c r="M195" s="24">
        <f>IF(O194&gt;0,IF(AND(ROUND(O194+N195-ROUND(M$6+IF(M$5=$C195,$E$5+$E195,0),2),2)&gt;0,ROUND(O194+N195-ROUND(M$6+IF(M$5=$C195,$E$5+$E195,0),2),2)&lt;=P195,ROUND(O194+N195-ROUND(M$6+IF(M$5=$C195,$E$5+$E195,0),2),2)*10&lt;=ROUND(M$6+IF(M$5=$C195,$E$5+$E195,0),2)),ROUND(O194+N195,2),MIN(ROUND(M$6+IF(M$5=$C195,$E$5+$E195,0),2),ROUND(O194+N195,2))),0)</f>
        <v>0</v>
      </c>
      <c r="N195" s="24">
        <f>IF(O194&gt;0,ROUND(ROUND(O194*100,0)*ROUND(M$7*10000,0)/12000000,0)/100,0)</f>
        <v>0</v>
      </c>
      <c r="O195" s="24">
        <f>IF(O194&gt;0,ROUND(O194+N195-M195,2),0)</f>
        <v>0</v>
      </c>
      <c r="P195" s="24">
        <f>IF(O194&gt;0,ROUND(P194+ROUND(ROUND(P194*100,0)*ROUND(M$7*10000,0)/12000000,0)/100+0.02,2),0)</f>
        <v>0</v>
      </c>
      <c r="Q195" s="24">
        <f>IF(S194&gt;0,IF(AND(ROUND(S194+R195-ROUND(Q$6+IF(Q$5=$C195,$E$5+$E195,0),2),2)&gt;0,ROUND(S194+R195-ROUND(Q$6+IF(Q$5=$C195,$E$5+$E195,0),2),2)&lt;=T195,ROUND(S194+R195-ROUND(Q$6+IF(Q$5=$C195,$E$5+$E195,0),2),2)*10&lt;=ROUND(Q$6+IF(Q$5=$C195,$E$5+$E195,0),2)),ROUND(S194+R195,2),MIN(ROUND(Q$6+IF(Q$5=$C195,$E$5+$E195,0),2),ROUND(S194+R195,2))),0)</f>
        <v>0</v>
      </c>
      <c r="R195" s="24">
        <f>IF(S194&gt;0,ROUND(ROUND(S194*100,0)*ROUND(Q$7*10000,0)/12000000,0)/100,0)</f>
        <v>0</v>
      </c>
      <c r="S195" s="24">
        <f>IF(S194&gt;0,ROUND(S194+R195-Q195,2),0)</f>
        <v>0</v>
      </c>
      <c r="T195" s="24">
        <f>IF(S194&gt;0,ROUND(T194+ROUND(ROUND(T194*100,0)*ROUND(Q$7*10000,0)/12000000,0)/100+0.02,2),0)</f>
        <v>0</v>
      </c>
      <c r="U195" s="24">
        <f>IF(W194&gt;0,IF(AND(ROUND(W194+V195-ROUND(U$6+IF(U$5=$C195,$E$5+$E195,0),2),2)&gt;0,ROUND(W194+V195-ROUND(U$6+IF(U$5=$C195,$E$5+$E195,0),2),2)&lt;=X195,ROUND(W194+V195-ROUND(U$6+IF(U$5=$C195,$E$5+$E195,0),2),2)*10&lt;=ROUND(U$6+IF(U$5=$C195,$E$5+$E195,0),2)),ROUND(W194+V195,2),MIN(ROUND(U$6+IF(U$5=$C195,$E$5+$E195,0),2),ROUND(W194+V195,2))),0)</f>
        <v>0</v>
      </c>
      <c r="V195" s="24">
        <f>IF(W194&gt;0,ROUND(ROUND(W194*100,0)*ROUND(U$7*10000,0)/12000000,0)/100,0)</f>
        <v>0</v>
      </c>
      <c r="W195" s="24">
        <f>IF(W194&gt;0,ROUND(W194+V195-U195,2),0)</f>
        <v>0</v>
      </c>
      <c r="X195" s="24">
        <f>IF(W194&gt;0,ROUND(X194+ROUND(ROUND(X194*100,0)*ROUND(U$7*10000,0)/12000000,0)/100+0.02,2),0)</f>
        <v>0</v>
      </c>
      <c r="Y195" s="24">
        <f>IF(AA194&gt;0,IF(AND(ROUND(AA194+Z195-ROUND(Y$6+IF(Y$5=$C195,$E$5+$E195,0),2),2)&gt;0,ROUND(AA194+Z195-ROUND(Y$6+IF(Y$5=$C195,$E$5+$E195,0),2),2)&lt;=AB195,ROUND(AA194+Z195-ROUND(Y$6+IF(Y$5=$C195,$E$5+$E195,0),2),2)*10&lt;=ROUND(Y$6+IF(Y$5=$C195,$E$5+$E195,0),2)),ROUND(AA194+Z195,2),MIN(ROUND(Y$6+IF(Y$5=$C195,$E$5+$E195,0),2),ROUND(AA194+Z195,2))),0)</f>
        <v>0</v>
      </c>
      <c r="Z195" s="24">
        <f>IF(AA194&gt;0,ROUND(ROUND(AA194*100,0)*ROUND(Y$7*10000,0)/12000000,0)/100,0)</f>
        <v>0</v>
      </c>
      <c r="AA195" s="24">
        <f>IF(AA194&gt;0,ROUND(AA194+Z195-Y195,2),0)</f>
        <v>0</v>
      </c>
      <c r="AB195" s="24">
        <f>IF(AA194&gt;0,ROUND(AB194+ROUND(ROUND(AB194*100,0)*ROUND(Y$7*10000,0)/12000000,0)/100+0.02,2),0)</f>
        <v>0</v>
      </c>
      <c r="AC195" s="24">
        <f>IF(AE194&gt;0,IF(AND(ROUND(AE194+AD195-ROUND(AC$6+IF(AC$5=$C195,$E$5+$E195,0),2),2)&gt;0,ROUND(AE194+AD195-ROUND(AC$6+IF(AC$5=$C195,$E$5+$E195,0),2),2)&lt;=AF195,ROUND(AE194+AD195-ROUND(AC$6+IF(AC$5=$C195,$E$5+$E195,0),2),2)*10&lt;=ROUND(AC$6+IF(AC$5=$C195,$E$5+$E195,0),2)),ROUND(AE194+AD195,2),MIN(ROUND(AC$6+IF(AC$5=$C195,$E$5+$E195,0),2),ROUND(AE194+AD195,2))),0)</f>
        <v>0</v>
      </c>
      <c r="AD195" s="24">
        <f>IF(AE194&gt;0,ROUND(ROUND(AE194*100,0)*ROUND(AC$7*10000,0)/12000000,0)/100,0)</f>
        <v>0</v>
      </c>
      <c r="AE195" s="24">
        <f>IF(AE194&gt;0,ROUND(AE194+AD195-AC195,2),0)</f>
        <v>0</v>
      </c>
      <c r="AF195" s="24">
        <f>IF(AE194&gt;0,ROUND(AF194+ROUND(ROUND(AF194*100,0)*ROUND(AC$7*10000,0)/12000000,0)/100+0.02,2),0)</f>
        <v>0</v>
      </c>
      <c r="AG195" s="24">
        <f>IF(AI194&gt;0,IF(AND(ROUND(AI194+AH195-ROUND(AG$6+IF(AG$5=$C195,$E$5+$E195,0),2),2)&gt;0,ROUND(AI194+AH195-ROUND(AG$6+IF(AG$5=$C195,$E$5+$E195,0),2),2)&lt;=AJ195,ROUND(AI194+AH195-ROUND(AG$6+IF(AG$5=$C195,$E$5+$E195,0),2),2)*10&lt;=ROUND(AG$6+IF(AG$5=$C195,$E$5+$E195,0),2)),ROUND(AI194+AH195,2),MIN(ROUND(AG$6+IF(AG$5=$C195,$E$5+$E195,0),2),ROUND(AI194+AH195,2))),0)</f>
        <v>0</v>
      </c>
      <c r="AH195" s="24">
        <f>IF(AI194&gt;0,ROUND(ROUND(AI194*100,0)*ROUND(AG$7*10000,0)/12000000,0)/100,0)</f>
        <v>0</v>
      </c>
      <c r="AI195" s="24">
        <f>IF(AI194&gt;0,ROUND(AI194+AH195-AG195,2),0)</f>
        <v>0</v>
      </c>
      <c r="AJ195" s="24">
        <f>IF(AI194&gt;0,ROUND(AJ194+ROUND(ROUND(AJ194*100,0)*ROUND(AG$7*10000,0)/12000000,0)/100+0.02,2),0)</f>
        <v>0</v>
      </c>
      <c r="AK195" s="24">
        <f>IF(AM194&gt;0,IF(AND(ROUND(AM194+AL195-ROUND(AK$6+IF(AK$5=$C195,$E$5+$E195,0),2),2)&gt;0,ROUND(AM194+AL195-ROUND(AK$6+IF(AK$5=$C195,$E$5+$E195,0),2),2)&lt;=AN195,ROUND(AM194+AL195-ROUND(AK$6+IF(AK$5=$C195,$E$5+$E195,0),2),2)*10&lt;=ROUND(AK$6+IF(AK$5=$C195,$E$5+$E195,0),2)),ROUND(AM194+AL195,2),MIN(ROUND(AK$6+IF(AK$5=$C195,$E$5+$E195,0),2),ROUND(AM194+AL195,2))),0)</f>
        <v>0</v>
      </c>
      <c r="AL195" s="24">
        <f>IF(AM194&gt;0,ROUND(ROUND(AM194*100,0)*ROUND(AK$7*10000,0)/12000000,0)/100,0)</f>
        <v>0</v>
      </c>
      <c r="AM195" s="24">
        <f>IF(AM194&gt;0,ROUND(AM194+AL195-AK195,2),0)</f>
        <v>0</v>
      </c>
      <c r="AN195" s="24">
        <f>IF(AM194&gt;0,ROUND(AN194+ROUND(ROUND(AN194*100,0)*ROUND(AK$7*10000,0)/12000000,0)/100+0.02,2),0)</f>
        <v>0</v>
      </c>
      <c r="AO195" s="24">
        <f>IF(AQ194&gt;0,IF(AND(ROUND(AQ194+AP195-ROUND(AO$6+IF(AO$5=$C195,$E$5+$E195,0),2),2)&gt;0,ROUND(AQ194+AP195-ROUND(AO$6+IF(AO$5=$C195,$E$5+$E195,0),2),2)&lt;=AR195,ROUND(AQ194+AP195-ROUND(AO$6+IF(AO$5=$C195,$E$5+$E195,0),2),2)*10&lt;=ROUND(AO$6+IF(AO$5=$C195,$E$5+$E195,0),2)),ROUND(AQ194+AP195,2),MIN(ROUND(AO$6+IF(AO$5=$C195,$E$5+$E195,0),2),ROUND(AQ194+AP195,2))),0)</f>
        <v>0</v>
      </c>
      <c r="AP195" s="24">
        <f>IF(AQ194&gt;0,ROUND(ROUND(AQ194*100,0)*ROUND(AO$7*10000,0)/12000000,0)/100,0)</f>
        <v>0</v>
      </c>
      <c r="AQ195" s="24">
        <f>IF(AQ194&gt;0,ROUND(AQ194+AP195-AO195,2),0)</f>
        <v>0</v>
      </c>
      <c r="AR195" s="24">
        <f>IF(AQ194&gt;0,ROUND(AR194+ROUND(ROUND(AR194*100,0)*ROUND(AO$7*10000,0)/12000000,0)/100+0.02,2),0)</f>
        <v>0</v>
      </c>
      <c r="AS195" s="24">
        <f>IF(AU194&gt;0,IF(AND(ROUND(AU194+AT195-ROUND(AS$6+IF(AS$5=$C195,$E$5+$E195,0),2),2)&gt;0,ROUND(AU194+AT195-ROUND(AS$6+IF(AS$5=$C195,$E$5+$E195,0),2),2)&lt;=AV195,ROUND(AU194+AT195-ROUND(AS$6+IF(AS$5=$C195,$E$5+$E195,0),2),2)*10&lt;=ROUND(AS$6+IF(AS$5=$C195,$E$5+$E195,0),2)),ROUND(AU194+AT195,2),MIN(ROUND(AS$6+IF(AS$5=$C195,$E$5+$E195,0),2),ROUND(AU194+AT195,2))),0)</f>
        <v>0</v>
      </c>
      <c r="AT195" s="24">
        <f>IF(AU194&gt;0,ROUND(ROUND(AU194*100,0)*ROUND(AS$7*10000,0)/12000000,0)/100,0)</f>
        <v>0</v>
      </c>
      <c r="AU195" s="24">
        <f>IF(AU194&gt;0,ROUND(AU194+AT195-AS195,2),0)</f>
        <v>0</v>
      </c>
      <c r="AV195" s="24">
        <f>IF(AU194&gt;0,ROUND(AV194+ROUND(ROUND(AV194*100,0)*ROUND(AS$7*10000,0)/12000000,0)/100+0.02,2),0)</f>
        <v>0</v>
      </c>
    </row>
    <row r="196" spans="1:48" x14ac:dyDescent="0.25">
      <c r="A196" s="17" t="str">
        <f>IF(F196&gt;0,186,"")</f>
        <v/>
      </c>
      <c r="B196" s="18" t="str">
        <f>IF(F196&gt;0,EDATE($E$6,186),"")</f>
        <v/>
      </c>
      <c r="C196" s="21">
        <f>IF(H195&gt;0,MIN(IF(K195&gt;0,I$5,99),IF(O195&gt;0,M$5,99),IF(S195&gt;0,Q$5,99),IF(W195&gt;0,U$5,99),IF(AA195&gt;0,Y$5,99),IF(AE195&gt;0,AC$5,99),IF(AI195&gt;0,AG$5,99),IF(AM195&gt;0,AK$5,99),IF(AQ195&gt;0,AO$5,99),IF(AU195&gt;0,AS$5,99)),0)</f>
        <v>0</v>
      </c>
      <c r="D196" t="str">
        <f>IF(C196&gt;0,INDEX($I$4:$AV$4,1,MATCH(C196,$I$5:$AV$5,0)),"")</f>
        <v/>
      </c>
      <c r="E196" s="24">
        <f>ROUND(IF(AND(I$8&gt;0,K195=0),I$6,0)+IF(AND(M$8&gt;0,O195=0),M$6,0)+IF(AND(Q$8&gt;0,S195=0),Q$6,0)+IF(AND(U$8&gt;0,W195=0),U$6,0)+IF(AND(Y$8&gt;0,AA195=0),Y$6,0)+IF(AND(AC$8&gt;0,AE195=0),AC$6,0)+IF(AND(AG$8&gt;0,AI195=0),AG$6,0)+IF(AND(AK$8&gt;0,AM195=0),AK$6,0)+IF(AND(AO$8&gt;0,AQ195=0),AO$6,0)+IF(AND(AS$8&gt;0,AU195=0),AS$6,0),2)</f>
        <v>325</v>
      </c>
      <c r="F196" s="24">
        <f>ROUND(I196+M196+Q196+U196+Y196+AC196+AG196+AK196+AO196+AS196,2)</f>
        <v>0</v>
      </c>
      <c r="G196" s="24">
        <f>ROUND(J196+N196+R196+V196+Z196+AD196+AH196+AL196+AP196+AT196,2)</f>
        <v>0</v>
      </c>
      <c r="H196" s="24">
        <f>ROUND(K196+O196+S196+W196+AA196+AE196+AI196+AM196+AQ196+AU196,2)</f>
        <v>0</v>
      </c>
      <c r="I196" s="24">
        <f>IF(K195&gt;0,IF(AND(ROUND(K195+J196-ROUND(I$6+IF(I$5=$C196,$E$5+$E196,0),2),2)&gt;0,ROUND(K195+J196-ROUND(I$6+IF(I$5=$C196,$E$5+$E196,0),2),2)&lt;=L196,ROUND(K195+J196-ROUND(I$6+IF(I$5=$C196,$E$5+$E196,0),2),2)*10&lt;=ROUND(I$6+IF(I$5=$C196,$E$5+$E196,0),2)),ROUND(K195+J196,2),MIN(ROUND(I$6+IF(I$5=$C196,$E$5+$E196,0),2),ROUND(K195+J196,2))),0)</f>
        <v>0</v>
      </c>
      <c r="J196" s="24">
        <f>IF(K195&gt;0,ROUND(ROUND(K195*100,0)*ROUND(I$7*10000,0)/12000000,0)/100,0)</f>
        <v>0</v>
      </c>
      <c r="K196" s="24">
        <f>IF(K195&gt;0,ROUND(K195+J196-I196,2),0)</f>
        <v>0</v>
      </c>
      <c r="L196" s="24">
        <f>IF(K195&gt;0,ROUND(L195+ROUND(ROUND(L195*100,0)*ROUND(I$7*10000,0)/12000000,0)/100+0.02,2),0)</f>
        <v>0</v>
      </c>
      <c r="M196" s="24">
        <f>IF(O195&gt;0,IF(AND(ROUND(O195+N196-ROUND(M$6+IF(M$5=$C196,$E$5+$E196,0),2),2)&gt;0,ROUND(O195+N196-ROUND(M$6+IF(M$5=$C196,$E$5+$E196,0),2),2)&lt;=P196,ROUND(O195+N196-ROUND(M$6+IF(M$5=$C196,$E$5+$E196,0),2),2)*10&lt;=ROUND(M$6+IF(M$5=$C196,$E$5+$E196,0),2)),ROUND(O195+N196,2),MIN(ROUND(M$6+IF(M$5=$C196,$E$5+$E196,0),2),ROUND(O195+N196,2))),0)</f>
        <v>0</v>
      </c>
      <c r="N196" s="24">
        <f>IF(O195&gt;0,ROUND(ROUND(O195*100,0)*ROUND(M$7*10000,0)/12000000,0)/100,0)</f>
        <v>0</v>
      </c>
      <c r="O196" s="24">
        <f>IF(O195&gt;0,ROUND(O195+N196-M196,2),0)</f>
        <v>0</v>
      </c>
      <c r="P196" s="24">
        <f>IF(O195&gt;0,ROUND(P195+ROUND(ROUND(P195*100,0)*ROUND(M$7*10000,0)/12000000,0)/100+0.02,2),0)</f>
        <v>0</v>
      </c>
      <c r="Q196" s="24">
        <f>IF(S195&gt;0,IF(AND(ROUND(S195+R196-ROUND(Q$6+IF(Q$5=$C196,$E$5+$E196,0),2),2)&gt;0,ROUND(S195+R196-ROUND(Q$6+IF(Q$5=$C196,$E$5+$E196,0),2),2)&lt;=T196,ROUND(S195+R196-ROUND(Q$6+IF(Q$5=$C196,$E$5+$E196,0),2),2)*10&lt;=ROUND(Q$6+IF(Q$5=$C196,$E$5+$E196,0),2)),ROUND(S195+R196,2),MIN(ROUND(Q$6+IF(Q$5=$C196,$E$5+$E196,0),2),ROUND(S195+R196,2))),0)</f>
        <v>0</v>
      </c>
      <c r="R196" s="24">
        <f>IF(S195&gt;0,ROUND(ROUND(S195*100,0)*ROUND(Q$7*10000,0)/12000000,0)/100,0)</f>
        <v>0</v>
      </c>
      <c r="S196" s="24">
        <f>IF(S195&gt;0,ROUND(S195+R196-Q196,2),0)</f>
        <v>0</v>
      </c>
      <c r="T196" s="24">
        <f>IF(S195&gt;0,ROUND(T195+ROUND(ROUND(T195*100,0)*ROUND(Q$7*10000,0)/12000000,0)/100+0.02,2),0)</f>
        <v>0</v>
      </c>
      <c r="U196" s="24">
        <f>IF(W195&gt;0,IF(AND(ROUND(W195+V196-ROUND(U$6+IF(U$5=$C196,$E$5+$E196,0),2),2)&gt;0,ROUND(W195+V196-ROUND(U$6+IF(U$5=$C196,$E$5+$E196,0),2),2)&lt;=X196,ROUND(W195+V196-ROUND(U$6+IF(U$5=$C196,$E$5+$E196,0),2),2)*10&lt;=ROUND(U$6+IF(U$5=$C196,$E$5+$E196,0),2)),ROUND(W195+V196,2),MIN(ROUND(U$6+IF(U$5=$C196,$E$5+$E196,0),2),ROUND(W195+V196,2))),0)</f>
        <v>0</v>
      </c>
      <c r="V196" s="24">
        <f>IF(W195&gt;0,ROUND(ROUND(W195*100,0)*ROUND(U$7*10000,0)/12000000,0)/100,0)</f>
        <v>0</v>
      </c>
      <c r="W196" s="24">
        <f>IF(W195&gt;0,ROUND(W195+V196-U196,2),0)</f>
        <v>0</v>
      </c>
      <c r="X196" s="24">
        <f>IF(W195&gt;0,ROUND(X195+ROUND(ROUND(X195*100,0)*ROUND(U$7*10000,0)/12000000,0)/100+0.02,2),0)</f>
        <v>0</v>
      </c>
      <c r="Y196" s="24">
        <f>IF(AA195&gt;0,IF(AND(ROUND(AA195+Z196-ROUND(Y$6+IF(Y$5=$C196,$E$5+$E196,0),2),2)&gt;0,ROUND(AA195+Z196-ROUND(Y$6+IF(Y$5=$C196,$E$5+$E196,0),2),2)&lt;=AB196,ROUND(AA195+Z196-ROUND(Y$6+IF(Y$5=$C196,$E$5+$E196,0),2),2)*10&lt;=ROUND(Y$6+IF(Y$5=$C196,$E$5+$E196,0),2)),ROUND(AA195+Z196,2),MIN(ROUND(Y$6+IF(Y$5=$C196,$E$5+$E196,0),2),ROUND(AA195+Z196,2))),0)</f>
        <v>0</v>
      </c>
      <c r="Z196" s="24">
        <f>IF(AA195&gt;0,ROUND(ROUND(AA195*100,0)*ROUND(Y$7*10000,0)/12000000,0)/100,0)</f>
        <v>0</v>
      </c>
      <c r="AA196" s="24">
        <f>IF(AA195&gt;0,ROUND(AA195+Z196-Y196,2),0)</f>
        <v>0</v>
      </c>
      <c r="AB196" s="24">
        <f>IF(AA195&gt;0,ROUND(AB195+ROUND(ROUND(AB195*100,0)*ROUND(Y$7*10000,0)/12000000,0)/100+0.02,2),0)</f>
        <v>0</v>
      </c>
      <c r="AC196" s="24">
        <f>IF(AE195&gt;0,IF(AND(ROUND(AE195+AD196-ROUND(AC$6+IF(AC$5=$C196,$E$5+$E196,0),2),2)&gt;0,ROUND(AE195+AD196-ROUND(AC$6+IF(AC$5=$C196,$E$5+$E196,0),2),2)&lt;=AF196,ROUND(AE195+AD196-ROUND(AC$6+IF(AC$5=$C196,$E$5+$E196,0),2),2)*10&lt;=ROUND(AC$6+IF(AC$5=$C196,$E$5+$E196,0),2)),ROUND(AE195+AD196,2),MIN(ROUND(AC$6+IF(AC$5=$C196,$E$5+$E196,0),2),ROUND(AE195+AD196,2))),0)</f>
        <v>0</v>
      </c>
      <c r="AD196" s="24">
        <f>IF(AE195&gt;0,ROUND(ROUND(AE195*100,0)*ROUND(AC$7*10000,0)/12000000,0)/100,0)</f>
        <v>0</v>
      </c>
      <c r="AE196" s="24">
        <f>IF(AE195&gt;0,ROUND(AE195+AD196-AC196,2),0)</f>
        <v>0</v>
      </c>
      <c r="AF196" s="24">
        <f>IF(AE195&gt;0,ROUND(AF195+ROUND(ROUND(AF195*100,0)*ROUND(AC$7*10000,0)/12000000,0)/100+0.02,2),0)</f>
        <v>0</v>
      </c>
      <c r="AG196" s="24">
        <f>IF(AI195&gt;0,IF(AND(ROUND(AI195+AH196-ROUND(AG$6+IF(AG$5=$C196,$E$5+$E196,0),2),2)&gt;0,ROUND(AI195+AH196-ROUND(AG$6+IF(AG$5=$C196,$E$5+$E196,0),2),2)&lt;=AJ196,ROUND(AI195+AH196-ROUND(AG$6+IF(AG$5=$C196,$E$5+$E196,0),2),2)*10&lt;=ROUND(AG$6+IF(AG$5=$C196,$E$5+$E196,0),2)),ROUND(AI195+AH196,2),MIN(ROUND(AG$6+IF(AG$5=$C196,$E$5+$E196,0),2),ROUND(AI195+AH196,2))),0)</f>
        <v>0</v>
      </c>
      <c r="AH196" s="24">
        <f>IF(AI195&gt;0,ROUND(ROUND(AI195*100,0)*ROUND(AG$7*10000,0)/12000000,0)/100,0)</f>
        <v>0</v>
      </c>
      <c r="AI196" s="24">
        <f>IF(AI195&gt;0,ROUND(AI195+AH196-AG196,2),0)</f>
        <v>0</v>
      </c>
      <c r="AJ196" s="24">
        <f>IF(AI195&gt;0,ROUND(AJ195+ROUND(ROUND(AJ195*100,0)*ROUND(AG$7*10000,0)/12000000,0)/100+0.02,2),0)</f>
        <v>0</v>
      </c>
      <c r="AK196" s="24">
        <f>IF(AM195&gt;0,IF(AND(ROUND(AM195+AL196-ROUND(AK$6+IF(AK$5=$C196,$E$5+$E196,0),2),2)&gt;0,ROUND(AM195+AL196-ROUND(AK$6+IF(AK$5=$C196,$E$5+$E196,0),2),2)&lt;=AN196,ROUND(AM195+AL196-ROUND(AK$6+IF(AK$5=$C196,$E$5+$E196,0),2),2)*10&lt;=ROUND(AK$6+IF(AK$5=$C196,$E$5+$E196,0),2)),ROUND(AM195+AL196,2),MIN(ROUND(AK$6+IF(AK$5=$C196,$E$5+$E196,0),2),ROUND(AM195+AL196,2))),0)</f>
        <v>0</v>
      </c>
      <c r="AL196" s="24">
        <f>IF(AM195&gt;0,ROUND(ROUND(AM195*100,0)*ROUND(AK$7*10000,0)/12000000,0)/100,0)</f>
        <v>0</v>
      </c>
      <c r="AM196" s="24">
        <f>IF(AM195&gt;0,ROUND(AM195+AL196-AK196,2),0)</f>
        <v>0</v>
      </c>
      <c r="AN196" s="24">
        <f>IF(AM195&gt;0,ROUND(AN195+ROUND(ROUND(AN195*100,0)*ROUND(AK$7*10000,0)/12000000,0)/100+0.02,2),0)</f>
        <v>0</v>
      </c>
      <c r="AO196" s="24">
        <f>IF(AQ195&gt;0,IF(AND(ROUND(AQ195+AP196-ROUND(AO$6+IF(AO$5=$C196,$E$5+$E196,0),2),2)&gt;0,ROUND(AQ195+AP196-ROUND(AO$6+IF(AO$5=$C196,$E$5+$E196,0),2),2)&lt;=AR196,ROUND(AQ195+AP196-ROUND(AO$6+IF(AO$5=$C196,$E$5+$E196,0),2),2)*10&lt;=ROUND(AO$6+IF(AO$5=$C196,$E$5+$E196,0),2)),ROUND(AQ195+AP196,2),MIN(ROUND(AO$6+IF(AO$5=$C196,$E$5+$E196,0),2),ROUND(AQ195+AP196,2))),0)</f>
        <v>0</v>
      </c>
      <c r="AP196" s="24">
        <f>IF(AQ195&gt;0,ROUND(ROUND(AQ195*100,0)*ROUND(AO$7*10000,0)/12000000,0)/100,0)</f>
        <v>0</v>
      </c>
      <c r="AQ196" s="24">
        <f>IF(AQ195&gt;0,ROUND(AQ195+AP196-AO196,2),0)</f>
        <v>0</v>
      </c>
      <c r="AR196" s="24">
        <f>IF(AQ195&gt;0,ROUND(AR195+ROUND(ROUND(AR195*100,0)*ROUND(AO$7*10000,0)/12000000,0)/100+0.02,2),0)</f>
        <v>0</v>
      </c>
      <c r="AS196" s="24">
        <f>IF(AU195&gt;0,IF(AND(ROUND(AU195+AT196-ROUND(AS$6+IF(AS$5=$C196,$E$5+$E196,0),2),2)&gt;0,ROUND(AU195+AT196-ROUND(AS$6+IF(AS$5=$C196,$E$5+$E196,0),2),2)&lt;=AV196,ROUND(AU195+AT196-ROUND(AS$6+IF(AS$5=$C196,$E$5+$E196,0),2),2)*10&lt;=ROUND(AS$6+IF(AS$5=$C196,$E$5+$E196,0),2)),ROUND(AU195+AT196,2),MIN(ROUND(AS$6+IF(AS$5=$C196,$E$5+$E196,0),2),ROUND(AU195+AT196,2))),0)</f>
        <v>0</v>
      </c>
      <c r="AT196" s="24">
        <f>IF(AU195&gt;0,ROUND(ROUND(AU195*100,0)*ROUND(AS$7*10000,0)/12000000,0)/100,0)</f>
        <v>0</v>
      </c>
      <c r="AU196" s="24">
        <f>IF(AU195&gt;0,ROUND(AU195+AT196-AS196,2),0)</f>
        <v>0</v>
      </c>
      <c r="AV196" s="24">
        <f>IF(AU195&gt;0,ROUND(AV195+ROUND(ROUND(AV195*100,0)*ROUND(AS$7*10000,0)/12000000,0)/100+0.02,2),0)</f>
        <v>0</v>
      </c>
    </row>
    <row r="197" spans="1:48" x14ac:dyDescent="0.25">
      <c r="A197" s="17" t="str">
        <f>IF(F197&gt;0,187,"")</f>
        <v/>
      </c>
      <c r="B197" s="18" t="str">
        <f>IF(F197&gt;0,EDATE($E$6,187),"")</f>
        <v/>
      </c>
      <c r="C197" s="21">
        <f>IF(H196&gt;0,MIN(IF(K196&gt;0,I$5,99),IF(O196&gt;0,M$5,99),IF(S196&gt;0,Q$5,99),IF(W196&gt;0,U$5,99),IF(AA196&gt;0,Y$5,99),IF(AE196&gt;0,AC$5,99),IF(AI196&gt;0,AG$5,99),IF(AM196&gt;0,AK$5,99),IF(AQ196&gt;0,AO$5,99),IF(AU196&gt;0,AS$5,99)),0)</f>
        <v>0</v>
      </c>
      <c r="D197" t="str">
        <f>IF(C197&gt;0,INDEX($I$4:$AV$4,1,MATCH(C197,$I$5:$AV$5,0)),"")</f>
        <v/>
      </c>
      <c r="E197" s="24">
        <f>ROUND(IF(AND(I$8&gt;0,K196=0),I$6,0)+IF(AND(M$8&gt;0,O196=0),M$6,0)+IF(AND(Q$8&gt;0,S196=0),Q$6,0)+IF(AND(U$8&gt;0,W196=0),U$6,0)+IF(AND(Y$8&gt;0,AA196=0),Y$6,0)+IF(AND(AC$8&gt;0,AE196=0),AC$6,0)+IF(AND(AG$8&gt;0,AI196=0),AG$6,0)+IF(AND(AK$8&gt;0,AM196=0),AK$6,0)+IF(AND(AO$8&gt;0,AQ196=0),AO$6,0)+IF(AND(AS$8&gt;0,AU196=0),AS$6,0),2)</f>
        <v>325</v>
      </c>
      <c r="F197" s="24">
        <f>ROUND(I197+M197+Q197+U197+Y197+AC197+AG197+AK197+AO197+AS197,2)</f>
        <v>0</v>
      </c>
      <c r="G197" s="24">
        <f>ROUND(J197+N197+R197+V197+Z197+AD197+AH197+AL197+AP197+AT197,2)</f>
        <v>0</v>
      </c>
      <c r="H197" s="24">
        <f>ROUND(K197+O197+S197+W197+AA197+AE197+AI197+AM197+AQ197+AU197,2)</f>
        <v>0</v>
      </c>
      <c r="I197" s="24">
        <f>IF(K196&gt;0,IF(AND(ROUND(K196+J197-ROUND(I$6+IF(I$5=$C197,$E$5+$E197,0),2),2)&gt;0,ROUND(K196+J197-ROUND(I$6+IF(I$5=$C197,$E$5+$E197,0),2),2)&lt;=L197,ROUND(K196+J197-ROUND(I$6+IF(I$5=$C197,$E$5+$E197,0),2),2)*10&lt;=ROUND(I$6+IF(I$5=$C197,$E$5+$E197,0),2)),ROUND(K196+J197,2),MIN(ROUND(I$6+IF(I$5=$C197,$E$5+$E197,0),2),ROUND(K196+J197,2))),0)</f>
        <v>0</v>
      </c>
      <c r="J197" s="24">
        <f>IF(K196&gt;0,ROUND(ROUND(K196*100,0)*ROUND(I$7*10000,0)/12000000,0)/100,0)</f>
        <v>0</v>
      </c>
      <c r="K197" s="24">
        <f>IF(K196&gt;0,ROUND(K196+J197-I197,2),0)</f>
        <v>0</v>
      </c>
      <c r="L197" s="24">
        <f>IF(K196&gt;0,ROUND(L196+ROUND(ROUND(L196*100,0)*ROUND(I$7*10000,0)/12000000,0)/100+0.02,2),0)</f>
        <v>0</v>
      </c>
      <c r="M197" s="24">
        <f>IF(O196&gt;0,IF(AND(ROUND(O196+N197-ROUND(M$6+IF(M$5=$C197,$E$5+$E197,0),2),2)&gt;0,ROUND(O196+N197-ROUND(M$6+IF(M$5=$C197,$E$5+$E197,0),2),2)&lt;=P197,ROUND(O196+N197-ROUND(M$6+IF(M$5=$C197,$E$5+$E197,0),2),2)*10&lt;=ROUND(M$6+IF(M$5=$C197,$E$5+$E197,0),2)),ROUND(O196+N197,2),MIN(ROUND(M$6+IF(M$5=$C197,$E$5+$E197,0),2),ROUND(O196+N197,2))),0)</f>
        <v>0</v>
      </c>
      <c r="N197" s="24">
        <f>IF(O196&gt;0,ROUND(ROUND(O196*100,0)*ROUND(M$7*10000,0)/12000000,0)/100,0)</f>
        <v>0</v>
      </c>
      <c r="O197" s="24">
        <f>IF(O196&gt;0,ROUND(O196+N197-M197,2),0)</f>
        <v>0</v>
      </c>
      <c r="P197" s="24">
        <f>IF(O196&gt;0,ROUND(P196+ROUND(ROUND(P196*100,0)*ROUND(M$7*10000,0)/12000000,0)/100+0.02,2),0)</f>
        <v>0</v>
      </c>
      <c r="Q197" s="24">
        <f>IF(S196&gt;0,IF(AND(ROUND(S196+R197-ROUND(Q$6+IF(Q$5=$C197,$E$5+$E197,0),2),2)&gt;0,ROUND(S196+R197-ROUND(Q$6+IF(Q$5=$C197,$E$5+$E197,0),2),2)&lt;=T197,ROUND(S196+R197-ROUND(Q$6+IF(Q$5=$C197,$E$5+$E197,0),2),2)*10&lt;=ROUND(Q$6+IF(Q$5=$C197,$E$5+$E197,0),2)),ROUND(S196+R197,2),MIN(ROUND(Q$6+IF(Q$5=$C197,$E$5+$E197,0),2),ROUND(S196+R197,2))),0)</f>
        <v>0</v>
      </c>
      <c r="R197" s="24">
        <f>IF(S196&gt;0,ROUND(ROUND(S196*100,0)*ROUND(Q$7*10000,0)/12000000,0)/100,0)</f>
        <v>0</v>
      </c>
      <c r="S197" s="24">
        <f>IF(S196&gt;0,ROUND(S196+R197-Q197,2),0)</f>
        <v>0</v>
      </c>
      <c r="T197" s="24">
        <f>IF(S196&gt;0,ROUND(T196+ROUND(ROUND(T196*100,0)*ROUND(Q$7*10000,0)/12000000,0)/100+0.02,2),0)</f>
        <v>0</v>
      </c>
      <c r="U197" s="24">
        <f>IF(W196&gt;0,IF(AND(ROUND(W196+V197-ROUND(U$6+IF(U$5=$C197,$E$5+$E197,0),2),2)&gt;0,ROUND(W196+V197-ROUND(U$6+IF(U$5=$C197,$E$5+$E197,0),2),2)&lt;=X197,ROUND(W196+V197-ROUND(U$6+IF(U$5=$C197,$E$5+$E197,0),2),2)*10&lt;=ROUND(U$6+IF(U$5=$C197,$E$5+$E197,0),2)),ROUND(W196+V197,2),MIN(ROUND(U$6+IF(U$5=$C197,$E$5+$E197,0),2),ROUND(W196+V197,2))),0)</f>
        <v>0</v>
      </c>
      <c r="V197" s="24">
        <f>IF(W196&gt;0,ROUND(ROUND(W196*100,0)*ROUND(U$7*10000,0)/12000000,0)/100,0)</f>
        <v>0</v>
      </c>
      <c r="W197" s="24">
        <f>IF(W196&gt;0,ROUND(W196+V197-U197,2),0)</f>
        <v>0</v>
      </c>
      <c r="X197" s="24">
        <f>IF(W196&gt;0,ROUND(X196+ROUND(ROUND(X196*100,0)*ROUND(U$7*10000,0)/12000000,0)/100+0.02,2),0)</f>
        <v>0</v>
      </c>
      <c r="Y197" s="24">
        <f>IF(AA196&gt;0,IF(AND(ROUND(AA196+Z197-ROUND(Y$6+IF(Y$5=$C197,$E$5+$E197,0),2),2)&gt;0,ROUND(AA196+Z197-ROUND(Y$6+IF(Y$5=$C197,$E$5+$E197,0),2),2)&lt;=AB197,ROUND(AA196+Z197-ROUND(Y$6+IF(Y$5=$C197,$E$5+$E197,0),2),2)*10&lt;=ROUND(Y$6+IF(Y$5=$C197,$E$5+$E197,0),2)),ROUND(AA196+Z197,2),MIN(ROUND(Y$6+IF(Y$5=$C197,$E$5+$E197,0),2),ROUND(AA196+Z197,2))),0)</f>
        <v>0</v>
      </c>
      <c r="Z197" s="24">
        <f>IF(AA196&gt;0,ROUND(ROUND(AA196*100,0)*ROUND(Y$7*10000,0)/12000000,0)/100,0)</f>
        <v>0</v>
      </c>
      <c r="AA197" s="24">
        <f>IF(AA196&gt;0,ROUND(AA196+Z197-Y197,2),0)</f>
        <v>0</v>
      </c>
      <c r="AB197" s="24">
        <f>IF(AA196&gt;0,ROUND(AB196+ROUND(ROUND(AB196*100,0)*ROUND(Y$7*10000,0)/12000000,0)/100+0.02,2),0)</f>
        <v>0</v>
      </c>
      <c r="AC197" s="24">
        <f>IF(AE196&gt;0,IF(AND(ROUND(AE196+AD197-ROUND(AC$6+IF(AC$5=$C197,$E$5+$E197,0),2),2)&gt;0,ROUND(AE196+AD197-ROUND(AC$6+IF(AC$5=$C197,$E$5+$E197,0),2),2)&lt;=AF197,ROUND(AE196+AD197-ROUND(AC$6+IF(AC$5=$C197,$E$5+$E197,0),2),2)*10&lt;=ROUND(AC$6+IF(AC$5=$C197,$E$5+$E197,0),2)),ROUND(AE196+AD197,2),MIN(ROUND(AC$6+IF(AC$5=$C197,$E$5+$E197,0),2),ROUND(AE196+AD197,2))),0)</f>
        <v>0</v>
      </c>
      <c r="AD197" s="24">
        <f>IF(AE196&gt;0,ROUND(ROUND(AE196*100,0)*ROUND(AC$7*10000,0)/12000000,0)/100,0)</f>
        <v>0</v>
      </c>
      <c r="AE197" s="24">
        <f>IF(AE196&gt;0,ROUND(AE196+AD197-AC197,2),0)</f>
        <v>0</v>
      </c>
      <c r="AF197" s="24">
        <f>IF(AE196&gt;0,ROUND(AF196+ROUND(ROUND(AF196*100,0)*ROUND(AC$7*10000,0)/12000000,0)/100+0.02,2),0)</f>
        <v>0</v>
      </c>
      <c r="AG197" s="24">
        <f>IF(AI196&gt;0,IF(AND(ROUND(AI196+AH197-ROUND(AG$6+IF(AG$5=$C197,$E$5+$E197,0),2),2)&gt;0,ROUND(AI196+AH197-ROUND(AG$6+IF(AG$5=$C197,$E$5+$E197,0),2),2)&lt;=AJ197,ROUND(AI196+AH197-ROUND(AG$6+IF(AG$5=$C197,$E$5+$E197,0),2),2)*10&lt;=ROUND(AG$6+IF(AG$5=$C197,$E$5+$E197,0),2)),ROUND(AI196+AH197,2),MIN(ROUND(AG$6+IF(AG$5=$C197,$E$5+$E197,0),2),ROUND(AI196+AH197,2))),0)</f>
        <v>0</v>
      </c>
      <c r="AH197" s="24">
        <f>IF(AI196&gt;0,ROUND(ROUND(AI196*100,0)*ROUND(AG$7*10000,0)/12000000,0)/100,0)</f>
        <v>0</v>
      </c>
      <c r="AI197" s="24">
        <f>IF(AI196&gt;0,ROUND(AI196+AH197-AG197,2),0)</f>
        <v>0</v>
      </c>
      <c r="AJ197" s="24">
        <f>IF(AI196&gt;0,ROUND(AJ196+ROUND(ROUND(AJ196*100,0)*ROUND(AG$7*10000,0)/12000000,0)/100+0.02,2),0)</f>
        <v>0</v>
      </c>
      <c r="AK197" s="24">
        <f>IF(AM196&gt;0,IF(AND(ROUND(AM196+AL197-ROUND(AK$6+IF(AK$5=$C197,$E$5+$E197,0),2),2)&gt;0,ROUND(AM196+AL197-ROUND(AK$6+IF(AK$5=$C197,$E$5+$E197,0),2),2)&lt;=AN197,ROUND(AM196+AL197-ROUND(AK$6+IF(AK$5=$C197,$E$5+$E197,0),2),2)*10&lt;=ROUND(AK$6+IF(AK$5=$C197,$E$5+$E197,0),2)),ROUND(AM196+AL197,2),MIN(ROUND(AK$6+IF(AK$5=$C197,$E$5+$E197,0),2),ROUND(AM196+AL197,2))),0)</f>
        <v>0</v>
      </c>
      <c r="AL197" s="24">
        <f>IF(AM196&gt;0,ROUND(ROUND(AM196*100,0)*ROUND(AK$7*10000,0)/12000000,0)/100,0)</f>
        <v>0</v>
      </c>
      <c r="AM197" s="24">
        <f>IF(AM196&gt;0,ROUND(AM196+AL197-AK197,2),0)</f>
        <v>0</v>
      </c>
      <c r="AN197" s="24">
        <f>IF(AM196&gt;0,ROUND(AN196+ROUND(ROUND(AN196*100,0)*ROUND(AK$7*10000,0)/12000000,0)/100+0.02,2),0)</f>
        <v>0</v>
      </c>
      <c r="AO197" s="24">
        <f>IF(AQ196&gt;0,IF(AND(ROUND(AQ196+AP197-ROUND(AO$6+IF(AO$5=$C197,$E$5+$E197,0),2),2)&gt;0,ROUND(AQ196+AP197-ROUND(AO$6+IF(AO$5=$C197,$E$5+$E197,0),2),2)&lt;=AR197,ROUND(AQ196+AP197-ROUND(AO$6+IF(AO$5=$C197,$E$5+$E197,0),2),2)*10&lt;=ROUND(AO$6+IF(AO$5=$C197,$E$5+$E197,0),2)),ROUND(AQ196+AP197,2),MIN(ROUND(AO$6+IF(AO$5=$C197,$E$5+$E197,0),2),ROUND(AQ196+AP197,2))),0)</f>
        <v>0</v>
      </c>
      <c r="AP197" s="24">
        <f>IF(AQ196&gt;0,ROUND(ROUND(AQ196*100,0)*ROUND(AO$7*10000,0)/12000000,0)/100,0)</f>
        <v>0</v>
      </c>
      <c r="AQ197" s="24">
        <f>IF(AQ196&gt;0,ROUND(AQ196+AP197-AO197,2),0)</f>
        <v>0</v>
      </c>
      <c r="AR197" s="24">
        <f>IF(AQ196&gt;0,ROUND(AR196+ROUND(ROUND(AR196*100,0)*ROUND(AO$7*10000,0)/12000000,0)/100+0.02,2),0)</f>
        <v>0</v>
      </c>
      <c r="AS197" s="24">
        <f>IF(AU196&gt;0,IF(AND(ROUND(AU196+AT197-ROUND(AS$6+IF(AS$5=$C197,$E$5+$E197,0),2),2)&gt;0,ROUND(AU196+AT197-ROUND(AS$6+IF(AS$5=$C197,$E$5+$E197,0),2),2)&lt;=AV197,ROUND(AU196+AT197-ROUND(AS$6+IF(AS$5=$C197,$E$5+$E197,0),2),2)*10&lt;=ROUND(AS$6+IF(AS$5=$C197,$E$5+$E197,0),2)),ROUND(AU196+AT197,2),MIN(ROUND(AS$6+IF(AS$5=$C197,$E$5+$E197,0),2),ROUND(AU196+AT197,2))),0)</f>
        <v>0</v>
      </c>
      <c r="AT197" s="24">
        <f>IF(AU196&gt;0,ROUND(ROUND(AU196*100,0)*ROUND(AS$7*10000,0)/12000000,0)/100,0)</f>
        <v>0</v>
      </c>
      <c r="AU197" s="24">
        <f>IF(AU196&gt;0,ROUND(AU196+AT197-AS197,2),0)</f>
        <v>0</v>
      </c>
      <c r="AV197" s="24">
        <f>IF(AU196&gt;0,ROUND(AV196+ROUND(ROUND(AV196*100,0)*ROUND(AS$7*10000,0)/12000000,0)/100+0.02,2),0)</f>
        <v>0</v>
      </c>
    </row>
    <row r="198" spans="1:48" x14ac:dyDescent="0.25">
      <c r="A198" s="17" t="str">
        <f>IF(F198&gt;0,188,"")</f>
        <v/>
      </c>
      <c r="B198" s="18" t="str">
        <f>IF(F198&gt;0,EDATE($E$6,188),"")</f>
        <v/>
      </c>
      <c r="C198" s="21">
        <f>IF(H197&gt;0,MIN(IF(K197&gt;0,I$5,99),IF(O197&gt;0,M$5,99),IF(S197&gt;0,Q$5,99),IF(W197&gt;0,U$5,99),IF(AA197&gt;0,Y$5,99),IF(AE197&gt;0,AC$5,99),IF(AI197&gt;0,AG$5,99),IF(AM197&gt;0,AK$5,99),IF(AQ197&gt;0,AO$5,99),IF(AU197&gt;0,AS$5,99)),0)</f>
        <v>0</v>
      </c>
      <c r="D198" t="str">
        <f>IF(C198&gt;0,INDEX($I$4:$AV$4,1,MATCH(C198,$I$5:$AV$5,0)),"")</f>
        <v/>
      </c>
      <c r="E198" s="24">
        <f>ROUND(IF(AND(I$8&gt;0,K197=0),I$6,0)+IF(AND(M$8&gt;0,O197=0),M$6,0)+IF(AND(Q$8&gt;0,S197=0),Q$6,0)+IF(AND(U$8&gt;0,W197=0),U$6,0)+IF(AND(Y$8&gt;0,AA197=0),Y$6,0)+IF(AND(AC$8&gt;0,AE197=0),AC$6,0)+IF(AND(AG$8&gt;0,AI197=0),AG$6,0)+IF(AND(AK$8&gt;0,AM197=0),AK$6,0)+IF(AND(AO$8&gt;0,AQ197=0),AO$6,0)+IF(AND(AS$8&gt;0,AU197=0),AS$6,0),2)</f>
        <v>325</v>
      </c>
      <c r="F198" s="24">
        <f>ROUND(I198+M198+Q198+U198+Y198+AC198+AG198+AK198+AO198+AS198,2)</f>
        <v>0</v>
      </c>
      <c r="G198" s="24">
        <f>ROUND(J198+N198+R198+V198+Z198+AD198+AH198+AL198+AP198+AT198,2)</f>
        <v>0</v>
      </c>
      <c r="H198" s="24">
        <f>ROUND(K198+O198+S198+W198+AA198+AE198+AI198+AM198+AQ198+AU198,2)</f>
        <v>0</v>
      </c>
      <c r="I198" s="24">
        <f>IF(K197&gt;0,IF(AND(ROUND(K197+J198-ROUND(I$6+IF(I$5=$C198,$E$5+$E198,0),2),2)&gt;0,ROUND(K197+J198-ROUND(I$6+IF(I$5=$C198,$E$5+$E198,0),2),2)&lt;=L198,ROUND(K197+J198-ROUND(I$6+IF(I$5=$C198,$E$5+$E198,0),2),2)*10&lt;=ROUND(I$6+IF(I$5=$C198,$E$5+$E198,0),2)),ROUND(K197+J198,2),MIN(ROUND(I$6+IF(I$5=$C198,$E$5+$E198,0),2),ROUND(K197+J198,2))),0)</f>
        <v>0</v>
      </c>
      <c r="J198" s="24">
        <f>IF(K197&gt;0,ROUND(ROUND(K197*100,0)*ROUND(I$7*10000,0)/12000000,0)/100,0)</f>
        <v>0</v>
      </c>
      <c r="K198" s="24">
        <f>IF(K197&gt;0,ROUND(K197+J198-I198,2),0)</f>
        <v>0</v>
      </c>
      <c r="L198" s="24">
        <f>IF(K197&gt;0,ROUND(L197+ROUND(ROUND(L197*100,0)*ROUND(I$7*10000,0)/12000000,0)/100+0.02,2),0)</f>
        <v>0</v>
      </c>
      <c r="M198" s="24">
        <f>IF(O197&gt;0,IF(AND(ROUND(O197+N198-ROUND(M$6+IF(M$5=$C198,$E$5+$E198,0),2),2)&gt;0,ROUND(O197+N198-ROUND(M$6+IF(M$5=$C198,$E$5+$E198,0),2),2)&lt;=P198,ROUND(O197+N198-ROUND(M$6+IF(M$5=$C198,$E$5+$E198,0),2),2)*10&lt;=ROUND(M$6+IF(M$5=$C198,$E$5+$E198,0),2)),ROUND(O197+N198,2),MIN(ROUND(M$6+IF(M$5=$C198,$E$5+$E198,0),2),ROUND(O197+N198,2))),0)</f>
        <v>0</v>
      </c>
      <c r="N198" s="24">
        <f>IF(O197&gt;0,ROUND(ROUND(O197*100,0)*ROUND(M$7*10000,0)/12000000,0)/100,0)</f>
        <v>0</v>
      </c>
      <c r="O198" s="24">
        <f>IF(O197&gt;0,ROUND(O197+N198-M198,2),0)</f>
        <v>0</v>
      </c>
      <c r="P198" s="24">
        <f>IF(O197&gt;0,ROUND(P197+ROUND(ROUND(P197*100,0)*ROUND(M$7*10000,0)/12000000,0)/100+0.02,2),0)</f>
        <v>0</v>
      </c>
      <c r="Q198" s="24">
        <f>IF(S197&gt;0,IF(AND(ROUND(S197+R198-ROUND(Q$6+IF(Q$5=$C198,$E$5+$E198,0),2),2)&gt;0,ROUND(S197+R198-ROUND(Q$6+IF(Q$5=$C198,$E$5+$E198,0),2),2)&lt;=T198,ROUND(S197+R198-ROUND(Q$6+IF(Q$5=$C198,$E$5+$E198,0),2),2)*10&lt;=ROUND(Q$6+IF(Q$5=$C198,$E$5+$E198,0),2)),ROUND(S197+R198,2),MIN(ROUND(Q$6+IF(Q$5=$C198,$E$5+$E198,0),2),ROUND(S197+R198,2))),0)</f>
        <v>0</v>
      </c>
      <c r="R198" s="24">
        <f>IF(S197&gt;0,ROUND(ROUND(S197*100,0)*ROUND(Q$7*10000,0)/12000000,0)/100,0)</f>
        <v>0</v>
      </c>
      <c r="S198" s="24">
        <f>IF(S197&gt;0,ROUND(S197+R198-Q198,2),0)</f>
        <v>0</v>
      </c>
      <c r="T198" s="24">
        <f>IF(S197&gt;0,ROUND(T197+ROUND(ROUND(T197*100,0)*ROUND(Q$7*10000,0)/12000000,0)/100+0.02,2),0)</f>
        <v>0</v>
      </c>
      <c r="U198" s="24">
        <f>IF(W197&gt;0,IF(AND(ROUND(W197+V198-ROUND(U$6+IF(U$5=$C198,$E$5+$E198,0),2),2)&gt;0,ROUND(W197+V198-ROUND(U$6+IF(U$5=$C198,$E$5+$E198,0),2),2)&lt;=X198,ROUND(W197+V198-ROUND(U$6+IF(U$5=$C198,$E$5+$E198,0),2),2)*10&lt;=ROUND(U$6+IF(U$5=$C198,$E$5+$E198,0),2)),ROUND(W197+V198,2),MIN(ROUND(U$6+IF(U$5=$C198,$E$5+$E198,0),2),ROUND(W197+V198,2))),0)</f>
        <v>0</v>
      </c>
      <c r="V198" s="24">
        <f>IF(W197&gt;0,ROUND(ROUND(W197*100,0)*ROUND(U$7*10000,0)/12000000,0)/100,0)</f>
        <v>0</v>
      </c>
      <c r="W198" s="24">
        <f>IF(W197&gt;0,ROUND(W197+V198-U198,2),0)</f>
        <v>0</v>
      </c>
      <c r="X198" s="24">
        <f>IF(W197&gt;0,ROUND(X197+ROUND(ROUND(X197*100,0)*ROUND(U$7*10000,0)/12000000,0)/100+0.02,2),0)</f>
        <v>0</v>
      </c>
      <c r="Y198" s="24">
        <f>IF(AA197&gt;0,IF(AND(ROUND(AA197+Z198-ROUND(Y$6+IF(Y$5=$C198,$E$5+$E198,0),2),2)&gt;0,ROUND(AA197+Z198-ROUND(Y$6+IF(Y$5=$C198,$E$5+$E198,0),2),2)&lt;=AB198,ROUND(AA197+Z198-ROUND(Y$6+IF(Y$5=$C198,$E$5+$E198,0),2),2)*10&lt;=ROUND(Y$6+IF(Y$5=$C198,$E$5+$E198,0),2)),ROUND(AA197+Z198,2),MIN(ROUND(Y$6+IF(Y$5=$C198,$E$5+$E198,0),2),ROUND(AA197+Z198,2))),0)</f>
        <v>0</v>
      </c>
      <c r="Z198" s="24">
        <f>IF(AA197&gt;0,ROUND(ROUND(AA197*100,0)*ROUND(Y$7*10000,0)/12000000,0)/100,0)</f>
        <v>0</v>
      </c>
      <c r="AA198" s="24">
        <f>IF(AA197&gt;0,ROUND(AA197+Z198-Y198,2),0)</f>
        <v>0</v>
      </c>
      <c r="AB198" s="24">
        <f>IF(AA197&gt;0,ROUND(AB197+ROUND(ROUND(AB197*100,0)*ROUND(Y$7*10000,0)/12000000,0)/100+0.02,2),0)</f>
        <v>0</v>
      </c>
      <c r="AC198" s="24">
        <f>IF(AE197&gt;0,IF(AND(ROUND(AE197+AD198-ROUND(AC$6+IF(AC$5=$C198,$E$5+$E198,0),2),2)&gt;0,ROUND(AE197+AD198-ROUND(AC$6+IF(AC$5=$C198,$E$5+$E198,0),2),2)&lt;=AF198,ROUND(AE197+AD198-ROUND(AC$6+IF(AC$5=$C198,$E$5+$E198,0),2),2)*10&lt;=ROUND(AC$6+IF(AC$5=$C198,$E$5+$E198,0),2)),ROUND(AE197+AD198,2),MIN(ROUND(AC$6+IF(AC$5=$C198,$E$5+$E198,0),2),ROUND(AE197+AD198,2))),0)</f>
        <v>0</v>
      </c>
      <c r="AD198" s="24">
        <f>IF(AE197&gt;0,ROUND(ROUND(AE197*100,0)*ROUND(AC$7*10000,0)/12000000,0)/100,0)</f>
        <v>0</v>
      </c>
      <c r="AE198" s="24">
        <f>IF(AE197&gt;0,ROUND(AE197+AD198-AC198,2),0)</f>
        <v>0</v>
      </c>
      <c r="AF198" s="24">
        <f>IF(AE197&gt;0,ROUND(AF197+ROUND(ROUND(AF197*100,0)*ROUND(AC$7*10000,0)/12000000,0)/100+0.02,2),0)</f>
        <v>0</v>
      </c>
      <c r="AG198" s="24">
        <f>IF(AI197&gt;0,IF(AND(ROUND(AI197+AH198-ROUND(AG$6+IF(AG$5=$C198,$E$5+$E198,0),2),2)&gt;0,ROUND(AI197+AH198-ROUND(AG$6+IF(AG$5=$C198,$E$5+$E198,0),2),2)&lt;=AJ198,ROUND(AI197+AH198-ROUND(AG$6+IF(AG$5=$C198,$E$5+$E198,0),2),2)*10&lt;=ROUND(AG$6+IF(AG$5=$C198,$E$5+$E198,0),2)),ROUND(AI197+AH198,2),MIN(ROUND(AG$6+IF(AG$5=$C198,$E$5+$E198,0),2),ROUND(AI197+AH198,2))),0)</f>
        <v>0</v>
      </c>
      <c r="AH198" s="24">
        <f>IF(AI197&gt;0,ROUND(ROUND(AI197*100,0)*ROUND(AG$7*10000,0)/12000000,0)/100,0)</f>
        <v>0</v>
      </c>
      <c r="AI198" s="24">
        <f>IF(AI197&gt;0,ROUND(AI197+AH198-AG198,2),0)</f>
        <v>0</v>
      </c>
      <c r="AJ198" s="24">
        <f>IF(AI197&gt;0,ROUND(AJ197+ROUND(ROUND(AJ197*100,0)*ROUND(AG$7*10000,0)/12000000,0)/100+0.02,2),0)</f>
        <v>0</v>
      </c>
      <c r="AK198" s="24">
        <f>IF(AM197&gt;0,IF(AND(ROUND(AM197+AL198-ROUND(AK$6+IF(AK$5=$C198,$E$5+$E198,0),2),2)&gt;0,ROUND(AM197+AL198-ROUND(AK$6+IF(AK$5=$C198,$E$5+$E198,0),2),2)&lt;=AN198,ROUND(AM197+AL198-ROUND(AK$6+IF(AK$5=$C198,$E$5+$E198,0),2),2)*10&lt;=ROUND(AK$6+IF(AK$5=$C198,$E$5+$E198,0),2)),ROUND(AM197+AL198,2),MIN(ROUND(AK$6+IF(AK$5=$C198,$E$5+$E198,0),2),ROUND(AM197+AL198,2))),0)</f>
        <v>0</v>
      </c>
      <c r="AL198" s="24">
        <f>IF(AM197&gt;0,ROUND(ROUND(AM197*100,0)*ROUND(AK$7*10000,0)/12000000,0)/100,0)</f>
        <v>0</v>
      </c>
      <c r="AM198" s="24">
        <f>IF(AM197&gt;0,ROUND(AM197+AL198-AK198,2),0)</f>
        <v>0</v>
      </c>
      <c r="AN198" s="24">
        <f>IF(AM197&gt;0,ROUND(AN197+ROUND(ROUND(AN197*100,0)*ROUND(AK$7*10000,0)/12000000,0)/100+0.02,2),0)</f>
        <v>0</v>
      </c>
      <c r="AO198" s="24">
        <f>IF(AQ197&gt;0,IF(AND(ROUND(AQ197+AP198-ROUND(AO$6+IF(AO$5=$C198,$E$5+$E198,0),2),2)&gt;0,ROUND(AQ197+AP198-ROUND(AO$6+IF(AO$5=$C198,$E$5+$E198,0),2),2)&lt;=AR198,ROUND(AQ197+AP198-ROUND(AO$6+IF(AO$5=$C198,$E$5+$E198,0),2),2)*10&lt;=ROUND(AO$6+IF(AO$5=$C198,$E$5+$E198,0),2)),ROUND(AQ197+AP198,2),MIN(ROUND(AO$6+IF(AO$5=$C198,$E$5+$E198,0),2),ROUND(AQ197+AP198,2))),0)</f>
        <v>0</v>
      </c>
      <c r="AP198" s="24">
        <f>IF(AQ197&gt;0,ROUND(ROUND(AQ197*100,0)*ROUND(AO$7*10000,0)/12000000,0)/100,0)</f>
        <v>0</v>
      </c>
      <c r="AQ198" s="24">
        <f>IF(AQ197&gt;0,ROUND(AQ197+AP198-AO198,2),0)</f>
        <v>0</v>
      </c>
      <c r="AR198" s="24">
        <f>IF(AQ197&gt;0,ROUND(AR197+ROUND(ROUND(AR197*100,0)*ROUND(AO$7*10000,0)/12000000,0)/100+0.02,2),0)</f>
        <v>0</v>
      </c>
      <c r="AS198" s="24">
        <f>IF(AU197&gt;0,IF(AND(ROUND(AU197+AT198-ROUND(AS$6+IF(AS$5=$C198,$E$5+$E198,0),2),2)&gt;0,ROUND(AU197+AT198-ROUND(AS$6+IF(AS$5=$C198,$E$5+$E198,0),2),2)&lt;=AV198,ROUND(AU197+AT198-ROUND(AS$6+IF(AS$5=$C198,$E$5+$E198,0),2),2)*10&lt;=ROUND(AS$6+IF(AS$5=$C198,$E$5+$E198,0),2)),ROUND(AU197+AT198,2),MIN(ROUND(AS$6+IF(AS$5=$C198,$E$5+$E198,0),2),ROUND(AU197+AT198,2))),0)</f>
        <v>0</v>
      </c>
      <c r="AT198" s="24">
        <f>IF(AU197&gt;0,ROUND(ROUND(AU197*100,0)*ROUND(AS$7*10000,0)/12000000,0)/100,0)</f>
        <v>0</v>
      </c>
      <c r="AU198" s="24">
        <f>IF(AU197&gt;0,ROUND(AU197+AT198-AS198,2),0)</f>
        <v>0</v>
      </c>
      <c r="AV198" s="24">
        <f>IF(AU197&gt;0,ROUND(AV197+ROUND(ROUND(AV197*100,0)*ROUND(AS$7*10000,0)/12000000,0)/100+0.02,2),0)</f>
        <v>0</v>
      </c>
    </row>
    <row r="199" spans="1:48" x14ac:dyDescent="0.25">
      <c r="A199" s="17" t="str">
        <f>IF(F199&gt;0,189,"")</f>
        <v/>
      </c>
      <c r="B199" s="18" t="str">
        <f>IF(F199&gt;0,EDATE($E$6,189),"")</f>
        <v/>
      </c>
      <c r="C199" s="21">
        <f>IF(H198&gt;0,MIN(IF(K198&gt;0,I$5,99),IF(O198&gt;0,M$5,99),IF(S198&gt;0,Q$5,99),IF(W198&gt;0,U$5,99),IF(AA198&gt;0,Y$5,99),IF(AE198&gt;0,AC$5,99),IF(AI198&gt;0,AG$5,99),IF(AM198&gt;0,AK$5,99),IF(AQ198&gt;0,AO$5,99),IF(AU198&gt;0,AS$5,99)),0)</f>
        <v>0</v>
      </c>
      <c r="D199" t="str">
        <f>IF(C199&gt;0,INDEX($I$4:$AV$4,1,MATCH(C199,$I$5:$AV$5,0)),"")</f>
        <v/>
      </c>
      <c r="E199" s="24">
        <f>ROUND(IF(AND(I$8&gt;0,K198=0),I$6,0)+IF(AND(M$8&gt;0,O198=0),M$6,0)+IF(AND(Q$8&gt;0,S198=0),Q$6,0)+IF(AND(U$8&gt;0,W198=0),U$6,0)+IF(AND(Y$8&gt;0,AA198=0),Y$6,0)+IF(AND(AC$8&gt;0,AE198=0),AC$6,0)+IF(AND(AG$8&gt;0,AI198=0),AG$6,0)+IF(AND(AK$8&gt;0,AM198=0),AK$6,0)+IF(AND(AO$8&gt;0,AQ198=0),AO$6,0)+IF(AND(AS$8&gt;0,AU198=0),AS$6,0),2)</f>
        <v>325</v>
      </c>
      <c r="F199" s="24">
        <f>ROUND(I199+M199+Q199+U199+Y199+AC199+AG199+AK199+AO199+AS199,2)</f>
        <v>0</v>
      </c>
      <c r="G199" s="24">
        <f>ROUND(J199+N199+R199+V199+Z199+AD199+AH199+AL199+AP199+AT199,2)</f>
        <v>0</v>
      </c>
      <c r="H199" s="24">
        <f>ROUND(K199+O199+S199+W199+AA199+AE199+AI199+AM199+AQ199+AU199,2)</f>
        <v>0</v>
      </c>
      <c r="I199" s="24">
        <f>IF(K198&gt;0,IF(AND(ROUND(K198+J199-ROUND(I$6+IF(I$5=$C199,$E$5+$E199,0),2),2)&gt;0,ROUND(K198+J199-ROUND(I$6+IF(I$5=$C199,$E$5+$E199,0),2),2)&lt;=L199,ROUND(K198+J199-ROUND(I$6+IF(I$5=$C199,$E$5+$E199,0),2),2)*10&lt;=ROUND(I$6+IF(I$5=$C199,$E$5+$E199,0),2)),ROUND(K198+J199,2),MIN(ROUND(I$6+IF(I$5=$C199,$E$5+$E199,0),2),ROUND(K198+J199,2))),0)</f>
        <v>0</v>
      </c>
      <c r="J199" s="24">
        <f>IF(K198&gt;0,ROUND(ROUND(K198*100,0)*ROUND(I$7*10000,0)/12000000,0)/100,0)</f>
        <v>0</v>
      </c>
      <c r="K199" s="24">
        <f>IF(K198&gt;0,ROUND(K198+J199-I199,2),0)</f>
        <v>0</v>
      </c>
      <c r="L199" s="24">
        <f>IF(K198&gt;0,ROUND(L198+ROUND(ROUND(L198*100,0)*ROUND(I$7*10000,0)/12000000,0)/100+0.02,2),0)</f>
        <v>0</v>
      </c>
      <c r="M199" s="24">
        <f>IF(O198&gt;0,IF(AND(ROUND(O198+N199-ROUND(M$6+IF(M$5=$C199,$E$5+$E199,0),2),2)&gt;0,ROUND(O198+N199-ROUND(M$6+IF(M$5=$C199,$E$5+$E199,0),2),2)&lt;=P199,ROUND(O198+N199-ROUND(M$6+IF(M$5=$C199,$E$5+$E199,0),2),2)*10&lt;=ROUND(M$6+IF(M$5=$C199,$E$5+$E199,0),2)),ROUND(O198+N199,2),MIN(ROUND(M$6+IF(M$5=$C199,$E$5+$E199,0),2),ROUND(O198+N199,2))),0)</f>
        <v>0</v>
      </c>
      <c r="N199" s="24">
        <f>IF(O198&gt;0,ROUND(ROUND(O198*100,0)*ROUND(M$7*10000,0)/12000000,0)/100,0)</f>
        <v>0</v>
      </c>
      <c r="O199" s="24">
        <f>IF(O198&gt;0,ROUND(O198+N199-M199,2),0)</f>
        <v>0</v>
      </c>
      <c r="P199" s="24">
        <f>IF(O198&gt;0,ROUND(P198+ROUND(ROUND(P198*100,0)*ROUND(M$7*10000,0)/12000000,0)/100+0.02,2),0)</f>
        <v>0</v>
      </c>
      <c r="Q199" s="24">
        <f>IF(S198&gt;0,IF(AND(ROUND(S198+R199-ROUND(Q$6+IF(Q$5=$C199,$E$5+$E199,0),2),2)&gt;0,ROUND(S198+R199-ROUND(Q$6+IF(Q$5=$C199,$E$5+$E199,0),2),2)&lt;=T199,ROUND(S198+R199-ROUND(Q$6+IF(Q$5=$C199,$E$5+$E199,0),2),2)*10&lt;=ROUND(Q$6+IF(Q$5=$C199,$E$5+$E199,0),2)),ROUND(S198+R199,2),MIN(ROUND(Q$6+IF(Q$5=$C199,$E$5+$E199,0),2),ROUND(S198+R199,2))),0)</f>
        <v>0</v>
      </c>
      <c r="R199" s="24">
        <f>IF(S198&gt;0,ROUND(ROUND(S198*100,0)*ROUND(Q$7*10000,0)/12000000,0)/100,0)</f>
        <v>0</v>
      </c>
      <c r="S199" s="24">
        <f>IF(S198&gt;0,ROUND(S198+R199-Q199,2),0)</f>
        <v>0</v>
      </c>
      <c r="T199" s="24">
        <f>IF(S198&gt;0,ROUND(T198+ROUND(ROUND(T198*100,0)*ROUND(Q$7*10000,0)/12000000,0)/100+0.02,2),0)</f>
        <v>0</v>
      </c>
      <c r="U199" s="24">
        <f>IF(W198&gt;0,IF(AND(ROUND(W198+V199-ROUND(U$6+IF(U$5=$C199,$E$5+$E199,0),2),2)&gt;0,ROUND(W198+V199-ROUND(U$6+IF(U$5=$C199,$E$5+$E199,0),2),2)&lt;=X199,ROUND(W198+V199-ROUND(U$6+IF(U$5=$C199,$E$5+$E199,0),2),2)*10&lt;=ROUND(U$6+IF(U$5=$C199,$E$5+$E199,0),2)),ROUND(W198+V199,2),MIN(ROUND(U$6+IF(U$5=$C199,$E$5+$E199,0),2),ROUND(W198+V199,2))),0)</f>
        <v>0</v>
      </c>
      <c r="V199" s="24">
        <f>IF(W198&gt;0,ROUND(ROUND(W198*100,0)*ROUND(U$7*10000,0)/12000000,0)/100,0)</f>
        <v>0</v>
      </c>
      <c r="W199" s="24">
        <f>IF(W198&gt;0,ROUND(W198+V199-U199,2),0)</f>
        <v>0</v>
      </c>
      <c r="X199" s="24">
        <f>IF(W198&gt;0,ROUND(X198+ROUND(ROUND(X198*100,0)*ROUND(U$7*10000,0)/12000000,0)/100+0.02,2),0)</f>
        <v>0</v>
      </c>
      <c r="Y199" s="24">
        <f>IF(AA198&gt;0,IF(AND(ROUND(AA198+Z199-ROUND(Y$6+IF(Y$5=$C199,$E$5+$E199,0),2),2)&gt;0,ROUND(AA198+Z199-ROUND(Y$6+IF(Y$5=$C199,$E$5+$E199,0),2),2)&lt;=AB199,ROUND(AA198+Z199-ROUND(Y$6+IF(Y$5=$C199,$E$5+$E199,0),2),2)*10&lt;=ROUND(Y$6+IF(Y$5=$C199,$E$5+$E199,0),2)),ROUND(AA198+Z199,2),MIN(ROUND(Y$6+IF(Y$5=$C199,$E$5+$E199,0),2),ROUND(AA198+Z199,2))),0)</f>
        <v>0</v>
      </c>
      <c r="Z199" s="24">
        <f>IF(AA198&gt;0,ROUND(ROUND(AA198*100,0)*ROUND(Y$7*10000,0)/12000000,0)/100,0)</f>
        <v>0</v>
      </c>
      <c r="AA199" s="24">
        <f>IF(AA198&gt;0,ROUND(AA198+Z199-Y199,2),0)</f>
        <v>0</v>
      </c>
      <c r="AB199" s="24">
        <f>IF(AA198&gt;0,ROUND(AB198+ROUND(ROUND(AB198*100,0)*ROUND(Y$7*10000,0)/12000000,0)/100+0.02,2),0)</f>
        <v>0</v>
      </c>
      <c r="AC199" s="24">
        <f>IF(AE198&gt;0,IF(AND(ROUND(AE198+AD199-ROUND(AC$6+IF(AC$5=$C199,$E$5+$E199,0),2),2)&gt;0,ROUND(AE198+AD199-ROUND(AC$6+IF(AC$5=$C199,$E$5+$E199,0),2),2)&lt;=AF199,ROUND(AE198+AD199-ROUND(AC$6+IF(AC$5=$C199,$E$5+$E199,0),2),2)*10&lt;=ROUND(AC$6+IF(AC$5=$C199,$E$5+$E199,0),2)),ROUND(AE198+AD199,2),MIN(ROUND(AC$6+IF(AC$5=$C199,$E$5+$E199,0),2),ROUND(AE198+AD199,2))),0)</f>
        <v>0</v>
      </c>
      <c r="AD199" s="24">
        <f>IF(AE198&gt;0,ROUND(ROUND(AE198*100,0)*ROUND(AC$7*10000,0)/12000000,0)/100,0)</f>
        <v>0</v>
      </c>
      <c r="AE199" s="24">
        <f>IF(AE198&gt;0,ROUND(AE198+AD199-AC199,2),0)</f>
        <v>0</v>
      </c>
      <c r="AF199" s="24">
        <f>IF(AE198&gt;0,ROUND(AF198+ROUND(ROUND(AF198*100,0)*ROUND(AC$7*10000,0)/12000000,0)/100+0.02,2),0)</f>
        <v>0</v>
      </c>
      <c r="AG199" s="24">
        <f>IF(AI198&gt;0,IF(AND(ROUND(AI198+AH199-ROUND(AG$6+IF(AG$5=$C199,$E$5+$E199,0),2),2)&gt;0,ROUND(AI198+AH199-ROUND(AG$6+IF(AG$5=$C199,$E$5+$E199,0),2),2)&lt;=AJ199,ROUND(AI198+AH199-ROUND(AG$6+IF(AG$5=$C199,$E$5+$E199,0),2),2)*10&lt;=ROUND(AG$6+IF(AG$5=$C199,$E$5+$E199,0),2)),ROUND(AI198+AH199,2),MIN(ROUND(AG$6+IF(AG$5=$C199,$E$5+$E199,0),2),ROUND(AI198+AH199,2))),0)</f>
        <v>0</v>
      </c>
      <c r="AH199" s="24">
        <f>IF(AI198&gt;0,ROUND(ROUND(AI198*100,0)*ROUND(AG$7*10000,0)/12000000,0)/100,0)</f>
        <v>0</v>
      </c>
      <c r="AI199" s="24">
        <f>IF(AI198&gt;0,ROUND(AI198+AH199-AG199,2),0)</f>
        <v>0</v>
      </c>
      <c r="AJ199" s="24">
        <f>IF(AI198&gt;0,ROUND(AJ198+ROUND(ROUND(AJ198*100,0)*ROUND(AG$7*10000,0)/12000000,0)/100+0.02,2),0)</f>
        <v>0</v>
      </c>
      <c r="AK199" s="24">
        <f>IF(AM198&gt;0,IF(AND(ROUND(AM198+AL199-ROUND(AK$6+IF(AK$5=$C199,$E$5+$E199,0),2),2)&gt;0,ROUND(AM198+AL199-ROUND(AK$6+IF(AK$5=$C199,$E$5+$E199,0),2),2)&lt;=AN199,ROUND(AM198+AL199-ROUND(AK$6+IF(AK$5=$C199,$E$5+$E199,0),2),2)*10&lt;=ROUND(AK$6+IF(AK$5=$C199,$E$5+$E199,0),2)),ROUND(AM198+AL199,2),MIN(ROUND(AK$6+IF(AK$5=$C199,$E$5+$E199,0),2),ROUND(AM198+AL199,2))),0)</f>
        <v>0</v>
      </c>
      <c r="AL199" s="24">
        <f>IF(AM198&gt;0,ROUND(ROUND(AM198*100,0)*ROUND(AK$7*10000,0)/12000000,0)/100,0)</f>
        <v>0</v>
      </c>
      <c r="AM199" s="24">
        <f>IF(AM198&gt;0,ROUND(AM198+AL199-AK199,2),0)</f>
        <v>0</v>
      </c>
      <c r="AN199" s="24">
        <f>IF(AM198&gt;0,ROUND(AN198+ROUND(ROUND(AN198*100,0)*ROUND(AK$7*10000,0)/12000000,0)/100+0.02,2),0)</f>
        <v>0</v>
      </c>
      <c r="AO199" s="24">
        <f>IF(AQ198&gt;0,IF(AND(ROUND(AQ198+AP199-ROUND(AO$6+IF(AO$5=$C199,$E$5+$E199,0),2),2)&gt;0,ROUND(AQ198+AP199-ROUND(AO$6+IF(AO$5=$C199,$E$5+$E199,0),2),2)&lt;=AR199,ROUND(AQ198+AP199-ROUND(AO$6+IF(AO$5=$C199,$E$5+$E199,0),2),2)*10&lt;=ROUND(AO$6+IF(AO$5=$C199,$E$5+$E199,0),2)),ROUND(AQ198+AP199,2),MIN(ROUND(AO$6+IF(AO$5=$C199,$E$5+$E199,0),2),ROUND(AQ198+AP199,2))),0)</f>
        <v>0</v>
      </c>
      <c r="AP199" s="24">
        <f>IF(AQ198&gt;0,ROUND(ROUND(AQ198*100,0)*ROUND(AO$7*10000,0)/12000000,0)/100,0)</f>
        <v>0</v>
      </c>
      <c r="AQ199" s="24">
        <f>IF(AQ198&gt;0,ROUND(AQ198+AP199-AO199,2),0)</f>
        <v>0</v>
      </c>
      <c r="AR199" s="24">
        <f>IF(AQ198&gt;0,ROUND(AR198+ROUND(ROUND(AR198*100,0)*ROUND(AO$7*10000,0)/12000000,0)/100+0.02,2),0)</f>
        <v>0</v>
      </c>
      <c r="AS199" s="24">
        <f>IF(AU198&gt;0,IF(AND(ROUND(AU198+AT199-ROUND(AS$6+IF(AS$5=$C199,$E$5+$E199,0),2),2)&gt;0,ROUND(AU198+AT199-ROUND(AS$6+IF(AS$5=$C199,$E$5+$E199,0),2),2)&lt;=AV199,ROUND(AU198+AT199-ROUND(AS$6+IF(AS$5=$C199,$E$5+$E199,0),2),2)*10&lt;=ROUND(AS$6+IF(AS$5=$C199,$E$5+$E199,0),2)),ROUND(AU198+AT199,2),MIN(ROUND(AS$6+IF(AS$5=$C199,$E$5+$E199,0),2),ROUND(AU198+AT199,2))),0)</f>
        <v>0</v>
      </c>
      <c r="AT199" s="24">
        <f>IF(AU198&gt;0,ROUND(ROUND(AU198*100,0)*ROUND(AS$7*10000,0)/12000000,0)/100,0)</f>
        <v>0</v>
      </c>
      <c r="AU199" s="24">
        <f>IF(AU198&gt;0,ROUND(AU198+AT199-AS199,2),0)</f>
        <v>0</v>
      </c>
      <c r="AV199" s="24">
        <f>IF(AU198&gt;0,ROUND(AV198+ROUND(ROUND(AV198*100,0)*ROUND(AS$7*10000,0)/12000000,0)/100+0.02,2),0)</f>
        <v>0</v>
      </c>
    </row>
    <row r="200" spans="1:48" x14ac:dyDescent="0.25">
      <c r="A200" s="17" t="str">
        <f>IF(F200&gt;0,190,"")</f>
        <v/>
      </c>
      <c r="B200" s="18" t="str">
        <f>IF(F200&gt;0,EDATE($E$6,190),"")</f>
        <v/>
      </c>
      <c r="C200" s="21">
        <f>IF(H199&gt;0,MIN(IF(K199&gt;0,I$5,99),IF(O199&gt;0,M$5,99),IF(S199&gt;0,Q$5,99),IF(W199&gt;0,U$5,99),IF(AA199&gt;0,Y$5,99),IF(AE199&gt;0,AC$5,99),IF(AI199&gt;0,AG$5,99),IF(AM199&gt;0,AK$5,99),IF(AQ199&gt;0,AO$5,99),IF(AU199&gt;0,AS$5,99)),0)</f>
        <v>0</v>
      </c>
      <c r="D200" t="str">
        <f>IF(C200&gt;0,INDEX($I$4:$AV$4,1,MATCH(C200,$I$5:$AV$5,0)),"")</f>
        <v/>
      </c>
      <c r="E200" s="24">
        <f>ROUND(IF(AND(I$8&gt;0,K199=0),I$6,0)+IF(AND(M$8&gt;0,O199=0),M$6,0)+IF(AND(Q$8&gt;0,S199=0),Q$6,0)+IF(AND(U$8&gt;0,W199=0),U$6,0)+IF(AND(Y$8&gt;0,AA199=0),Y$6,0)+IF(AND(AC$8&gt;0,AE199=0),AC$6,0)+IF(AND(AG$8&gt;0,AI199=0),AG$6,0)+IF(AND(AK$8&gt;0,AM199=0),AK$6,0)+IF(AND(AO$8&gt;0,AQ199=0),AO$6,0)+IF(AND(AS$8&gt;0,AU199=0),AS$6,0),2)</f>
        <v>325</v>
      </c>
      <c r="F200" s="24">
        <f>ROUND(I200+M200+Q200+U200+Y200+AC200+AG200+AK200+AO200+AS200,2)</f>
        <v>0</v>
      </c>
      <c r="G200" s="24">
        <f>ROUND(J200+N200+R200+V200+Z200+AD200+AH200+AL200+AP200+AT200,2)</f>
        <v>0</v>
      </c>
      <c r="H200" s="24">
        <f>ROUND(K200+O200+S200+W200+AA200+AE200+AI200+AM200+AQ200+AU200,2)</f>
        <v>0</v>
      </c>
      <c r="I200" s="24">
        <f>IF(K199&gt;0,IF(AND(ROUND(K199+J200-ROUND(I$6+IF(I$5=$C200,$E$5+$E200,0),2),2)&gt;0,ROUND(K199+J200-ROUND(I$6+IF(I$5=$C200,$E$5+$E200,0),2),2)&lt;=L200,ROUND(K199+J200-ROUND(I$6+IF(I$5=$C200,$E$5+$E200,0),2),2)*10&lt;=ROUND(I$6+IF(I$5=$C200,$E$5+$E200,0),2)),ROUND(K199+J200,2),MIN(ROUND(I$6+IF(I$5=$C200,$E$5+$E200,0),2),ROUND(K199+J200,2))),0)</f>
        <v>0</v>
      </c>
      <c r="J200" s="24">
        <f>IF(K199&gt;0,ROUND(ROUND(K199*100,0)*ROUND(I$7*10000,0)/12000000,0)/100,0)</f>
        <v>0</v>
      </c>
      <c r="K200" s="24">
        <f>IF(K199&gt;0,ROUND(K199+J200-I200,2),0)</f>
        <v>0</v>
      </c>
      <c r="L200" s="24">
        <f>IF(K199&gt;0,ROUND(L199+ROUND(ROUND(L199*100,0)*ROUND(I$7*10000,0)/12000000,0)/100+0.02,2),0)</f>
        <v>0</v>
      </c>
      <c r="M200" s="24">
        <f>IF(O199&gt;0,IF(AND(ROUND(O199+N200-ROUND(M$6+IF(M$5=$C200,$E$5+$E200,0),2),2)&gt;0,ROUND(O199+N200-ROUND(M$6+IF(M$5=$C200,$E$5+$E200,0),2),2)&lt;=P200,ROUND(O199+N200-ROUND(M$6+IF(M$5=$C200,$E$5+$E200,0),2),2)*10&lt;=ROUND(M$6+IF(M$5=$C200,$E$5+$E200,0),2)),ROUND(O199+N200,2),MIN(ROUND(M$6+IF(M$5=$C200,$E$5+$E200,0),2),ROUND(O199+N200,2))),0)</f>
        <v>0</v>
      </c>
      <c r="N200" s="24">
        <f>IF(O199&gt;0,ROUND(ROUND(O199*100,0)*ROUND(M$7*10000,0)/12000000,0)/100,0)</f>
        <v>0</v>
      </c>
      <c r="O200" s="24">
        <f>IF(O199&gt;0,ROUND(O199+N200-M200,2),0)</f>
        <v>0</v>
      </c>
      <c r="P200" s="24">
        <f>IF(O199&gt;0,ROUND(P199+ROUND(ROUND(P199*100,0)*ROUND(M$7*10000,0)/12000000,0)/100+0.02,2),0)</f>
        <v>0</v>
      </c>
      <c r="Q200" s="24">
        <f>IF(S199&gt;0,IF(AND(ROUND(S199+R200-ROUND(Q$6+IF(Q$5=$C200,$E$5+$E200,0),2),2)&gt;0,ROUND(S199+R200-ROUND(Q$6+IF(Q$5=$C200,$E$5+$E200,0),2),2)&lt;=T200,ROUND(S199+R200-ROUND(Q$6+IF(Q$5=$C200,$E$5+$E200,0),2),2)*10&lt;=ROUND(Q$6+IF(Q$5=$C200,$E$5+$E200,0),2)),ROUND(S199+R200,2),MIN(ROUND(Q$6+IF(Q$5=$C200,$E$5+$E200,0),2),ROUND(S199+R200,2))),0)</f>
        <v>0</v>
      </c>
      <c r="R200" s="24">
        <f>IF(S199&gt;0,ROUND(ROUND(S199*100,0)*ROUND(Q$7*10000,0)/12000000,0)/100,0)</f>
        <v>0</v>
      </c>
      <c r="S200" s="24">
        <f>IF(S199&gt;0,ROUND(S199+R200-Q200,2),0)</f>
        <v>0</v>
      </c>
      <c r="T200" s="24">
        <f>IF(S199&gt;0,ROUND(T199+ROUND(ROUND(T199*100,0)*ROUND(Q$7*10000,0)/12000000,0)/100+0.02,2),0)</f>
        <v>0</v>
      </c>
      <c r="U200" s="24">
        <f>IF(W199&gt;0,IF(AND(ROUND(W199+V200-ROUND(U$6+IF(U$5=$C200,$E$5+$E200,0),2),2)&gt;0,ROUND(W199+V200-ROUND(U$6+IF(U$5=$C200,$E$5+$E200,0),2),2)&lt;=X200,ROUND(W199+V200-ROUND(U$6+IF(U$5=$C200,$E$5+$E200,0),2),2)*10&lt;=ROUND(U$6+IF(U$5=$C200,$E$5+$E200,0),2)),ROUND(W199+V200,2),MIN(ROUND(U$6+IF(U$5=$C200,$E$5+$E200,0),2),ROUND(W199+V200,2))),0)</f>
        <v>0</v>
      </c>
      <c r="V200" s="24">
        <f>IF(W199&gt;0,ROUND(ROUND(W199*100,0)*ROUND(U$7*10000,0)/12000000,0)/100,0)</f>
        <v>0</v>
      </c>
      <c r="W200" s="24">
        <f>IF(W199&gt;0,ROUND(W199+V200-U200,2),0)</f>
        <v>0</v>
      </c>
      <c r="X200" s="24">
        <f>IF(W199&gt;0,ROUND(X199+ROUND(ROUND(X199*100,0)*ROUND(U$7*10000,0)/12000000,0)/100+0.02,2),0)</f>
        <v>0</v>
      </c>
      <c r="Y200" s="24">
        <f>IF(AA199&gt;0,IF(AND(ROUND(AA199+Z200-ROUND(Y$6+IF(Y$5=$C200,$E$5+$E200,0),2),2)&gt;0,ROUND(AA199+Z200-ROUND(Y$6+IF(Y$5=$C200,$E$5+$E200,0),2),2)&lt;=AB200,ROUND(AA199+Z200-ROUND(Y$6+IF(Y$5=$C200,$E$5+$E200,0),2),2)*10&lt;=ROUND(Y$6+IF(Y$5=$C200,$E$5+$E200,0),2)),ROUND(AA199+Z200,2),MIN(ROUND(Y$6+IF(Y$5=$C200,$E$5+$E200,0),2),ROUND(AA199+Z200,2))),0)</f>
        <v>0</v>
      </c>
      <c r="Z200" s="24">
        <f>IF(AA199&gt;0,ROUND(ROUND(AA199*100,0)*ROUND(Y$7*10000,0)/12000000,0)/100,0)</f>
        <v>0</v>
      </c>
      <c r="AA200" s="24">
        <f>IF(AA199&gt;0,ROUND(AA199+Z200-Y200,2),0)</f>
        <v>0</v>
      </c>
      <c r="AB200" s="24">
        <f>IF(AA199&gt;0,ROUND(AB199+ROUND(ROUND(AB199*100,0)*ROUND(Y$7*10000,0)/12000000,0)/100+0.02,2),0)</f>
        <v>0</v>
      </c>
      <c r="AC200" s="24">
        <f>IF(AE199&gt;0,IF(AND(ROUND(AE199+AD200-ROUND(AC$6+IF(AC$5=$C200,$E$5+$E200,0),2),2)&gt;0,ROUND(AE199+AD200-ROUND(AC$6+IF(AC$5=$C200,$E$5+$E200,0),2),2)&lt;=AF200,ROUND(AE199+AD200-ROUND(AC$6+IF(AC$5=$C200,$E$5+$E200,0),2),2)*10&lt;=ROUND(AC$6+IF(AC$5=$C200,$E$5+$E200,0),2)),ROUND(AE199+AD200,2),MIN(ROUND(AC$6+IF(AC$5=$C200,$E$5+$E200,0),2),ROUND(AE199+AD200,2))),0)</f>
        <v>0</v>
      </c>
      <c r="AD200" s="24">
        <f>IF(AE199&gt;0,ROUND(ROUND(AE199*100,0)*ROUND(AC$7*10000,0)/12000000,0)/100,0)</f>
        <v>0</v>
      </c>
      <c r="AE200" s="24">
        <f>IF(AE199&gt;0,ROUND(AE199+AD200-AC200,2),0)</f>
        <v>0</v>
      </c>
      <c r="AF200" s="24">
        <f>IF(AE199&gt;0,ROUND(AF199+ROUND(ROUND(AF199*100,0)*ROUND(AC$7*10000,0)/12000000,0)/100+0.02,2),0)</f>
        <v>0</v>
      </c>
      <c r="AG200" s="24">
        <f>IF(AI199&gt;0,IF(AND(ROUND(AI199+AH200-ROUND(AG$6+IF(AG$5=$C200,$E$5+$E200,0),2),2)&gt;0,ROUND(AI199+AH200-ROUND(AG$6+IF(AG$5=$C200,$E$5+$E200,0),2),2)&lt;=AJ200,ROUND(AI199+AH200-ROUND(AG$6+IF(AG$5=$C200,$E$5+$E200,0),2),2)*10&lt;=ROUND(AG$6+IF(AG$5=$C200,$E$5+$E200,0),2)),ROUND(AI199+AH200,2),MIN(ROUND(AG$6+IF(AG$5=$C200,$E$5+$E200,0),2),ROUND(AI199+AH200,2))),0)</f>
        <v>0</v>
      </c>
      <c r="AH200" s="24">
        <f>IF(AI199&gt;0,ROUND(ROUND(AI199*100,0)*ROUND(AG$7*10000,0)/12000000,0)/100,0)</f>
        <v>0</v>
      </c>
      <c r="AI200" s="24">
        <f>IF(AI199&gt;0,ROUND(AI199+AH200-AG200,2),0)</f>
        <v>0</v>
      </c>
      <c r="AJ200" s="24">
        <f>IF(AI199&gt;0,ROUND(AJ199+ROUND(ROUND(AJ199*100,0)*ROUND(AG$7*10000,0)/12000000,0)/100+0.02,2),0)</f>
        <v>0</v>
      </c>
      <c r="AK200" s="24">
        <f>IF(AM199&gt;0,IF(AND(ROUND(AM199+AL200-ROUND(AK$6+IF(AK$5=$C200,$E$5+$E200,0),2),2)&gt;0,ROUND(AM199+AL200-ROUND(AK$6+IF(AK$5=$C200,$E$5+$E200,0),2),2)&lt;=AN200,ROUND(AM199+AL200-ROUND(AK$6+IF(AK$5=$C200,$E$5+$E200,0),2),2)*10&lt;=ROUND(AK$6+IF(AK$5=$C200,$E$5+$E200,0),2)),ROUND(AM199+AL200,2),MIN(ROUND(AK$6+IF(AK$5=$C200,$E$5+$E200,0),2),ROUND(AM199+AL200,2))),0)</f>
        <v>0</v>
      </c>
      <c r="AL200" s="24">
        <f>IF(AM199&gt;0,ROUND(ROUND(AM199*100,0)*ROUND(AK$7*10000,0)/12000000,0)/100,0)</f>
        <v>0</v>
      </c>
      <c r="AM200" s="24">
        <f>IF(AM199&gt;0,ROUND(AM199+AL200-AK200,2),0)</f>
        <v>0</v>
      </c>
      <c r="AN200" s="24">
        <f>IF(AM199&gt;0,ROUND(AN199+ROUND(ROUND(AN199*100,0)*ROUND(AK$7*10000,0)/12000000,0)/100+0.02,2),0)</f>
        <v>0</v>
      </c>
      <c r="AO200" s="24">
        <f>IF(AQ199&gt;0,IF(AND(ROUND(AQ199+AP200-ROUND(AO$6+IF(AO$5=$C200,$E$5+$E200,0),2),2)&gt;0,ROUND(AQ199+AP200-ROUND(AO$6+IF(AO$5=$C200,$E$5+$E200,0),2),2)&lt;=AR200,ROUND(AQ199+AP200-ROUND(AO$6+IF(AO$5=$C200,$E$5+$E200,0),2),2)*10&lt;=ROUND(AO$6+IF(AO$5=$C200,$E$5+$E200,0),2)),ROUND(AQ199+AP200,2),MIN(ROUND(AO$6+IF(AO$5=$C200,$E$5+$E200,0),2),ROUND(AQ199+AP200,2))),0)</f>
        <v>0</v>
      </c>
      <c r="AP200" s="24">
        <f>IF(AQ199&gt;0,ROUND(ROUND(AQ199*100,0)*ROUND(AO$7*10000,0)/12000000,0)/100,0)</f>
        <v>0</v>
      </c>
      <c r="AQ200" s="24">
        <f>IF(AQ199&gt;0,ROUND(AQ199+AP200-AO200,2),0)</f>
        <v>0</v>
      </c>
      <c r="AR200" s="24">
        <f>IF(AQ199&gt;0,ROUND(AR199+ROUND(ROUND(AR199*100,0)*ROUND(AO$7*10000,0)/12000000,0)/100+0.02,2),0)</f>
        <v>0</v>
      </c>
      <c r="AS200" s="24">
        <f>IF(AU199&gt;0,IF(AND(ROUND(AU199+AT200-ROUND(AS$6+IF(AS$5=$C200,$E$5+$E200,0),2),2)&gt;0,ROUND(AU199+AT200-ROUND(AS$6+IF(AS$5=$C200,$E$5+$E200,0),2),2)&lt;=AV200,ROUND(AU199+AT200-ROUND(AS$6+IF(AS$5=$C200,$E$5+$E200,0),2),2)*10&lt;=ROUND(AS$6+IF(AS$5=$C200,$E$5+$E200,0),2)),ROUND(AU199+AT200,2),MIN(ROUND(AS$6+IF(AS$5=$C200,$E$5+$E200,0),2),ROUND(AU199+AT200,2))),0)</f>
        <v>0</v>
      </c>
      <c r="AT200" s="24">
        <f>IF(AU199&gt;0,ROUND(ROUND(AU199*100,0)*ROUND(AS$7*10000,0)/12000000,0)/100,0)</f>
        <v>0</v>
      </c>
      <c r="AU200" s="24">
        <f>IF(AU199&gt;0,ROUND(AU199+AT200-AS200,2),0)</f>
        <v>0</v>
      </c>
      <c r="AV200" s="24">
        <f>IF(AU199&gt;0,ROUND(AV199+ROUND(ROUND(AV199*100,0)*ROUND(AS$7*10000,0)/12000000,0)/100+0.02,2),0)</f>
        <v>0</v>
      </c>
    </row>
    <row r="201" spans="1:48" x14ac:dyDescent="0.25">
      <c r="A201" s="17" t="str">
        <f>IF(F201&gt;0,191,"")</f>
        <v/>
      </c>
      <c r="B201" s="18" t="str">
        <f>IF(F201&gt;0,EDATE($E$6,191),"")</f>
        <v/>
      </c>
      <c r="C201" s="21">
        <f>IF(H200&gt;0,MIN(IF(K200&gt;0,I$5,99),IF(O200&gt;0,M$5,99),IF(S200&gt;0,Q$5,99),IF(W200&gt;0,U$5,99),IF(AA200&gt;0,Y$5,99),IF(AE200&gt;0,AC$5,99),IF(AI200&gt;0,AG$5,99),IF(AM200&gt;0,AK$5,99),IF(AQ200&gt;0,AO$5,99),IF(AU200&gt;0,AS$5,99)),0)</f>
        <v>0</v>
      </c>
      <c r="D201" t="str">
        <f>IF(C201&gt;0,INDEX($I$4:$AV$4,1,MATCH(C201,$I$5:$AV$5,0)),"")</f>
        <v/>
      </c>
      <c r="E201" s="24">
        <f>ROUND(IF(AND(I$8&gt;0,K200=0),I$6,0)+IF(AND(M$8&gt;0,O200=0),M$6,0)+IF(AND(Q$8&gt;0,S200=0),Q$6,0)+IF(AND(U$8&gt;0,W200=0),U$6,0)+IF(AND(Y$8&gt;0,AA200=0),Y$6,0)+IF(AND(AC$8&gt;0,AE200=0),AC$6,0)+IF(AND(AG$8&gt;0,AI200=0),AG$6,0)+IF(AND(AK$8&gt;0,AM200=0),AK$6,0)+IF(AND(AO$8&gt;0,AQ200=0),AO$6,0)+IF(AND(AS$8&gt;0,AU200=0),AS$6,0),2)</f>
        <v>325</v>
      </c>
      <c r="F201" s="24">
        <f>ROUND(I201+M201+Q201+U201+Y201+AC201+AG201+AK201+AO201+AS201,2)</f>
        <v>0</v>
      </c>
      <c r="G201" s="24">
        <f>ROUND(J201+N201+R201+V201+Z201+AD201+AH201+AL201+AP201+AT201,2)</f>
        <v>0</v>
      </c>
      <c r="H201" s="24">
        <f>ROUND(K201+O201+S201+W201+AA201+AE201+AI201+AM201+AQ201+AU201,2)</f>
        <v>0</v>
      </c>
      <c r="I201" s="24">
        <f>IF(K200&gt;0,IF(AND(ROUND(K200+J201-ROUND(I$6+IF(I$5=$C201,$E$5+$E201,0),2),2)&gt;0,ROUND(K200+J201-ROUND(I$6+IF(I$5=$C201,$E$5+$E201,0),2),2)&lt;=L201,ROUND(K200+J201-ROUND(I$6+IF(I$5=$C201,$E$5+$E201,0),2),2)*10&lt;=ROUND(I$6+IF(I$5=$C201,$E$5+$E201,0),2)),ROUND(K200+J201,2),MIN(ROUND(I$6+IF(I$5=$C201,$E$5+$E201,0),2),ROUND(K200+J201,2))),0)</f>
        <v>0</v>
      </c>
      <c r="J201" s="24">
        <f>IF(K200&gt;0,ROUND(ROUND(K200*100,0)*ROUND(I$7*10000,0)/12000000,0)/100,0)</f>
        <v>0</v>
      </c>
      <c r="K201" s="24">
        <f>IF(K200&gt;0,ROUND(K200+J201-I201,2),0)</f>
        <v>0</v>
      </c>
      <c r="L201" s="24">
        <f>IF(K200&gt;0,ROUND(L200+ROUND(ROUND(L200*100,0)*ROUND(I$7*10000,0)/12000000,0)/100+0.02,2),0)</f>
        <v>0</v>
      </c>
      <c r="M201" s="24">
        <f>IF(O200&gt;0,IF(AND(ROUND(O200+N201-ROUND(M$6+IF(M$5=$C201,$E$5+$E201,0),2),2)&gt;0,ROUND(O200+N201-ROUND(M$6+IF(M$5=$C201,$E$5+$E201,0),2),2)&lt;=P201,ROUND(O200+N201-ROUND(M$6+IF(M$5=$C201,$E$5+$E201,0),2),2)*10&lt;=ROUND(M$6+IF(M$5=$C201,$E$5+$E201,0),2)),ROUND(O200+N201,2),MIN(ROUND(M$6+IF(M$5=$C201,$E$5+$E201,0),2),ROUND(O200+N201,2))),0)</f>
        <v>0</v>
      </c>
      <c r="N201" s="24">
        <f>IF(O200&gt;0,ROUND(ROUND(O200*100,0)*ROUND(M$7*10000,0)/12000000,0)/100,0)</f>
        <v>0</v>
      </c>
      <c r="O201" s="24">
        <f>IF(O200&gt;0,ROUND(O200+N201-M201,2),0)</f>
        <v>0</v>
      </c>
      <c r="P201" s="24">
        <f>IF(O200&gt;0,ROUND(P200+ROUND(ROUND(P200*100,0)*ROUND(M$7*10000,0)/12000000,0)/100+0.02,2),0)</f>
        <v>0</v>
      </c>
      <c r="Q201" s="24">
        <f>IF(S200&gt;0,IF(AND(ROUND(S200+R201-ROUND(Q$6+IF(Q$5=$C201,$E$5+$E201,0),2),2)&gt;0,ROUND(S200+R201-ROUND(Q$6+IF(Q$5=$C201,$E$5+$E201,0),2),2)&lt;=T201,ROUND(S200+R201-ROUND(Q$6+IF(Q$5=$C201,$E$5+$E201,0),2),2)*10&lt;=ROUND(Q$6+IF(Q$5=$C201,$E$5+$E201,0),2)),ROUND(S200+R201,2),MIN(ROUND(Q$6+IF(Q$5=$C201,$E$5+$E201,0),2),ROUND(S200+R201,2))),0)</f>
        <v>0</v>
      </c>
      <c r="R201" s="24">
        <f>IF(S200&gt;0,ROUND(ROUND(S200*100,0)*ROUND(Q$7*10000,0)/12000000,0)/100,0)</f>
        <v>0</v>
      </c>
      <c r="S201" s="24">
        <f>IF(S200&gt;0,ROUND(S200+R201-Q201,2),0)</f>
        <v>0</v>
      </c>
      <c r="T201" s="24">
        <f>IF(S200&gt;0,ROUND(T200+ROUND(ROUND(T200*100,0)*ROUND(Q$7*10000,0)/12000000,0)/100+0.02,2),0)</f>
        <v>0</v>
      </c>
      <c r="U201" s="24">
        <f>IF(W200&gt;0,IF(AND(ROUND(W200+V201-ROUND(U$6+IF(U$5=$C201,$E$5+$E201,0),2),2)&gt;0,ROUND(W200+V201-ROUND(U$6+IF(U$5=$C201,$E$5+$E201,0),2),2)&lt;=X201,ROUND(W200+V201-ROUND(U$6+IF(U$5=$C201,$E$5+$E201,0),2),2)*10&lt;=ROUND(U$6+IF(U$5=$C201,$E$5+$E201,0),2)),ROUND(W200+V201,2),MIN(ROUND(U$6+IF(U$5=$C201,$E$5+$E201,0),2),ROUND(W200+V201,2))),0)</f>
        <v>0</v>
      </c>
      <c r="V201" s="24">
        <f>IF(W200&gt;0,ROUND(ROUND(W200*100,0)*ROUND(U$7*10000,0)/12000000,0)/100,0)</f>
        <v>0</v>
      </c>
      <c r="W201" s="24">
        <f>IF(W200&gt;0,ROUND(W200+V201-U201,2),0)</f>
        <v>0</v>
      </c>
      <c r="X201" s="24">
        <f>IF(W200&gt;0,ROUND(X200+ROUND(ROUND(X200*100,0)*ROUND(U$7*10000,0)/12000000,0)/100+0.02,2),0)</f>
        <v>0</v>
      </c>
      <c r="Y201" s="24">
        <f>IF(AA200&gt;0,IF(AND(ROUND(AA200+Z201-ROUND(Y$6+IF(Y$5=$C201,$E$5+$E201,0),2),2)&gt;0,ROUND(AA200+Z201-ROUND(Y$6+IF(Y$5=$C201,$E$5+$E201,0),2),2)&lt;=AB201,ROUND(AA200+Z201-ROUND(Y$6+IF(Y$5=$C201,$E$5+$E201,0),2),2)*10&lt;=ROUND(Y$6+IF(Y$5=$C201,$E$5+$E201,0),2)),ROUND(AA200+Z201,2),MIN(ROUND(Y$6+IF(Y$5=$C201,$E$5+$E201,0),2),ROUND(AA200+Z201,2))),0)</f>
        <v>0</v>
      </c>
      <c r="Z201" s="24">
        <f>IF(AA200&gt;0,ROUND(ROUND(AA200*100,0)*ROUND(Y$7*10000,0)/12000000,0)/100,0)</f>
        <v>0</v>
      </c>
      <c r="AA201" s="24">
        <f>IF(AA200&gt;0,ROUND(AA200+Z201-Y201,2),0)</f>
        <v>0</v>
      </c>
      <c r="AB201" s="24">
        <f>IF(AA200&gt;0,ROUND(AB200+ROUND(ROUND(AB200*100,0)*ROUND(Y$7*10000,0)/12000000,0)/100+0.02,2),0)</f>
        <v>0</v>
      </c>
      <c r="AC201" s="24">
        <f>IF(AE200&gt;0,IF(AND(ROUND(AE200+AD201-ROUND(AC$6+IF(AC$5=$C201,$E$5+$E201,0),2),2)&gt;0,ROUND(AE200+AD201-ROUND(AC$6+IF(AC$5=$C201,$E$5+$E201,0),2),2)&lt;=AF201,ROUND(AE200+AD201-ROUND(AC$6+IF(AC$5=$C201,$E$5+$E201,0),2),2)*10&lt;=ROUND(AC$6+IF(AC$5=$C201,$E$5+$E201,0),2)),ROUND(AE200+AD201,2),MIN(ROUND(AC$6+IF(AC$5=$C201,$E$5+$E201,0),2),ROUND(AE200+AD201,2))),0)</f>
        <v>0</v>
      </c>
      <c r="AD201" s="24">
        <f>IF(AE200&gt;0,ROUND(ROUND(AE200*100,0)*ROUND(AC$7*10000,0)/12000000,0)/100,0)</f>
        <v>0</v>
      </c>
      <c r="AE201" s="24">
        <f>IF(AE200&gt;0,ROUND(AE200+AD201-AC201,2),0)</f>
        <v>0</v>
      </c>
      <c r="AF201" s="24">
        <f>IF(AE200&gt;0,ROUND(AF200+ROUND(ROUND(AF200*100,0)*ROUND(AC$7*10000,0)/12000000,0)/100+0.02,2),0)</f>
        <v>0</v>
      </c>
      <c r="AG201" s="24">
        <f>IF(AI200&gt;0,IF(AND(ROUND(AI200+AH201-ROUND(AG$6+IF(AG$5=$C201,$E$5+$E201,0),2),2)&gt;0,ROUND(AI200+AH201-ROUND(AG$6+IF(AG$5=$C201,$E$5+$E201,0),2),2)&lt;=AJ201,ROUND(AI200+AH201-ROUND(AG$6+IF(AG$5=$C201,$E$5+$E201,0),2),2)*10&lt;=ROUND(AG$6+IF(AG$5=$C201,$E$5+$E201,0),2)),ROUND(AI200+AH201,2),MIN(ROUND(AG$6+IF(AG$5=$C201,$E$5+$E201,0),2),ROUND(AI200+AH201,2))),0)</f>
        <v>0</v>
      </c>
      <c r="AH201" s="24">
        <f>IF(AI200&gt;0,ROUND(ROUND(AI200*100,0)*ROUND(AG$7*10000,0)/12000000,0)/100,0)</f>
        <v>0</v>
      </c>
      <c r="AI201" s="24">
        <f>IF(AI200&gt;0,ROUND(AI200+AH201-AG201,2),0)</f>
        <v>0</v>
      </c>
      <c r="AJ201" s="24">
        <f>IF(AI200&gt;0,ROUND(AJ200+ROUND(ROUND(AJ200*100,0)*ROUND(AG$7*10000,0)/12000000,0)/100+0.02,2),0)</f>
        <v>0</v>
      </c>
      <c r="AK201" s="24">
        <f>IF(AM200&gt;0,IF(AND(ROUND(AM200+AL201-ROUND(AK$6+IF(AK$5=$C201,$E$5+$E201,0),2),2)&gt;0,ROUND(AM200+AL201-ROUND(AK$6+IF(AK$5=$C201,$E$5+$E201,0),2),2)&lt;=AN201,ROUND(AM200+AL201-ROUND(AK$6+IF(AK$5=$C201,$E$5+$E201,0),2),2)*10&lt;=ROUND(AK$6+IF(AK$5=$C201,$E$5+$E201,0),2)),ROUND(AM200+AL201,2),MIN(ROUND(AK$6+IF(AK$5=$C201,$E$5+$E201,0),2),ROUND(AM200+AL201,2))),0)</f>
        <v>0</v>
      </c>
      <c r="AL201" s="24">
        <f>IF(AM200&gt;0,ROUND(ROUND(AM200*100,0)*ROUND(AK$7*10000,0)/12000000,0)/100,0)</f>
        <v>0</v>
      </c>
      <c r="AM201" s="24">
        <f>IF(AM200&gt;0,ROUND(AM200+AL201-AK201,2),0)</f>
        <v>0</v>
      </c>
      <c r="AN201" s="24">
        <f>IF(AM200&gt;0,ROUND(AN200+ROUND(ROUND(AN200*100,0)*ROUND(AK$7*10000,0)/12000000,0)/100+0.02,2),0)</f>
        <v>0</v>
      </c>
      <c r="AO201" s="24">
        <f>IF(AQ200&gt;0,IF(AND(ROUND(AQ200+AP201-ROUND(AO$6+IF(AO$5=$C201,$E$5+$E201,0),2),2)&gt;0,ROUND(AQ200+AP201-ROUND(AO$6+IF(AO$5=$C201,$E$5+$E201,0),2),2)&lt;=AR201,ROUND(AQ200+AP201-ROUND(AO$6+IF(AO$5=$C201,$E$5+$E201,0),2),2)*10&lt;=ROUND(AO$6+IF(AO$5=$C201,$E$5+$E201,0),2)),ROUND(AQ200+AP201,2),MIN(ROUND(AO$6+IF(AO$5=$C201,$E$5+$E201,0),2),ROUND(AQ200+AP201,2))),0)</f>
        <v>0</v>
      </c>
      <c r="AP201" s="24">
        <f>IF(AQ200&gt;0,ROUND(ROUND(AQ200*100,0)*ROUND(AO$7*10000,0)/12000000,0)/100,0)</f>
        <v>0</v>
      </c>
      <c r="AQ201" s="24">
        <f>IF(AQ200&gt;0,ROUND(AQ200+AP201-AO201,2),0)</f>
        <v>0</v>
      </c>
      <c r="AR201" s="24">
        <f>IF(AQ200&gt;0,ROUND(AR200+ROUND(ROUND(AR200*100,0)*ROUND(AO$7*10000,0)/12000000,0)/100+0.02,2),0)</f>
        <v>0</v>
      </c>
      <c r="AS201" s="24">
        <f>IF(AU200&gt;0,IF(AND(ROUND(AU200+AT201-ROUND(AS$6+IF(AS$5=$C201,$E$5+$E201,0),2),2)&gt;0,ROUND(AU200+AT201-ROUND(AS$6+IF(AS$5=$C201,$E$5+$E201,0),2),2)&lt;=AV201,ROUND(AU200+AT201-ROUND(AS$6+IF(AS$5=$C201,$E$5+$E201,0),2),2)*10&lt;=ROUND(AS$6+IF(AS$5=$C201,$E$5+$E201,0),2)),ROUND(AU200+AT201,2),MIN(ROUND(AS$6+IF(AS$5=$C201,$E$5+$E201,0),2),ROUND(AU200+AT201,2))),0)</f>
        <v>0</v>
      </c>
      <c r="AT201" s="24">
        <f>IF(AU200&gt;0,ROUND(ROUND(AU200*100,0)*ROUND(AS$7*10000,0)/12000000,0)/100,0)</f>
        <v>0</v>
      </c>
      <c r="AU201" s="24">
        <f>IF(AU200&gt;0,ROUND(AU200+AT201-AS201,2),0)</f>
        <v>0</v>
      </c>
      <c r="AV201" s="24">
        <f>IF(AU200&gt;0,ROUND(AV200+ROUND(ROUND(AV200*100,0)*ROUND(AS$7*10000,0)/12000000,0)/100+0.02,2),0)</f>
        <v>0</v>
      </c>
    </row>
    <row r="202" spans="1:48" x14ac:dyDescent="0.25">
      <c r="A202" s="17" t="str">
        <f>IF(F202&gt;0,192,"")</f>
        <v/>
      </c>
      <c r="B202" s="18" t="str">
        <f>IF(F202&gt;0,EDATE($E$6,192),"")</f>
        <v/>
      </c>
      <c r="C202" s="21">
        <f>IF(H201&gt;0,MIN(IF(K201&gt;0,I$5,99),IF(O201&gt;0,M$5,99),IF(S201&gt;0,Q$5,99),IF(W201&gt;0,U$5,99),IF(AA201&gt;0,Y$5,99),IF(AE201&gt;0,AC$5,99),IF(AI201&gt;0,AG$5,99),IF(AM201&gt;0,AK$5,99),IF(AQ201&gt;0,AO$5,99),IF(AU201&gt;0,AS$5,99)),0)</f>
        <v>0</v>
      </c>
      <c r="D202" t="str">
        <f>IF(C202&gt;0,INDEX($I$4:$AV$4,1,MATCH(C202,$I$5:$AV$5,0)),"")</f>
        <v/>
      </c>
      <c r="E202" s="24">
        <f>ROUND(IF(AND(I$8&gt;0,K201=0),I$6,0)+IF(AND(M$8&gt;0,O201=0),M$6,0)+IF(AND(Q$8&gt;0,S201=0),Q$6,0)+IF(AND(U$8&gt;0,W201=0),U$6,0)+IF(AND(Y$8&gt;0,AA201=0),Y$6,0)+IF(AND(AC$8&gt;0,AE201=0),AC$6,0)+IF(AND(AG$8&gt;0,AI201=0),AG$6,0)+IF(AND(AK$8&gt;0,AM201=0),AK$6,0)+IF(AND(AO$8&gt;0,AQ201=0),AO$6,0)+IF(AND(AS$8&gt;0,AU201=0),AS$6,0),2)</f>
        <v>325</v>
      </c>
      <c r="F202" s="24">
        <f>ROUND(I202+M202+Q202+U202+Y202+AC202+AG202+AK202+AO202+AS202,2)</f>
        <v>0</v>
      </c>
      <c r="G202" s="24">
        <f>ROUND(J202+N202+R202+V202+Z202+AD202+AH202+AL202+AP202+AT202,2)</f>
        <v>0</v>
      </c>
      <c r="H202" s="24">
        <f>ROUND(K202+O202+S202+W202+AA202+AE202+AI202+AM202+AQ202+AU202,2)</f>
        <v>0</v>
      </c>
      <c r="I202" s="24">
        <f>IF(K201&gt;0,IF(AND(ROUND(K201+J202-ROUND(I$6+IF(I$5=$C202,$E$5+$E202,0),2),2)&gt;0,ROUND(K201+J202-ROUND(I$6+IF(I$5=$C202,$E$5+$E202,0),2),2)&lt;=L202,ROUND(K201+J202-ROUND(I$6+IF(I$5=$C202,$E$5+$E202,0),2),2)*10&lt;=ROUND(I$6+IF(I$5=$C202,$E$5+$E202,0),2)),ROUND(K201+J202,2),MIN(ROUND(I$6+IF(I$5=$C202,$E$5+$E202,0),2),ROUND(K201+J202,2))),0)</f>
        <v>0</v>
      </c>
      <c r="J202" s="24">
        <f>IF(K201&gt;0,ROUND(ROUND(K201*100,0)*ROUND(I$7*10000,0)/12000000,0)/100,0)</f>
        <v>0</v>
      </c>
      <c r="K202" s="24">
        <f>IF(K201&gt;0,ROUND(K201+J202-I202,2),0)</f>
        <v>0</v>
      </c>
      <c r="L202" s="24">
        <f>IF(K201&gt;0,ROUND(L201+ROUND(ROUND(L201*100,0)*ROUND(I$7*10000,0)/12000000,0)/100+0.02,2),0)</f>
        <v>0</v>
      </c>
      <c r="M202" s="24">
        <f>IF(O201&gt;0,IF(AND(ROUND(O201+N202-ROUND(M$6+IF(M$5=$C202,$E$5+$E202,0),2),2)&gt;0,ROUND(O201+N202-ROUND(M$6+IF(M$5=$C202,$E$5+$E202,0),2),2)&lt;=P202,ROUND(O201+N202-ROUND(M$6+IF(M$5=$C202,$E$5+$E202,0),2),2)*10&lt;=ROUND(M$6+IF(M$5=$C202,$E$5+$E202,0),2)),ROUND(O201+N202,2),MIN(ROUND(M$6+IF(M$5=$C202,$E$5+$E202,0),2),ROUND(O201+N202,2))),0)</f>
        <v>0</v>
      </c>
      <c r="N202" s="24">
        <f>IF(O201&gt;0,ROUND(ROUND(O201*100,0)*ROUND(M$7*10000,0)/12000000,0)/100,0)</f>
        <v>0</v>
      </c>
      <c r="O202" s="24">
        <f>IF(O201&gt;0,ROUND(O201+N202-M202,2),0)</f>
        <v>0</v>
      </c>
      <c r="P202" s="24">
        <f>IF(O201&gt;0,ROUND(P201+ROUND(ROUND(P201*100,0)*ROUND(M$7*10000,0)/12000000,0)/100+0.02,2),0)</f>
        <v>0</v>
      </c>
      <c r="Q202" s="24">
        <f>IF(S201&gt;0,IF(AND(ROUND(S201+R202-ROUND(Q$6+IF(Q$5=$C202,$E$5+$E202,0),2),2)&gt;0,ROUND(S201+R202-ROUND(Q$6+IF(Q$5=$C202,$E$5+$E202,0),2),2)&lt;=T202,ROUND(S201+R202-ROUND(Q$6+IF(Q$5=$C202,$E$5+$E202,0),2),2)*10&lt;=ROUND(Q$6+IF(Q$5=$C202,$E$5+$E202,0),2)),ROUND(S201+R202,2),MIN(ROUND(Q$6+IF(Q$5=$C202,$E$5+$E202,0),2),ROUND(S201+R202,2))),0)</f>
        <v>0</v>
      </c>
      <c r="R202" s="24">
        <f>IF(S201&gt;0,ROUND(ROUND(S201*100,0)*ROUND(Q$7*10000,0)/12000000,0)/100,0)</f>
        <v>0</v>
      </c>
      <c r="S202" s="24">
        <f>IF(S201&gt;0,ROUND(S201+R202-Q202,2),0)</f>
        <v>0</v>
      </c>
      <c r="T202" s="24">
        <f>IF(S201&gt;0,ROUND(T201+ROUND(ROUND(T201*100,0)*ROUND(Q$7*10000,0)/12000000,0)/100+0.02,2),0)</f>
        <v>0</v>
      </c>
      <c r="U202" s="24">
        <f>IF(W201&gt;0,IF(AND(ROUND(W201+V202-ROUND(U$6+IF(U$5=$C202,$E$5+$E202,0),2),2)&gt;0,ROUND(W201+V202-ROUND(U$6+IF(U$5=$C202,$E$5+$E202,0),2),2)&lt;=X202,ROUND(W201+V202-ROUND(U$6+IF(U$5=$C202,$E$5+$E202,0),2),2)*10&lt;=ROUND(U$6+IF(U$5=$C202,$E$5+$E202,0),2)),ROUND(W201+V202,2),MIN(ROUND(U$6+IF(U$5=$C202,$E$5+$E202,0),2),ROUND(W201+V202,2))),0)</f>
        <v>0</v>
      </c>
      <c r="V202" s="24">
        <f>IF(W201&gt;0,ROUND(ROUND(W201*100,0)*ROUND(U$7*10000,0)/12000000,0)/100,0)</f>
        <v>0</v>
      </c>
      <c r="W202" s="24">
        <f>IF(W201&gt;0,ROUND(W201+V202-U202,2),0)</f>
        <v>0</v>
      </c>
      <c r="X202" s="24">
        <f>IF(W201&gt;0,ROUND(X201+ROUND(ROUND(X201*100,0)*ROUND(U$7*10000,0)/12000000,0)/100+0.02,2),0)</f>
        <v>0</v>
      </c>
      <c r="Y202" s="24">
        <f>IF(AA201&gt;0,IF(AND(ROUND(AA201+Z202-ROUND(Y$6+IF(Y$5=$C202,$E$5+$E202,0),2),2)&gt;0,ROUND(AA201+Z202-ROUND(Y$6+IF(Y$5=$C202,$E$5+$E202,0),2),2)&lt;=AB202,ROUND(AA201+Z202-ROUND(Y$6+IF(Y$5=$C202,$E$5+$E202,0),2),2)*10&lt;=ROUND(Y$6+IF(Y$5=$C202,$E$5+$E202,0),2)),ROUND(AA201+Z202,2),MIN(ROUND(Y$6+IF(Y$5=$C202,$E$5+$E202,0),2),ROUND(AA201+Z202,2))),0)</f>
        <v>0</v>
      </c>
      <c r="Z202" s="24">
        <f>IF(AA201&gt;0,ROUND(ROUND(AA201*100,0)*ROUND(Y$7*10000,0)/12000000,0)/100,0)</f>
        <v>0</v>
      </c>
      <c r="AA202" s="24">
        <f>IF(AA201&gt;0,ROUND(AA201+Z202-Y202,2),0)</f>
        <v>0</v>
      </c>
      <c r="AB202" s="24">
        <f>IF(AA201&gt;0,ROUND(AB201+ROUND(ROUND(AB201*100,0)*ROUND(Y$7*10000,0)/12000000,0)/100+0.02,2),0)</f>
        <v>0</v>
      </c>
      <c r="AC202" s="24">
        <f>IF(AE201&gt;0,IF(AND(ROUND(AE201+AD202-ROUND(AC$6+IF(AC$5=$C202,$E$5+$E202,0),2),2)&gt;0,ROUND(AE201+AD202-ROUND(AC$6+IF(AC$5=$C202,$E$5+$E202,0),2),2)&lt;=AF202,ROUND(AE201+AD202-ROUND(AC$6+IF(AC$5=$C202,$E$5+$E202,0),2),2)*10&lt;=ROUND(AC$6+IF(AC$5=$C202,$E$5+$E202,0),2)),ROUND(AE201+AD202,2),MIN(ROUND(AC$6+IF(AC$5=$C202,$E$5+$E202,0),2),ROUND(AE201+AD202,2))),0)</f>
        <v>0</v>
      </c>
      <c r="AD202" s="24">
        <f>IF(AE201&gt;0,ROUND(ROUND(AE201*100,0)*ROUND(AC$7*10000,0)/12000000,0)/100,0)</f>
        <v>0</v>
      </c>
      <c r="AE202" s="24">
        <f>IF(AE201&gt;0,ROUND(AE201+AD202-AC202,2),0)</f>
        <v>0</v>
      </c>
      <c r="AF202" s="24">
        <f>IF(AE201&gt;0,ROUND(AF201+ROUND(ROUND(AF201*100,0)*ROUND(AC$7*10000,0)/12000000,0)/100+0.02,2),0)</f>
        <v>0</v>
      </c>
      <c r="AG202" s="24">
        <f>IF(AI201&gt;0,IF(AND(ROUND(AI201+AH202-ROUND(AG$6+IF(AG$5=$C202,$E$5+$E202,0),2),2)&gt;0,ROUND(AI201+AH202-ROUND(AG$6+IF(AG$5=$C202,$E$5+$E202,0),2),2)&lt;=AJ202,ROUND(AI201+AH202-ROUND(AG$6+IF(AG$5=$C202,$E$5+$E202,0),2),2)*10&lt;=ROUND(AG$6+IF(AG$5=$C202,$E$5+$E202,0),2)),ROUND(AI201+AH202,2),MIN(ROUND(AG$6+IF(AG$5=$C202,$E$5+$E202,0),2),ROUND(AI201+AH202,2))),0)</f>
        <v>0</v>
      </c>
      <c r="AH202" s="24">
        <f>IF(AI201&gt;0,ROUND(ROUND(AI201*100,0)*ROUND(AG$7*10000,0)/12000000,0)/100,0)</f>
        <v>0</v>
      </c>
      <c r="AI202" s="24">
        <f>IF(AI201&gt;0,ROUND(AI201+AH202-AG202,2),0)</f>
        <v>0</v>
      </c>
      <c r="AJ202" s="24">
        <f>IF(AI201&gt;0,ROUND(AJ201+ROUND(ROUND(AJ201*100,0)*ROUND(AG$7*10000,0)/12000000,0)/100+0.02,2),0)</f>
        <v>0</v>
      </c>
      <c r="AK202" s="24">
        <f>IF(AM201&gt;0,IF(AND(ROUND(AM201+AL202-ROUND(AK$6+IF(AK$5=$C202,$E$5+$E202,0),2),2)&gt;0,ROUND(AM201+AL202-ROUND(AK$6+IF(AK$5=$C202,$E$5+$E202,0),2),2)&lt;=AN202,ROUND(AM201+AL202-ROUND(AK$6+IF(AK$5=$C202,$E$5+$E202,0),2),2)*10&lt;=ROUND(AK$6+IF(AK$5=$C202,$E$5+$E202,0),2)),ROUND(AM201+AL202,2),MIN(ROUND(AK$6+IF(AK$5=$C202,$E$5+$E202,0),2),ROUND(AM201+AL202,2))),0)</f>
        <v>0</v>
      </c>
      <c r="AL202" s="24">
        <f>IF(AM201&gt;0,ROUND(ROUND(AM201*100,0)*ROUND(AK$7*10000,0)/12000000,0)/100,0)</f>
        <v>0</v>
      </c>
      <c r="AM202" s="24">
        <f>IF(AM201&gt;0,ROUND(AM201+AL202-AK202,2),0)</f>
        <v>0</v>
      </c>
      <c r="AN202" s="24">
        <f>IF(AM201&gt;0,ROUND(AN201+ROUND(ROUND(AN201*100,0)*ROUND(AK$7*10000,0)/12000000,0)/100+0.02,2),0)</f>
        <v>0</v>
      </c>
      <c r="AO202" s="24">
        <f>IF(AQ201&gt;0,IF(AND(ROUND(AQ201+AP202-ROUND(AO$6+IF(AO$5=$C202,$E$5+$E202,0),2),2)&gt;0,ROUND(AQ201+AP202-ROUND(AO$6+IF(AO$5=$C202,$E$5+$E202,0),2),2)&lt;=AR202,ROUND(AQ201+AP202-ROUND(AO$6+IF(AO$5=$C202,$E$5+$E202,0),2),2)*10&lt;=ROUND(AO$6+IF(AO$5=$C202,$E$5+$E202,0),2)),ROUND(AQ201+AP202,2),MIN(ROUND(AO$6+IF(AO$5=$C202,$E$5+$E202,0),2),ROUND(AQ201+AP202,2))),0)</f>
        <v>0</v>
      </c>
      <c r="AP202" s="24">
        <f>IF(AQ201&gt;0,ROUND(ROUND(AQ201*100,0)*ROUND(AO$7*10000,0)/12000000,0)/100,0)</f>
        <v>0</v>
      </c>
      <c r="AQ202" s="24">
        <f>IF(AQ201&gt;0,ROUND(AQ201+AP202-AO202,2),0)</f>
        <v>0</v>
      </c>
      <c r="AR202" s="24">
        <f>IF(AQ201&gt;0,ROUND(AR201+ROUND(ROUND(AR201*100,0)*ROUND(AO$7*10000,0)/12000000,0)/100+0.02,2),0)</f>
        <v>0</v>
      </c>
      <c r="AS202" s="24">
        <f>IF(AU201&gt;0,IF(AND(ROUND(AU201+AT202-ROUND(AS$6+IF(AS$5=$C202,$E$5+$E202,0),2),2)&gt;0,ROUND(AU201+AT202-ROUND(AS$6+IF(AS$5=$C202,$E$5+$E202,0),2),2)&lt;=AV202,ROUND(AU201+AT202-ROUND(AS$6+IF(AS$5=$C202,$E$5+$E202,0),2),2)*10&lt;=ROUND(AS$6+IF(AS$5=$C202,$E$5+$E202,0),2)),ROUND(AU201+AT202,2),MIN(ROUND(AS$6+IF(AS$5=$C202,$E$5+$E202,0),2),ROUND(AU201+AT202,2))),0)</f>
        <v>0</v>
      </c>
      <c r="AT202" s="24">
        <f>IF(AU201&gt;0,ROUND(ROUND(AU201*100,0)*ROUND(AS$7*10000,0)/12000000,0)/100,0)</f>
        <v>0</v>
      </c>
      <c r="AU202" s="24">
        <f>IF(AU201&gt;0,ROUND(AU201+AT202-AS202,2),0)</f>
        <v>0</v>
      </c>
      <c r="AV202" s="24">
        <f>IF(AU201&gt;0,ROUND(AV201+ROUND(ROUND(AV201*100,0)*ROUND(AS$7*10000,0)/12000000,0)/100+0.02,2),0)</f>
        <v>0</v>
      </c>
    </row>
    <row r="203" spans="1:48" x14ac:dyDescent="0.25">
      <c r="A203" s="17" t="str">
        <f>IF(F203&gt;0,193,"")</f>
        <v/>
      </c>
      <c r="B203" s="18" t="str">
        <f>IF(F203&gt;0,EDATE($E$6,193),"")</f>
        <v/>
      </c>
      <c r="C203" s="21">
        <f>IF(H202&gt;0,MIN(IF(K202&gt;0,I$5,99),IF(O202&gt;0,M$5,99),IF(S202&gt;0,Q$5,99),IF(W202&gt;0,U$5,99),IF(AA202&gt;0,Y$5,99),IF(AE202&gt;0,AC$5,99),IF(AI202&gt;0,AG$5,99),IF(AM202&gt;0,AK$5,99),IF(AQ202&gt;0,AO$5,99),IF(AU202&gt;0,AS$5,99)),0)</f>
        <v>0</v>
      </c>
      <c r="D203" t="str">
        <f>IF(C203&gt;0,INDEX($I$4:$AV$4,1,MATCH(C203,$I$5:$AV$5,0)),"")</f>
        <v/>
      </c>
      <c r="E203" s="24">
        <f>ROUND(IF(AND(I$8&gt;0,K202=0),I$6,0)+IF(AND(M$8&gt;0,O202=0),M$6,0)+IF(AND(Q$8&gt;0,S202=0),Q$6,0)+IF(AND(U$8&gt;0,W202=0),U$6,0)+IF(AND(Y$8&gt;0,AA202=0),Y$6,0)+IF(AND(AC$8&gt;0,AE202=0),AC$6,0)+IF(AND(AG$8&gt;0,AI202=0),AG$6,0)+IF(AND(AK$8&gt;0,AM202=0),AK$6,0)+IF(AND(AO$8&gt;0,AQ202=0),AO$6,0)+IF(AND(AS$8&gt;0,AU202=0),AS$6,0),2)</f>
        <v>325</v>
      </c>
      <c r="F203" s="24">
        <f>ROUND(I203+M203+Q203+U203+Y203+AC203+AG203+AK203+AO203+AS203,2)</f>
        <v>0</v>
      </c>
      <c r="G203" s="24">
        <f>ROUND(J203+N203+R203+V203+Z203+AD203+AH203+AL203+AP203+AT203,2)</f>
        <v>0</v>
      </c>
      <c r="H203" s="24">
        <f>ROUND(K203+O203+S203+W203+AA203+AE203+AI203+AM203+AQ203+AU203,2)</f>
        <v>0</v>
      </c>
      <c r="I203" s="24">
        <f>IF(K202&gt;0,IF(AND(ROUND(K202+J203-ROUND(I$6+IF(I$5=$C203,$E$5+$E203,0),2),2)&gt;0,ROUND(K202+J203-ROUND(I$6+IF(I$5=$C203,$E$5+$E203,0),2),2)&lt;=L203,ROUND(K202+J203-ROUND(I$6+IF(I$5=$C203,$E$5+$E203,0),2),2)*10&lt;=ROUND(I$6+IF(I$5=$C203,$E$5+$E203,0),2)),ROUND(K202+J203,2),MIN(ROUND(I$6+IF(I$5=$C203,$E$5+$E203,0),2),ROUND(K202+J203,2))),0)</f>
        <v>0</v>
      </c>
      <c r="J203" s="24">
        <f>IF(K202&gt;0,ROUND(ROUND(K202*100,0)*ROUND(I$7*10000,0)/12000000,0)/100,0)</f>
        <v>0</v>
      </c>
      <c r="K203" s="24">
        <f>IF(K202&gt;0,ROUND(K202+J203-I203,2),0)</f>
        <v>0</v>
      </c>
      <c r="L203" s="24">
        <f>IF(K202&gt;0,ROUND(L202+ROUND(ROUND(L202*100,0)*ROUND(I$7*10000,0)/12000000,0)/100+0.02,2),0)</f>
        <v>0</v>
      </c>
      <c r="M203" s="24">
        <f>IF(O202&gt;0,IF(AND(ROUND(O202+N203-ROUND(M$6+IF(M$5=$C203,$E$5+$E203,0),2),2)&gt;0,ROUND(O202+N203-ROUND(M$6+IF(M$5=$C203,$E$5+$E203,0),2),2)&lt;=P203,ROUND(O202+N203-ROUND(M$6+IF(M$5=$C203,$E$5+$E203,0),2),2)*10&lt;=ROUND(M$6+IF(M$5=$C203,$E$5+$E203,0),2)),ROUND(O202+N203,2),MIN(ROUND(M$6+IF(M$5=$C203,$E$5+$E203,0),2),ROUND(O202+N203,2))),0)</f>
        <v>0</v>
      </c>
      <c r="N203" s="24">
        <f>IF(O202&gt;0,ROUND(ROUND(O202*100,0)*ROUND(M$7*10000,0)/12000000,0)/100,0)</f>
        <v>0</v>
      </c>
      <c r="O203" s="24">
        <f>IF(O202&gt;0,ROUND(O202+N203-M203,2),0)</f>
        <v>0</v>
      </c>
      <c r="P203" s="24">
        <f>IF(O202&gt;0,ROUND(P202+ROUND(ROUND(P202*100,0)*ROUND(M$7*10000,0)/12000000,0)/100+0.02,2),0)</f>
        <v>0</v>
      </c>
      <c r="Q203" s="24">
        <f>IF(S202&gt;0,IF(AND(ROUND(S202+R203-ROUND(Q$6+IF(Q$5=$C203,$E$5+$E203,0),2),2)&gt;0,ROUND(S202+R203-ROUND(Q$6+IF(Q$5=$C203,$E$5+$E203,0),2),2)&lt;=T203,ROUND(S202+R203-ROUND(Q$6+IF(Q$5=$C203,$E$5+$E203,0),2),2)*10&lt;=ROUND(Q$6+IF(Q$5=$C203,$E$5+$E203,0),2)),ROUND(S202+R203,2),MIN(ROUND(Q$6+IF(Q$5=$C203,$E$5+$E203,0),2),ROUND(S202+R203,2))),0)</f>
        <v>0</v>
      </c>
      <c r="R203" s="24">
        <f>IF(S202&gt;0,ROUND(ROUND(S202*100,0)*ROUND(Q$7*10000,0)/12000000,0)/100,0)</f>
        <v>0</v>
      </c>
      <c r="S203" s="24">
        <f>IF(S202&gt;0,ROUND(S202+R203-Q203,2),0)</f>
        <v>0</v>
      </c>
      <c r="T203" s="24">
        <f>IF(S202&gt;0,ROUND(T202+ROUND(ROUND(T202*100,0)*ROUND(Q$7*10000,0)/12000000,0)/100+0.02,2),0)</f>
        <v>0</v>
      </c>
      <c r="U203" s="24">
        <f>IF(W202&gt;0,IF(AND(ROUND(W202+V203-ROUND(U$6+IF(U$5=$C203,$E$5+$E203,0),2),2)&gt;0,ROUND(W202+V203-ROUND(U$6+IF(U$5=$C203,$E$5+$E203,0),2),2)&lt;=X203,ROUND(W202+V203-ROUND(U$6+IF(U$5=$C203,$E$5+$E203,0),2),2)*10&lt;=ROUND(U$6+IF(U$5=$C203,$E$5+$E203,0),2)),ROUND(W202+V203,2),MIN(ROUND(U$6+IF(U$5=$C203,$E$5+$E203,0),2),ROUND(W202+V203,2))),0)</f>
        <v>0</v>
      </c>
      <c r="V203" s="24">
        <f>IF(W202&gt;0,ROUND(ROUND(W202*100,0)*ROUND(U$7*10000,0)/12000000,0)/100,0)</f>
        <v>0</v>
      </c>
      <c r="W203" s="24">
        <f>IF(W202&gt;0,ROUND(W202+V203-U203,2),0)</f>
        <v>0</v>
      </c>
      <c r="X203" s="24">
        <f>IF(W202&gt;0,ROUND(X202+ROUND(ROUND(X202*100,0)*ROUND(U$7*10000,0)/12000000,0)/100+0.02,2),0)</f>
        <v>0</v>
      </c>
      <c r="Y203" s="24">
        <f>IF(AA202&gt;0,IF(AND(ROUND(AA202+Z203-ROUND(Y$6+IF(Y$5=$C203,$E$5+$E203,0),2),2)&gt;0,ROUND(AA202+Z203-ROUND(Y$6+IF(Y$5=$C203,$E$5+$E203,0),2),2)&lt;=AB203,ROUND(AA202+Z203-ROUND(Y$6+IF(Y$5=$C203,$E$5+$E203,0),2),2)*10&lt;=ROUND(Y$6+IF(Y$5=$C203,$E$5+$E203,0),2)),ROUND(AA202+Z203,2),MIN(ROUND(Y$6+IF(Y$5=$C203,$E$5+$E203,0),2),ROUND(AA202+Z203,2))),0)</f>
        <v>0</v>
      </c>
      <c r="Z203" s="24">
        <f>IF(AA202&gt;0,ROUND(ROUND(AA202*100,0)*ROUND(Y$7*10000,0)/12000000,0)/100,0)</f>
        <v>0</v>
      </c>
      <c r="AA203" s="24">
        <f>IF(AA202&gt;0,ROUND(AA202+Z203-Y203,2),0)</f>
        <v>0</v>
      </c>
      <c r="AB203" s="24">
        <f>IF(AA202&gt;0,ROUND(AB202+ROUND(ROUND(AB202*100,0)*ROUND(Y$7*10000,0)/12000000,0)/100+0.02,2),0)</f>
        <v>0</v>
      </c>
      <c r="AC203" s="24">
        <f>IF(AE202&gt;0,IF(AND(ROUND(AE202+AD203-ROUND(AC$6+IF(AC$5=$C203,$E$5+$E203,0),2),2)&gt;0,ROUND(AE202+AD203-ROUND(AC$6+IF(AC$5=$C203,$E$5+$E203,0),2),2)&lt;=AF203,ROUND(AE202+AD203-ROUND(AC$6+IF(AC$5=$C203,$E$5+$E203,0),2),2)*10&lt;=ROUND(AC$6+IF(AC$5=$C203,$E$5+$E203,0),2)),ROUND(AE202+AD203,2),MIN(ROUND(AC$6+IF(AC$5=$C203,$E$5+$E203,0),2),ROUND(AE202+AD203,2))),0)</f>
        <v>0</v>
      </c>
      <c r="AD203" s="24">
        <f>IF(AE202&gt;0,ROUND(ROUND(AE202*100,0)*ROUND(AC$7*10000,0)/12000000,0)/100,0)</f>
        <v>0</v>
      </c>
      <c r="AE203" s="24">
        <f>IF(AE202&gt;0,ROUND(AE202+AD203-AC203,2),0)</f>
        <v>0</v>
      </c>
      <c r="AF203" s="24">
        <f>IF(AE202&gt;0,ROUND(AF202+ROUND(ROUND(AF202*100,0)*ROUND(AC$7*10000,0)/12000000,0)/100+0.02,2),0)</f>
        <v>0</v>
      </c>
      <c r="AG203" s="24">
        <f>IF(AI202&gt;0,IF(AND(ROUND(AI202+AH203-ROUND(AG$6+IF(AG$5=$C203,$E$5+$E203,0),2),2)&gt;0,ROUND(AI202+AH203-ROUND(AG$6+IF(AG$5=$C203,$E$5+$E203,0),2),2)&lt;=AJ203,ROUND(AI202+AH203-ROUND(AG$6+IF(AG$5=$C203,$E$5+$E203,0),2),2)*10&lt;=ROUND(AG$6+IF(AG$5=$C203,$E$5+$E203,0),2)),ROUND(AI202+AH203,2),MIN(ROUND(AG$6+IF(AG$5=$C203,$E$5+$E203,0),2),ROUND(AI202+AH203,2))),0)</f>
        <v>0</v>
      </c>
      <c r="AH203" s="24">
        <f>IF(AI202&gt;0,ROUND(ROUND(AI202*100,0)*ROUND(AG$7*10000,0)/12000000,0)/100,0)</f>
        <v>0</v>
      </c>
      <c r="AI203" s="24">
        <f>IF(AI202&gt;0,ROUND(AI202+AH203-AG203,2),0)</f>
        <v>0</v>
      </c>
      <c r="AJ203" s="24">
        <f>IF(AI202&gt;0,ROUND(AJ202+ROUND(ROUND(AJ202*100,0)*ROUND(AG$7*10000,0)/12000000,0)/100+0.02,2),0)</f>
        <v>0</v>
      </c>
      <c r="AK203" s="24">
        <f>IF(AM202&gt;0,IF(AND(ROUND(AM202+AL203-ROUND(AK$6+IF(AK$5=$C203,$E$5+$E203,0),2),2)&gt;0,ROUND(AM202+AL203-ROUND(AK$6+IF(AK$5=$C203,$E$5+$E203,0),2),2)&lt;=AN203,ROUND(AM202+AL203-ROUND(AK$6+IF(AK$5=$C203,$E$5+$E203,0),2),2)*10&lt;=ROUND(AK$6+IF(AK$5=$C203,$E$5+$E203,0),2)),ROUND(AM202+AL203,2),MIN(ROUND(AK$6+IF(AK$5=$C203,$E$5+$E203,0),2),ROUND(AM202+AL203,2))),0)</f>
        <v>0</v>
      </c>
      <c r="AL203" s="24">
        <f>IF(AM202&gt;0,ROUND(ROUND(AM202*100,0)*ROUND(AK$7*10000,0)/12000000,0)/100,0)</f>
        <v>0</v>
      </c>
      <c r="AM203" s="24">
        <f>IF(AM202&gt;0,ROUND(AM202+AL203-AK203,2),0)</f>
        <v>0</v>
      </c>
      <c r="AN203" s="24">
        <f>IF(AM202&gt;0,ROUND(AN202+ROUND(ROUND(AN202*100,0)*ROUND(AK$7*10000,0)/12000000,0)/100+0.02,2),0)</f>
        <v>0</v>
      </c>
      <c r="AO203" s="24">
        <f>IF(AQ202&gt;0,IF(AND(ROUND(AQ202+AP203-ROUND(AO$6+IF(AO$5=$C203,$E$5+$E203,0),2),2)&gt;0,ROUND(AQ202+AP203-ROUND(AO$6+IF(AO$5=$C203,$E$5+$E203,0),2),2)&lt;=AR203,ROUND(AQ202+AP203-ROUND(AO$6+IF(AO$5=$C203,$E$5+$E203,0),2),2)*10&lt;=ROUND(AO$6+IF(AO$5=$C203,$E$5+$E203,0),2)),ROUND(AQ202+AP203,2),MIN(ROUND(AO$6+IF(AO$5=$C203,$E$5+$E203,0),2),ROUND(AQ202+AP203,2))),0)</f>
        <v>0</v>
      </c>
      <c r="AP203" s="24">
        <f>IF(AQ202&gt;0,ROUND(ROUND(AQ202*100,0)*ROUND(AO$7*10000,0)/12000000,0)/100,0)</f>
        <v>0</v>
      </c>
      <c r="AQ203" s="24">
        <f>IF(AQ202&gt;0,ROUND(AQ202+AP203-AO203,2),0)</f>
        <v>0</v>
      </c>
      <c r="AR203" s="24">
        <f>IF(AQ202&gt;0,ROUND(AR202+ROUND(ROUND(AR202*100,0)*ROUND(AO$7*10000,0)/12000000,0)/100+0.02,2),0)</f>
        <v>0</v>
      </c>
      <c r="AS203" s="24">
        <f>IF(AU202&gt;0,IF(AND(ROUND(AU202+AT203-ROUND(AS$6+IF(AS$5=$C203,$E$5+$E203,0),2),2)&gt;0,ROUND(AU202+AT203-ROUND(AS$6+IF(AS$5=$C203,$E$5+$E203,0),2),2)&lt;=AV203,ROUND(AU202+AT203-ROUND(AS$6+IF(AS$5=$C203,$E$5+$E203,0),2),2)*10&lt;=ROUND(AS$6+IF(AS$5=$C203,$E$5+$E203,0),2)),ROUND(AU202+AT203,2),MIN(ROUND(AS$6+IF(AS$5=$C203,$E$5+$E203,0),2),ROUND(AU202+AT203,2))),0)</f>
        <v>0</v>
      </c>
      <c r="AT203" s="24">
        <f>IF(AU202&gt;0,ROUND(ROUND(AU202*100,0)*ROUND(AS$7*10000,0)/12000000,0)/100,0)</f>
        <v>0</v>
      </c>
      <c r="AU203" s="24">
        <f>IF(AU202&gt;0,ROUND(AU202+AT203-AS203,2),0)</f>
        <v>0</v>
      </c>
      <c r="AV203" s="24">
        <f>IF(AU202&gt;0,ROUND(AV202+ROUND(ROUND(AV202*100,0)*ROUND(AS$7*10000,0)/12000000,0)/100+0.02,2),0)</f>
        <v>0</v>
      </c>
    </row>
    <row r="204" spans="1:48" x14ac:dyDescent="0.25">
      <c r="A204" s="17" t="str">
        <f>IF(F204&gt;0,194,"")</f>
        <v/>
      </c>
      <c r="B204" s="18" t="str">
        <f>IF(F204&gt;0,EDATE($E$6,194),"")</f>
        <v/>
      </c>
      <c r="C204" s="21">
        <f>IF(H203&gt;0,MIN(IF(K203&gt;0,I$5,99),IF(O203&gt;0,M$5,99),IF(S203&gt;0,Q$5,99),IF(W203&gt;0,U$5,99),IF(AA203&gt;0,Y$5,99),IF(AE203&gt;0,AC$5,99),IF(AI203&gt;0,AG$5,99),IF(AM203&gt;0,AK$5,99),IF(AQ203&gt;0,AO$5,99),IF(AU203&gt;0,AS$5,99)),0)</f>
        <v>0</v>
      </c>
      <c r="D204" t="str">
        <f>IF(C204&gt;0,INDEX($I$4:$AV$4,1,MATCH(C204,$I$5:$AV$5,0)),"")</f>
        <v/>
      </c>
      <c r="E204" s="24">
        <f>ROUND(IF(AND(I$8&gt;0,K203=0),I$6,0)+IF(AND(M$8&gt;0,O203=0),M$6,0)+IF(AND(Q$8&gt;0,S203=0),Q$6,0)+IF(AND(U$8&gt;0,W203=0),U$6,0)+IF(AND(Y$8&gt;0,AA203=0),Y$6,0)+IF(AND(AC$8&gt;0,AE203=0),AC$6,0)+IF(AND(AG$8&gt;0,AI203=0),AG$6,0)+IF(AND(AK$8&gt;0,AM203=0),AK$6,0)+IF(AND(AO$8&gt;0,AQ203=0),AO$6,0)+IF(AND(AS$8&gt;0,AU203=0),AS$6,0),2)</f>
        <v>325</v>
      </c>
      <c r="F204" s="24">
        <f>ROUND(I204+M204+Q204+U204+Y204+AC204+AG204+AK204+AO204+AS204,2)</f>
        <v>0</v>
      </c>
      <c r="G204" s="24">
        <f>ROUND(J204+N204+R204+V204+Z204+AD204+AH204+AL204+AP204+AT204,2)</f>
        <v>0</v>
      </c>
      <c r="H204" s="24">
        <f>ROUND(K204+O204+S204+W204+AA204+AE204+AI204+AM204+AQ204+AU204,2)</f>
        <v>0</v>
      </c>
      <c r="I204" s="24">
        <f>IF(K203&gt;0,IF(AND(ROUND(K203+J204-ROUND(I$6+IF(I$5=$C204,$E$5+$E204,0),2),2)&gt;0,ROUND(K203+J204-ROUND(I$6+IF(I$5=$C204,$E$5+$E204,0),2),2)&lt;=L204,ROUND(K203+J204-ROUND(I$6+IF(I$5=$C204,$E$5+$E204,0),2),2)*10&lt;=ROUND(I$6+IF(I$5=$C204,$E$5+$E204,0),2)),ROUND(K203+J204,2),MIN(ROUND(I$6+IF(I$5=$C204,$E$5+$E204,0),2),ROUND(K203+J204,2))),0)</f>
        <v>0</v>
      </c>
      <c r="J204" s="24">
        <f>IF(K203&gt;0,ROUND(ROUND(K203*100,0)*ROUND(I$7*10000,0)/12000000,0)/100,0)</f>
        <v>0</v>
      </c>
      <c r="K204" s="24">
        <f>IF(K203&gt;0,ROUND(K203+J204-I204,2),0)</f>
        <v>0</v>
      </c>
      <c r="L204" s="24">
        <f>IF(K203&gt;0,ROUND(L203+ROUND(ROUND(L203*100,0)*ROUND(I$7*10000,0)/12000000,0)/100+0.02,2),0)</f>
        <v>0</v>
      </c>
      <c r="M204" s="24">
        <f>IF(O203&gt;0,IF(AND(ROUND(O203+N204-ROUND(M$6+IF(M$5=$C204,$E$5+$E204,0),2),2)&gt;0,ROUND(O203+N204-ROUND(M$6+IF(M$5=$C204,$E$5+$E204,0),2),2)&lt;=P204,ROUND(O203+N204-ROUND(M$6+IF(M$5=$C204,$E$5+$E204,0),2),2)*10&lt;=ROUND(M$6+IF(M$5=$C204,$E$5+$E204,0),2)),ROUND(O203+N204,2),MIN(ROUND(M$6+IF(M$5=$C204,$E$5+$E204,0),2),ROUND(O203+N204,2))),0)</f>
        <v>0</v>
      </c>
      <c r="N204" s="24">
        <f>IF(O203&gt;0,ROUND(ROUND(O203*100,0)*ROUND(M$7*10000,0)/12000000,0)/100,0)</f>
        <v>0</v>
      </c>
      <c r="O204" s="24">
        <f>IF(O203&gt;0,ROUND(O203+N204-M204,2),0)</f>
        <v>0</v>
      </c>
      <c r="P204" s="24">
        <f>IF(O203&gt;0,ROUND(P203+ROUND(ROUND(P203*100,0)*ROUND(M$7*10000,0)/12000000,0)/100+0.02,2),0)</f>
        <v>0</v>
      </c>
      <c r="Q204" s="24">
        <f>IF(S203&gt;0,IF(AND(ROUND(S203+R204-ROUND(Q$6+IF(Q$5=$C204,$E$5+$E204,0),2),2)&gt;0,ROUND(S203+R204-ROUND(Q$6+IF(Q$5=$C204,$E$5+$E204,0),2),2)&lt;=T204,ROUND(S203+R204-ROUND(Q$6+IF(Q$5=$C204,$E$5+$E204,0),2),2)*10&lt;=ROUND(Q$6+IF(Q$5=$C204,$E$5+$E204,0),2)),ROUND(S203+R204,2),MIN(ROUND(Q$6+IF(Q$5=$C204,$E$5+$E204,0),2),ROUND(S203+R204,2))),0)</f>
        <v>0</v>
      </c>
      <c r="R204" s="24">
        <f>IF(S203&gt;0,ROUND(ROUND(S203*100,0)*ROUND(Q$7*10000,0)/12000000,0)/100,0)</f>
        <v>0</v>
      </c>
      <c r="S204" s="24">
        <f>IF(S203&gt;0,ROUND(S203+R204-Q204,2),0)</f>
        <v>0</v>
      </c>
      <c r="T204" s="24">
        <f>IF(S203&gt;0,ROUND(T203+ROUND(ROUND(T203*100,0)*ROUND(Q$7*10000,0)/12000000,0)/100+0.02,2),0)</f>
        <v>0</v>
      </c>
      <c r="U204" s="24">
        <f>IF(W203&gt;0,IF(AND(ROUND(W203+V204-ROUND(U$6+IF(U$5=$C204,$E$5+$E204,0),2),2)&gt;0,ROUND(W203+V204-ROUND(U$6+IF(U$5=$C204,$E$5+$E204,0),2),2)&lt;=X204,ROUND(W203+V204-ROUND(U$6+IF(U$5=$C204,$E$5+$E204,0),2),2)*10&lt;=ROUND(U$6+IF(U$5=$C204,$E$5+$E204,0),2)),ROUND(W203+V204,2),MIN(ROUND(U$6+IF(U$5=$C204,$E$5+$E204,0),2),ROUND(W203+V204,2))),0)</f>
        <v>0</v>
      </c>
      <c r="V204" s="24">
        <f>IF(W203&gt;0,ROUND(ROUND(W203*100,0)*ROUND(U$7*10000,0)/12000000,0)/100,0)</f>
        <v>0</v>
      </c>
      <c r="W204" s="24">
        <f>IF(W203&gt;0,ROUND(W203+V204-U204,2),0)</f>
        <v>0</v>
      </c>
      <c r="X204" s="24">
        <f>IF(W203&gt;0,ROUND(X203+ROUND(ROUND(X203*100,0)*ROUND(U$7*10000,0)/12000000,0)/100+0.02,2),0)</f>
        <v>0</v>
      </c>
      <c r="Y204" s="24">
        <f>IF(AA203&gt;0,IF(AND(ROUND(AA203+Z204-ROUND(Y$6+IF(Y$5=$C204,$E$5+$E204,0),2),2)&gt;0,ROUND(AA203+Z204-ROUND(Y$6+IF(Y$5=$C204,$E$5+$E204,0),2),2)&lt;=AB204,ROUND(AA203+Z204-ROUND(Y$6+IF(Y$5=$C204,$E$5+$E204,0),2),2)*10&lt;=ROUND(Y$6+IF(Y$5=$C204,$E$5+$E204,0),2)),ROUND(AA203+Z204,2),MIN(ROUND(Y$6+IF(Y$5=$C204,$E$5+$E204,0),2),ROUND(AA203+Z204,2))),0)</f>
        <v>0</v>
      </c>
      <c r="Z204" s="24">
        <f>IF(AA203&gt;0,ROUND(ROUND(AA203*100,0)*ROUND(Y$7*10000,0)/12000000,0)/100,0)</f>
        <v>0</v>
      </c>
      <c r="AA204" s="24">
        <f>IF(AA203&gt;0,ROUND(AA203+Z204-Y204,2),0)</f>
        <v>0</v>
      </c>
      <c r="AB204" s="24">
        <f>IF(AA203&gt;0,ROUND(AB203+ROUND(ROUND(AB203*100,0)*ROUND(Y$7*10000,0)/12000000,0)/100+0.02,2),0)</f>
        <v>0</v>
      </c>
      <c r="AC204" s="24">
        <f>IF(AE203&gt;0,IF(AND(ROUND(AE203+AD204-ROUND(AC$6+IF(AC$5=$C204,$E$5+$E204,0),2),2)&gt;0,ROUND(AE203+AD204-ROUND(AC$6+IF(AC$5=$C204,$E$5+$E204,0),2),2)&lt;=AF204,ROUND(AE203+AD204-ROUND(AC$6+IF(AC$5=$C204,$E$5+$E204,0),2),2)*10&lt;=ROUND(AC$6+IF(AC$5=$C204,$E$5+$E204,0),2)),ROUND(AE203+AD204,2),MIN(ROUND(AC$6+IF(AC$5=$C204,$E$5+$E204,0),2),ROUND(AE203+AD204,2))),0)</f>
        <v>0</v>
      </c>
      <c r="AD204" s="24">
        <f>IF(AE203&gt;0,ROUND(ROUND(AE203*100,0)*ROUND(AC$7*10000,0)/12000000,0)/100,0)</f>
        <v>0</v>
      </c>
      <c r="AE204" s="24">
        <f>IF(AE203&gt;0,ROUND(AE203+AD204-AC204,2),0)</f>
        <v>0</v>
      </c>
      <c r="AF204" s="24">
        <f>IF(AE203&gt;0,ROUND(AF203+ROUND(ROUND(AF203*100,0)*ROUND(AC$7*10000,0)/12000000,0)/100+0.02,2),0)</f>
        <v>0</v>
      </c>
      <c r="AG204" s="24">
        <f>IF(AI203&gt;0,IF(AND(ROUND(AI203+AH204-ROUND(AG$6+IF(AG$5=$C204,$E$5+$E204,0),2),2)&gt;0,ROUND(AI203+AH204-ROUND(AG$6+IF(AG$5=$C204,$E$5+$E204,0),2),2)&lt;=AJ204,ROUND(AI203+AH204-ROUND(AG$6+IF(AG$5=$C204,$E$5+$E204,0),2),2)*10&lt;=ROUND(AG$6+IF(AG$5=$C204,$E$5+$E204,0),2)),ROUND(AI203+AH204,2),MIN(ROUND(AG$6+IF(AG$5=$C204,$E$5+$E204,0),2),ROUND(AI203+AH204,2))),0)</f>
        <v>0</v>
      </c>
      <c r="AH204" s="24">
        <f>IF(AI203&gt;0,ROUND(ROUND(AI203*100,0)*ROUND(AG$7*10000,0)/12000000,0)/100,0)</f>
        <v>0</v>
      </c>
      <c r="AI204" s="24">
        <f>IF(AI203&gt;0,ROUND(AI203+AH204-AG204,2),0)</f>
        <v>0</v>
      </c>
      <c r="AJ204" s="24">
        <f>IF(AI203&gt;0,ROUND(AJ203+ROUND(ROUND(AJ203*100,0)*ROUND(AG$7*10000,0)/12000000,0)/100+0.02,2),0)</f>
        <v>0</v>
      </c>
      <c r="AK204" s="24">
        <f>IF(AM203&gt;0,IF(AND(ROUND(AM203+AL204-ROUND(AK$6+IF(AK$5=$C204,$E$5+$E204,0),2),2)&gt;0,ROUND(AM203+AL204-ROUND(AK$6+IF(AK$5=$C204,$E$5+$E204,0),2),2)&lt;=AN204,ROUND(AM203+AL204-ROUND(AK$6+IF(AK$5=$C204,$E$5+$E204,0),2),2)*10&lt;=ROUND(AK$6+IF(AK$5=$C204,$E$5+$E204,0),2)),ROUND(AM203+AL204,2),MIN(ROUND(AK$6+IF(AK$5=$C204,$E$5+$E204,0),2),ROUND(AM203+AL204,2))),0)</f>
        <v>0</v>
      </c>
      <c r="AL204" s="24">
        <f>IF(AM203&gt;0,ROUND(ROUND(AM203*100,0)*ROUND(AK$7*10000,0)/12000000,0)/100,0)</f>
        <v>0</v>
      </c>
      <c r="AM204" s="24">
        <f>IF(AM203&gt;0,ROUND(AM203+AL204-AK204,2),0)</f>
        <v>0</v>
      </c>
      <c r="AN204" s="24">
        <f>IF(AM203&gt;0,ROUND(AN203+ROUND(ROUND(AN203*100,0)*ROUND(AK$7*10000,0)/12000000,0)/100+0.02,2),0)</f>
        <v>0</v>
      </c>
      <c r="AO204" s="24">
        <f>IF(AQ203&gt;0,IF(AND(ROUND(AQ203+AP204-ROUND(AO$6+IF(AO$5=$C204,$E$5+$E204,0),2),2)&gt;0,ROUND(AQ203+AP204-ROUND(AO$6+IF(AO$5=$C204,$E$5+$E204,0),2),2)&lt;=AR204,ROUND(AQ203+AP204-ROUND(AO$6+IF(AO$5=$C204,$E$5+$E204,0),2),2)*10&lt;=ROUND(AO$6+IF(AO$5=$C204,$E$5+$E204,0),2)),ROUND(AQ203+AP204,2),MIN(ROUND(AO$6+IF(AO$5=$C204,$E$5+$E204,0),2),ROUND(AQ203+AP204,2))),0)</f>
        <v>0</v>
      </c>
      <c r="AP204" s="24">
        <f>IF(AQ203&gt;0,ROUND(ROUND(AQ203*100,0)*ROUND(AO$7*10000,0)/12000000,0)/100,0)</f>
        <v>0</v>
      </c>
      <c r="AQ204" s="24">
        <f>IF(AQ203&gt;0,ROUND(AQ203+AP204-AO204,2),0)</f>
        <v>0</v>
      </c>
      <c r="AR204" s="24">
        <f>IF(AQ203&gt;0,ROUND(AR203+ROUND(ROUND(AR203*100,0)*ROUND(AO$7*10000,0)/12000000,0)/100+0.02,2),0)</f>
        <v>0</v>
      </c>
      <c r="AS204" s="24">
        <f>IF(AU203&gt;0,IF(AND(ROUND(AU203+AT204-ROUND(AS$6+IF(AS$5=$C204,$E$5+$E204,0),2),2)&gt;0,ROUND(AU203+AT204-ROUND(AS$6+IF(AS$5=$C204,$E$5+$E204,0),2),2)&lt;=AV204,ROUND(AU203+AT204-ROUND(AS$6+IF(AS$5=$C204,$E$5+$E204,0),2),2)*10&lt;=ROUND(AS$6+IF(AS$5=$C204,$E$5+$E204,0),2)),ROUND(AU203+AT204,2),MIN(ROUND(AS$6+IF(AS$5=$C204,$E$5+$E204,0),2),ROUND(AU203+AT204,2))),0)</f>
        <v>0</v>
      </c>
      <c r="AT204" s="24">
        <f>IF(AU203&gt;0,ROUND(ROUND(AU203*100,0)*ROUND(AS$7*10000,0)/12000000,0)/100,0)</f>
        <v>0</v>
      </c>
      <c r="AU204" s="24">
        <f>IF(AU203&gt;0,ROUND(AU203+AT204-AS204,2),0)</f>
        <v>0</v>
      </c>
      <c r="AV204" s="24">
        <f>IF(AU203&gt;0,ROUND(AV203+ROUND(ROUND(AV203*100,0)*ROUND(AS$7*10000,0)/12000000,0)/100+0.02,2),0)</f>
        <v>0</v>
      </c>
    </row>
    <row r="205" spans="1:48" x14ac:dyDescent="0.25">
      <c r="A205" s="17" t="str">
        <f>IF(F205&gt;0,195,"")</f>
        <v/>
      </c>
      <c r="B205" s="18" t="str">
        <f>IF(F205&gt;0,EDATE($E$6,195),"")</f>
        <v/>
      </c>
      <c r="C205" s="21">
        <f>IF(H204&gt;0,MIN(IF(K204&gt;0,I$5,99),IF(O204&gt;0,M$5,99),IF(S204&gt;0,Q$5,99),IF(W204&gt;0,U$5,99),IF(AA204&gt;0,Y$5,99),IF(AE204&gt;0,AC$5,99),IF(AI204&gt;0,AG$5,99),IF(AM204&gt;0,AK$5,99),IF(AQ204&gt;0,AO$5,99),IF(AU204&gt;0,AS$5,99)),0)</f>
        <v>0</v>
      </c>
      <c r="D205" t="str">
        <f>IF(C205&gt;0,INDEX($I$4:$AV$4,1,MATCH(C205,$I$5:$AV$5,0)),"")</f>
        <v/>
      </c>
      <c r="E205" s="24">
        <f>ROUND(IF(AND(I$8&gt;0,K204=0),I$6,0)+IF(AND(M$8&gt;0,O204=0),M$6,0)+IF(AND(Q$8&gt;0,S204=0),Q$6,0)+IF(AND(U$8&gt;0,W204=0),U$6,0)+IF(AND(Y$8&gt;0,AA204=0),Y$6,0)+IF(AND(AC$8&gt;0,AE204=0),AC$6,0)+IF(AND(AG$8&gt;0,AI204=0),AG$6,0)+IF(AND(AK$8&gt;0,AM204=0),AK$6,0)+IF(AND(AO$8&gt;0,AQ204=0),AO$6,0)+IF(AND(AS$8&gt;0,AU204=0),AS$6,0),2)</f>
        <v>325</v>
      </c>
      <c r="F205" s="24">
        <f>ROUND(I205+M205+Q205+U205+Y205+AC205+AG205+AK205+AO205+AS205,2)</f>
        <v>0</v>
      </c>
      <c r="G205" s="24">
        <f>ROUND(J205+N205+R205+V205+Z205+AD205+AH205+AL205+AP205+AT205,2)</f>
        <v>0</v>
      </c>
      <c r="H205" s="24">
        <f>ROUND(K205+O205+S205+W205+AA205+AE205+AI205+AM205+AQ205+AU205,2)</f>
        <v>0</v>
      </c>
      <c r="I205" s="24">
        <f>IF(K204&gt;0,IF(AND(ROUND(K204+J205-ROUND(I$6+IF(I$5=$C205,$E$5+$E205,0),2),2)&gt;0,ROUND(K204+J205-ROUND(I$6+IF(I$5=$C205,$E$5+$E205,0),2),2)&lt;=L205,ROUND(K204+J205-ROUND(I$6+IF(I$5=$C205,$E$5+$E205,0),2),2)*10&lt;=ROUND(I$6+IF(I$5=$C205,$E$5+$E205,0),2)),ROUND(K204+J205,2),MIN(ROUND(I$6+IF(I$5=$C205,$E$5+$E205,0),2),ROUND(K204+J205,2))),0)</f>
        <v>0</v>
      </c>
      <c r="J205" s="24">
        <f>IF(K204&gt;0,ROUND(ROUND(K204*100,0)*ROUND(I$7*10000,0)/12000000,0)/100,0)</f>
        <v>0</v>
      </c>
      <c r="K205" s="24">
        <f>IF(K204&gt;0,ROUND(K204+J205-I205,2),0)</f>
        <v>0</v>
      </c>
      <c r="L205" s="24">
        <f>IF(K204&gt;0,ROUND(L204+ROUND(ROUND(L204*100,0)*ROUND(I$7*10000,0)/12000000,0)/100+0.02,2),0)</f>
        <v>0</v>
      </c>
      <c r="M205" s="24">
        <f>IF(O204&gt;0,IF(AND(ROUND(O204+N205-ROUND(M$6+IF(M$5=$C205,$E$5+$E205,0),2),2)&gt;0,ROUND(O204+N205-ROUND(M$6+IF(M$5=$C205,$E$5+$E205,0),2),2)&lt;=P205,ROUND(O204+N205-ROUND(M$6+IF(M$5=$C205,$E$5+$E205,0),2),2)*10&lt;=ROUND(M$6+IF(M$5=$C205,$E$5+$E205,0),2)),ROUND(O204+N205,2),MIN(ROUND(M$6+IF(M$5=$C205,$E$5+$E205,0),2),ROUND(O204+N205,2))),0)</f>
        <v>0</v>
      </c>
      <c r="N205" s="24">
        <f>IF(O204&gt;0,ROUND(ROUND(O204*100,0)*ROUND(M$7*10000,0)/12000000,0)/100,0)</f>
        <v>0</v>
      </c>
      <c r="O205" s="24">
        <f>IF(O204&gt;0,ROUND(O204+N205-M205,2),0)</f>
        <v>0</v>
      </c>
      <c r="P205" s="24">
        <f>IF(O204&gt;0,ROUND(P204+ROUND(ROUND(P204*100,0)*ROUND(M$7*10000,0)/12000000,0)/100+0.02,2),0)</f>
        <v>0</v>
      </c>
      <c r="Q205" s="24">
        <f>IF(S204&gt;0,IF(AND(ROUND(S204+R205-ROUND(Q$6+IF(Q$5=$C205,$E$5+$E205,0),2),2)&gt;0,ROUND(S204+R205-ROUND(Q$6+IF(Q$5=$C205,$E$5+$E205,0),2),2)&lt;=T205,ROUND(S204+R205-ROUND(Q$6+IF(Q$5=$C205,$E$5+$E205,0),2),2)*10&lt;=ROUND(Q$6+IF(Q$5=$C205,$E$5+$E205,0),2)),ROUND(S204+R205,2),MIN(ROUND(Q$6+IF(Q$5=$C205,$E$5+$E205,0),2),ROUND(S204+R205,2))),0)</f>
        <v>0</v>
      </c>
      <c r="R205" s="24">
        <f>IF(S204&gt;0,ROUND(ROUND(S204*100,0)*ROUND(Q$7*10000,0)/12000000,0)/100,0)</f>
        <v>0</v>
      </c>
      <c r="S205" s="24">
        <f>IF(S204&gt;0,ROUND(S204+R205-Q205,2),0)</f>
        <v>0</v>
      </c>
      <c r="T205" s="24">
        <f>IF(S204&gt;0,ROUND(T204+ROUND(ROUND(T204*100,0)*ROUND(Q$7*10000,0)/12000000,0)/100+0.02,2),0)</f>
        <v>0</v>
      </c>
      <c r="U205" s="24">
        <f>IF(W204&gt;0,IF(AND(ROUND(W204+V205-ROUND(U$6+IF(U$5=$C205,$E$5+$E205,0),2),2)&gt;0,ROUND(W204+V205-ROUND(U$6+IF(U$5=$C205,$E$5+$E205,0),2),2)&lt;=X205,ROUND(W204+V205-ROUND(U$6+IF(U$5=$C205,$E$5+$E205,0),2),2)*10&lt;=ROUND(U$6+IF(U$5=$C205,$E$5+$E205,0),2)),ROUND(W204+V205,2),MIN(ROUND(U$6+IF(U$5=$C205,$E$5+$E205,0),2),ROUND(W204+V205,2))),0)</f>
        <v>0</v>
      </c>
      <c r="V205" s="24">
        <f>IF(W204&gt;0,ROUND(ROUND(W204*100,0)*ROUND(U$7*10000,0)/12000000,0)/100,0)</f>
        <v>0</v>
      </c>
      <c r="W205" s="24">
        <f>IF(W204&gt;0,ROUND(W204+V205-U205,2),0)</f>
        <v>0</v>
      </c>
      <c r="X205" s="24">
        <f>IF(W204&gt;0,ROUND(X204+ROUND(ROUND(X204*100,0)*ROUND(U$7*10000,0)/12000000,0)/100+0.02,2),0)</f>
        <v>0</v>
      </c>
      <c r="Y205" s="24">
        <f>IF(AA204&gt;0,IF(AND(ROUND(AA204+Z205-ROUND(Y$6+IF(Y$5=$C205,$E$5+$E205,0),2),2)&gt;0,ROUND(AA204+Z205-ROUND(Y$6+IF(Y$5=$C205,$E$5+$E205,0),2),2)&lt;=AB205,ROUND(AA204+Z205-ROUND(Y$6+IF(Y$5=$C205,$E$5+$E205,0),2),2)*10&lt;=ROUND(Y$6+IF(Y$5=$C205,$E$5+$E205,0),2)),ROUND(AA204+Z205,2),MIN(ROUND(Y$6+IF(Y$5=$C205,$E$5+$E205,0),2),ROUND(AA204+Z205,2))),0)</f>
        <v>0</v>
      </c>
      <c r="Z205" s="24">
        <f>IF(AA204&gt;0,ROUND(ROUND(AA204*100,0)*ROUND(Y$7*10000,0)/12000000,0)/100,0)</f>
        <v>0</v>
      </c>
      <c r="AA205" s="24">
        <f>IF(AA204&gt;0,ROUND(AA204+Z205-Y205,2),0)</f>
        <v>0</v>
      </c>
      <c r="AB205" s="24">
        <f>IF(AA204&gt;0,ROUND(AB204+ROUND(ROUND(AB204*100,0)*ROUND(Y$7*10000,0)/12000000,0)/100+0.02,2),0)</f>
        <v>0</v>
      </c>
      <c r="AC205" s="24">
        <f>IF(AE204&gt;0,IF(AND(ROUND(AE204+AD205-ROUND(AC$6+IF(AC$5=$C205,$E$5+$E205,0),2),2)&gt;0,ROUND(AE204+AD205-ROUND(AC$6+IF(AC$5=$C205,$E$5+$E205,0),2),2)&lt;=AF205,ROUND(AE204+AD205-ROUND(AC$6+IF(AC$5=$C205,$E$5+$E205,0),2),2)*10&lt;=ROUND(AC$6+IF(AC$5=$C205,$E$5+$E205,0),2)),ROUND(AE204+AD205,2),MIN(ROUND(AC$6+IF(AC$5=$C205,$E$5+$E205,0),2),ROUND(AE204+AD205,2))),0)</f>
        <v>0</v>
      </c>
      <c r="AD205" s="24">
        <f>IF(AE204&gt;0,ROUND(ROUND(AE204*100,0)*ROUND(AC$7*10000,0)/12000000,0)/100,0)</f>
        <v>0</v>
      </c>
      <c r="AE205" s="24">
        <f>IF(AE204&gt;0,ROUND(AE204+AD205-AC205,2),0)</f>
        <v>0</v>
      </c>
      <c r="AF205" s="24">
        <f>IF(AE204&gt;0,ROUND(AF204+ROUND(ROUND(AF204*100,0)*ROUND(AC$7*10000,0)/12000000,0)/100+0.02,2),0)</f>
        <v>0</v>
      </c>
      <c r="AG205" s="24">
        <f>IF(AI204&gt;0,IF(AND(ROUND(AI204+AH205-ROUND(AG$6+IF(AG$5=$C205,$E$5+$E205,0),2),2)&gt;0,ROUND(AI204+AH205-ROUND(AG$6+IF(AG$5=$C205,$E$5+$E205,0),2),2)&lt;=AJ205,ROUND(AI204+AH205-ROUND(AG$6+IF(AG$5=$C205,$E$5+$E205,0),2),2)*10&lt;=ROUND(AG$6+IF(AG$5=$C205,$E$5+$E205,0),2)),ROUND(AI204+AH205,2),MIN(ROUND(AG$6+IF(AG$5=$C205,$E$5+$E205,0),2),ROUND(AI204+AH205,2))),0)</f>
        <v>0</v>
      </c>
      <c r="AH205" s="24">
        <f>IF(AI204&gt;0,ROUND(ROUND(AI204*100,0)*ROUND(AG$7*10000,0)/12000000,0)/100,0)</f>
        <v>0</v>
      </c>
      <c r="AI205" s="24">
        <f>IF(AI204&gt;0,ROUND(AI204+AH205-AG205,2),0)</f>
        <v>0</v>
      </c>
      <c r="AJ205" s="24">
        <f>IF(AI204&gt;0,ROUND(AJ204+ROUND(ROUND(AJ204*100,0)*ROUND(AG$7*10000,0)/12000000,0)/100+0.02,2),0)</f>
        <v>0</v>
      </c>
      <c r="AK205" s="24">
        <f>IF(AM204&gt;0,IF(AND(ROUND(AM204+AL205-ROUND(AK$6+IF(AK$5=$C205,$E$5+$E205,0),2),2)&gt;0,ROUND(AM204+AL205-ROUND(AK$6+IF(AK$5=$C205,$E$5+$E205,0),2),2)&lt;=AN205,ROUND(AM204+AL205-ROUND(AK$6+IF(AK$5=$C205,$E$5+$E205,0),2),2)*10&lt;=ROUND(AK$6+IF(AK$5=$C205,$E$5+$E205,0),2)),ROUND(AM204+AL205,2),MIN(ROUND(AK$6+IF(AK$5=$C205,$E$5+$E205,0),2),ROUND(AM204+AL205,2))),0)</f>
        <v>0</v>
      </c>
      <c r="AL205" s="24">
        <f>IF(AM204&gt;0,ROUND(ROUND(AM204*100,0)*ROUND(AK$7*10000,0)/12000000,0)/100,0)</f>
        <v>0</v>
      </c>
      <c r="AM205" s="24">
        <f>IF(AM204&gt;0,ROUND(AM204+AL205-AK205,2),0)</f>
        <v>0</v>
      </c>
      <c r="AN205" s="24">
        <f>IF(AM204&gt;0,ROUND(AN204+ROUND(ROUND(AN204*100,0)*ROUND(AK$7*10000,0)/12000000,0)/100+0.02,2),0)</f>
        <v>0</v>
      </c>
      <c r="AO205" s="24">
        <f>IF(AQ204&gt;0,IF(AND(ROUND(AQ204+AP205-ROUND(AO$6+IF(AO$5=$C205,$E$5+$E205,0),2),2)&gt;0,ROUND(AQ204+AP205-ROUND(AO$6+IF(AO$5=$C205,$E$5+$E205,0),2),2)&lt;=AR205,ROUND(AQ204+AP205-ROUND(AO$6+IF(AO$5=$C205,$E$5+$E205,0),2),2)*10&lt;=ROUND(AO$6+IF(AO$5=$C205,$E$5+$E205,0),2)),ROUND(AQ204+AP205,2),MIN(ROUND(AO$6+IF(AO$5=$C205,$E$5+$E205,0),2),ROUND(AQ204+AP205,2))),0)</f>
        <v>0</v>
      </c>
      <c r="AP205" s="24">
        <f>IF(AQ204&gt;0,ROUND(ROUND(AQ204*100,0)*ROUND(AO$7*10000,0)/12000000,0)/100,0)</f>
        <v>0</v>
      </c>
      <c r="AQ205" s="24">
        <f>IF(AQ204&gt;0,ROUND(AQ204+AP205-AO205,2),0)</f>
        <v>0</v>
      </c>
      <c r="AR205" s="24">
        <f>IF(AQ204&gt;0,ROUND(AR204+ROUND(ROUND(AR204*100,0)*ROUND(AO$7*10000,0)/12000000,0)/100+0.02,2),0)</f>
        <v>0</v>
      </c>
      <c r="AS205" s="24">
        <f>IF(AU204&gt;0,IF(AND(ROUND(AU204+AT205-ROUND(AS$6+IF(AS$5=$C205,$E$5+$E205,0),2),2)&gt;0,ROUND(AU204+AT205-ROUND(AS$6+IF(AS$5=$C205,$E$5+$E205,0),2),2)&lt;=AV205,ROUND(AU204+AT205-ROUND(AS$6+IF(AS$5=$C205,$E$5+$E205,0),2),2)*10&lt;=ROUND(AS$6+IF(AS$5=$C205,$E$5+$E205,0),2)),ROUND(AU204+AT205,2),MIN(ROUND(AS$6+IF(AS$5=$C205,$E$5+$E205,0),2),ROUND(AU204+AT205,2))),0)</f>
        <v>0</v>
      </c>
      <c r="AT205" s="24">
        <f>IF(AU204&gt;0,ROUND(ROUND(AU204*100,0)*ROUND(AS$7*10000,0)/12000000,0)/100,0)</f>
        <v>0</v>
      </c>
      <c r="AU205" s="24">
        <f>IF(AU204&gt;0,ROUND(AU204+AT205-AS205,2),0)</f>
        <v>0</v>
      </c>
      <c r="AV205" s="24">
        <f>IF(AU204&gt;0,ROUND(AV204+ROUND(ROUND(AV204*100,0)*ROUND(AS$7*10000,0)/12000000,0)/100+0.02,2),0)</f>
        <v>0</v>
      </c>
    </row>
    <row r="206" spans="1:48" x14ac:dyDescent="0.25">
      <c r="A206" s="17" t="str">
        <f>IF(F206&gt;0,196,"")</f>
        <v/>
      </c>
      <c r="B206" s="18" t="str">
        <f>IF(F206&gt;0,EDATE($E$6,196),"")</f>
        <v/>
      </c>
      <c r="C206" s="21">
        <f>IF(H205&gt;0,MIN(IF(K205&gt;0,I$5,99),IF(O205&gt;0,M$5,99),IF(S205&gt;0,Q$5,99),IF(W205&gt;0,U$5,99),IF(AA205&gt;0,Y$5,99),IF(AE205&gt;0,AC$5,99),IF(AI205&gt;0,AG$5,99),IF(AM205&gt;0,AK$5,99),IF(AQ205&gt;0,AO$5,99),IF(AU205&gt;0,AS$5,99)),0)</f>
        <v>0</v>
      </c>
      <c r="D206" t="str">
        <f>IF(C206&gt;0,INDEX($I$4:$AV$4,1,MATCH(C206,$I$5:$AV$5,0)),"")</f>
        <v/>
      </c>
      <c r="E206" s="24">
        <f>ROUND(IF(AND(I$8&gt;0,K205=0),I$6,0)+IF(AND(M$8&gt;0,O205=0),M$6,0)+IF(AND(Q$8&gt;0,S205=0),Q$6,0)+IF(AND(U$8&gt;0,W205=0),U$6,0)+IF(AND(Y$8&gt;0,AA205=0),Y$6,0)+IF(AND(AC$8&gt;0,AE205=0),AC$6,0)+IF(AND(AG$8&gt;0,AI205=0),AG$6,0)+IF(AND(AK$8&gt;0,AM205=0),AK$6,0)+IF(AND(AO$8&gt;0,AQ205=0),AO$6,0)+IF(AND(AS$8&gt;0,AU205=0),AS$6,0),2)</f>
        <v>325</v>
      </c>
      <c r="F206" s="24">
        <f>ROUND(I206+M206+Q206+U206+Y206+AC206+AG206+AK206+AO206+AS206,2)</f>
        <v>0</v>
      </c>
      <c r="G206" s="24">
        <f>ROUND(J206+N206+R206+V206+Z206+AD206+AH206+AL206+AP206+AT206,2)</f>
        <v>0</v>
      </c>
      <c r="H206" s="24">
        <f>ROUND(K206+O206+S206+W206+AA206+AE206+AI206+AM206+AQ206+AU206,2)</f>
        <v>0</v>
      </c>
      <c r="I206" s="24">
        <f>IF(K205&gt;0,IF(AND(ROUND(K205+J206-ROUND(I$6+IF(I$5=$C206,$E$5+$E206,0),2),2)&gt;0,ROUND(K205+J206-ROUND(I$6+IF(I$5=$C206,$E$5+$E206,0),2),2)&lt;=L206,ROUND(K205+J206-ROUND(I$6+IF(I$5=$C206,$E$5+$E206,0),2),2)*10&lt;=ROUND(I$6+IF(I$5=$C206,$E$5+$E206,0),2)),ROUND(K205+J206,2),MIN(ROUND(I$6+IF(I$5=$C206,$E$5+$E206,0),2),ROUND(K205+J206,2))),0)</f>
        <v>0</v>
      </c>
      <c r="J206" s="24">
        <f>IF(K205&gt;0,ROUND(ROUND(K205*100,0)*ROUND(I$7*10000,0)/12000000,0)/100,0)</f>
        <v>0</v>
      </c>
      <c r="K206" s="24">
        <f>IF(K205&gt;0,ROUND(K205+J206-I206,2),0)</f>
        <v>0</v>
      </c>
      <c r="L206" s="24">
        <f>IF(K205&gt;0,ROUND(L205+ROUND(ROUND(L205*100,0)*ROUND(I$7*10000,0)/12000000,0)/100+0.02,2),0)</f>
        <v>0</v>
      </c>
      <c r="M206" s="24">
        <f>IF(O205&gt;0,IF(AND(ROUND(O205+N206-ROUND(M$6+IF(M$5=$C206,$E$5+$E206,0),2),2)&gt;0,ROUND(O205+N206-ROUND(M$6+IF(M$5=$C206,$E$5+$E206,0),2),2)&lt;=P206,ROUND(O205+N206-ROUND(M$6+IF(M$5=$C206,$E$5+$E206,0),2),2)*10&lt;=ROUND(M$6+IF(M$5=$C206,$E$5+$E206,0),2)),ROUND(O205+N206,2),MIN(ROUND(M$6+IF(M$5=$C206,$E$5+$E206,0),2),ROUND(O205+N206,2))),0)</f>
        <v>0</v>
      </c>
      <c r="N206" s="24">
        <f>IF(O205&gt;0,ROUND(ROUND(O205*100,0)*ROUND(M$7*10000,0)/12000000,0)/100,0)</f>
        <v>0</v>
      </c>
      <c r="O206" s="24">
        <f>IF(O205&gt;0,ROUND(O205+N206-M206,2),0)</f>
        <v>0</v>
      </c>
      <c r="P206" s="24">
        <f>IF(O205&gt;0,ROUND(P205+ROUND(ROUND(P205*100,0)*ROUND(M$7*10000,0)/12000000,0)/100+0.02,2),0)</f>
        <v>0</v>
      </c>
      <c r="Q206" s="24">
        <f>IF(S205&gt;0,IF(AND(ROUND(S205+R206-ROUND(Q$6+IF(Q$5=$C206,$E$5+$E206,0),2),2)&gt;0,ROUND(S205+R206-ROUND(Q$6+IF(Q$5=$C206,$E$5+$E206,0),2),2)&lt;=T206,ROUND(S205+R206-ROUND(Q$6+IF(Q$5=$C206,$E$5+$E206,0),2),2)*10&lt;=ROUND(Q$6+IF(Q$5=$C206,$E$5+$E206,0),2)),ROUND(S205+R206,2),MIN(ROUND(Q$6+IF(Q$5=$C206,$E$5+$E206,0),2),ROUND(S205+R206,2))),0)</f>
        <v>0</v>
      </c>
      <c r="R206" s="24">
        <f>IF(S205&gt;0,ROUND(ROUND(S205*100,0)*ROUND(Q$7*10000,0)/12000000,0)/100,0)</f>
        <v>0</v>
      </c>
      <c r="S206" s="24">
        <f>IF(S205&gt;0,ROUND(S205+R206-Q206,2),0)</f>
        <v>0</v>
      </c>
      <c r="T206" s="24">
        <f>IF(S205&gt;0,ROUND(T205+ROUND(ROUND(T205*100,0)*ROUND(Q$7*10000,0)/12000000,0)/100+0.02,2),0)</f>
        <v>0</v>
      </c>
      <c r="U206" s="24">
        <f>IF(W205&gt;0,IF(AND(ROUND(W205+V206-ROUND(U$6+IF(U$5=$C206,$E$5+$E206,0),2),2)&gt;0,ROUND(W205+V206-ROUND(U$6+IF(U$5=$C206,$E$5+$E206,0),2),2)&lt;=X206,ROUND(W205+V206-ROUND(U$6+IF(U$5=$C206,$E$5+$E206,0),2),2)*10&lt;=ROUND(U$6+IF(U$5=$C206,$E$5+$E206,0),2)),ROUND(W205+V206,2),MIN(ROUND(U$6+IF(U$5=$C206,$E$5+$E206,0),2),ROUND(W205+V206,2))),0)</f>
        <v>0</v>
      </c>
      <c r="V206" s="24">
        <f>IF(W205&gt;0,ROUND(ROUND(W205*100,0)*ROUND(U$7*10000,0)/12000000,0)/100,0)</f>
        <v>0</v>
      </c>
      <c r="W206" s="24">
        <f>IF(W205&gt;0,ROUND(W205+V206-U206,2),0)</f>
        <v>0</v>
      </c>
      <c r="X206" s="24">
        <f>IF(W205&gt;0,ROUND(X205+ROUND(ROUND(X205*100,0)*ROUND(U$7*10000,0)/12000000,0)/100+0.02,2),0)</f>
        <v>0</v>
      </c>
      <c r="Y206" s="24">
        <f>IF(AA205&gt;0,IF(AND(ROUND(AA205+Z206-ROUND(Y$6+IF(Y$5=$C206,$E$5+$E206,0),2),2)&gt;0,ROUND(AA205+Z206-ROUND(Y$6+IF(Y$5=$C206,$E$5+$E206,0),2),2)&lt;=AB206,ROUND(AA205+Z206-ROUND(Y$6+IF(Y$5=$C206,$E$5+$E206,0),2),2)*10&lt;=ROUND(Y$6+IF(Y$5=$C206,$E$5+$E206,0),2)),ROUND(AA205+Z206,2),MIN(ROUND(Y$6+IF(Y$5=$C206,$E$5+$E206,0),2),ROUND(AA205+Z206,2))),0)</f>
        <v>0</v>
      </c>
      <c r="Z206" s="24">
        <f>IF(AA205&gt;0,ROUND(ROUND(AA205*100,0)*ROUND(Y$7*10000,0)/12000000,0)/100,0)</f>
        <v>0</v>
      </c>
      <c r="AA206" s="24">
        <f>IF(AA205&gt;0,ROUND(AA205+Z206-Y206,2),0)</f>
        <v>0</v>
      </c>
      <c r="AB206" s="24">
        <f>IF(AA205&gt;0,ROUND(AB205+ROUND(ROUND(AB205*100,0)*ROUND(Y$7*10000,0)/12000000,0)/100+0.02,2),0)</f>
        <v>0</v>
      </c>
      <c r="AC206" s="24">
        <f>IF(AE205&gt;0,IF(AND(ROUND(AE205+AD206-ROUND(AC$6+IF(AC$5=$C206,$E$5+$E206,0),2),2)&gt;0,ROUND(AE205+AD206-ROUND(AC$6+IF(AC$5=$C206,$E$5+$E206,0),2),2)&lt;=AF206,ROUND(AE205+AD206-ROUND(AC$6+IF(AC$5=$C206,$E$5+$E206,0),2),2)*10&lt;=ROUND(AC$6+IF(AC$5=$C206,$E$5+$E206,0),2)),ROUND(AE205+AD206,2),MIN(ROUND(AC$6+IF(AC$5=$C206,$E$5+$E206,0),2),ROUND(AE205+AD206,2))),0)</f>
        <v>0</v>
      </c>
      <c r="AD206" s="24">
        <f>IF(AE205&gt;0,ROUND(ROUND(AE205*100,0)*ROUND(AC$7*10000,0)/12000000,0)/100,0)</f>
        <v>0</v>
      </c>
      <c r="AE206" s="24">
        <f>IF(AE205&gt;0,ROUND(AE205+AD206-AC206,2),0)</f>
        <v>0</v>
      </c>
      <c r="AF206" s="24">
        <f>IF(AE205&gt;0,ROUND(AF205+ROUND(ROUND(AF205*100,0)*ROUND(AC$7*10000,0)/12000000,0)/100+0.02,2),0)</f>
        <v>0</v>
      </c>
      <c r="AG206" s="24">
        <f>IF(AI205&gt;0,IF(AND(ROUND(AI205+AH206-ROUND(AG$6+IF(AG$5=$C206,$E$5+$E206,0),2),2)&gt;0,ROUND(AI205+AH206-ROUND(AG$6+IF(AG$5=$C206,$E$5+$E206,0),2),2)&lt;=AJ206,ROUND(AI205+AH206-ROUND(AG$6+IF(AG$5=$C206,$E$5+$E206,0),2),2)*10&lt;=ROUND(AG$6+IF(AG$5=$C206,$E$5+$E206,0),2)),ROUND(AI205+AH206,2),MIN(ROUND(AG$6+IF(AG$5=$C206,$E$5+$E206,0),2),ROUND(AI205+AH206,2))),0)</f>
        <v>0</v>
      </c>
      <c r="AH206" s="24">
        <f>IF(AI205&gt;0,ROUND(ROUND(AI205*100,0)*ROUND(AG$7*10000,0)/12000000,0)/100,0)</f>
        <v>0</v>
      </c>
      <c r="AI206" s="24">
        <f>IF(AI205&gt;0,ROUND(AI205+AH206-AG206,2),0)</f>
        <v>0</v>
      </c>
      <c r="AJ206" s="24">
        <f>IF(AI205&gt;0,ROUND(AJ205+ROUND(ROUND(AJ205*100,0)*ROUND(AG$7*10000,0)/12000000,0)/100+0.02,2),0)</f>
        <v>0</v>
      </c>
      <c r="AK206" s="24">
        <f>IF(AM205&gt;0,IF(AND(ROUND(AM205+AL206-ROUND(AK$6+IF(AK$5=$C206,$E$5+$E206,0),2),2)&gt;0,ROUND(AM205+AL206-ROUND(AK$6+IF(AK$5=$C206,$E$5+$E206,0),2),2)&lt;=AN206,ROUND(AM205+AL206-ROUND(AK$6+IF(AK$5=$C206,$E$5+$E206,0),2),2)*10&lt;=ROUND(AK$6+IF(AK$5=$C206,$E$5+$E206,0),2)),ROUND(AM205+AL206,2),MIN(ROUND(AK$6+IF(AK$5=$C206,$E$5+$E206,0),2),ROUND(AM205+AL206,2))),0)</f>
        <v>0</v>
      </c>
      <c r="AL206" s="24">
        <f>IF(AM205&gt;0,ROUND(ROUND(AM205*100,0)*ROUND(AK$7*10000,0)/12000000,0)/100,0)</f>
        <v>0</v>
      </c>
      <c r="AM206" s="24">
        <f>IF(AM205&gt;0,ROUND(AM205+AL206-AK206,2),0)</f>
        <v>0</v>
      </c>
      <c r="AN206" s="24">
        <f>IF(AM205&gt;0,ROUND(AN205+ROUND(ROUND(AN205*100,0)*ROUND(AK$7*10000,0)/12000000,0)/100+0.02,2),0)</f>
        <v>0</v>
      </c>
      <c r="AO206" s="24">
        <f>IF(AQ205&gt;0,IF(AND(ROUND(AQ205+AP206-ROUND(AO$6+IF(AO$5=$C206,$E$5+$E206,0),2),2)&gt;0,ROUND(AQ205+AP206-ROUND(AO$6+IF(AO$5=$C206,$E$5+$E206,0),2),2)&lt;=AR206,ROUND(AQ205+AP206-ROUND(AO$6+IF(AO$5=$C206,$E$5+$E206,0),2),2)*10&lt;=ROUND(AO$6+IF(AO$5=$C206,$E$5+$E206,0),2)),ROUND(AQ205+AP206,2),MIN(ROUND(AO$6+IF(AO$5=$C206,$E$5+$E206,0),2),ROUND(AQ205+AP206,2))),0)</f>
        <v>0</v>
      </c>
      <c r="AP206" s="24">
        <f>IF(AQ205&gt;0,ROUND(ROUND(AQ205*100,0)*ROUND(AO$7*10000,0)/12000000,0)/100,0)</f>
        <v>0</v>
      </c>
      <c r="AQ206" s="24">
        <f>IF(AQ205&gt;0,ROUND(AQ205+AP206-AO206,2),0)</f>
        <v>0</v>
      </c>
      <c r="AR206" s="24">
        <f>IF(AQ205&gt;0,ROUND(AR205+ROUND(ROUND(AR205*100,0)*ROUND(AO$7*10000,0)/12000000,0)/100+0.02,2),0)</f>
        <v>0</v>
      </c>
      <c r="AS206" s="24">
        <f>IF(AU205&gt;0,IF(AND(ROUND(AU205+AT206-ROUND(AS$6+IF(AS$5=$C206,$E$5+$E206,0),2),2)&gt;0,ROUND(AU205+AT206-ROUND(AS$6+IF(AS$5=$C206,$E$5+$E206,0),2),2)&lt;=AV206,ROUND(AU205+AT206-ROUND(AS$6+IF(AS$5=$C206,$E$5+$E206,0),2),2)*10&lt;=ROUND(AS$6+IF(AS$5=$C206,$E$5+$E206,0),2)),ROUND(AU205+AT206,2),MIN(ROUND(AS$6+IF(AS$5=$C206,$E$5+$E206,0),2),ROUND(AU205+AT206,2))),0)</f>
        <v>0</v>
      </c>
      <c r="AT206" s="24">
        <f>IF(AU205&gt;0,ROUND(ROUND(AU205*100,0)*ROUND(AS$7*10000,0)/12000000,0)/100,0)</f>
        <v>0</v>
      </c>
      <c r="AU206" s="24">
        <f>IF(AU205&gt;0,ROUND(AU205+AT206-AS206,2),0)</f>
        <v>0</v>
      </c>
      <c r="AV206" s="24">
        <f>IF(AU205&gt;0,ROUND(AV205+ROUND(ROUND(AV205*100,0)*ROUND(AS$7*10000,0)/12000000,0)/100+0.02,2),0)</f>
        <v>0</v>
      </c>
    </row>
    <row r="207" spans="1:48" x14ac:dyDescent="0.25">
      <c r="A207" s="17" t="str">
        <f>IF(F207&gt;0,197,"")</f>
        <v/>
      </c>
      <c r="B207" s="18" t="str">
        <f>IF(F207&gt;0,EDATE($E$6,197),"")</f>
        <v/>
      </c>
      <c r="C207" s="21">
        <f>IF(H206&gt;0,MIN(IF(K206&gt;0,I$5,99),IF(O206&gt;0,M$5,99),IF(S206&gt;0,Q$5,99),IF(W206&gt;0,U$5,99),IF(AA206&gt;0,Y$5,99),IF(AE206&gt;0,AC$5,99),IF(AI206&gt;0,AG$5,99),IF(AM206&gt;0,AK$5,99),IF(AQ206&gt;0,AO$5,99),IF(AU206&gt;0,AS$5,99)),0)</f>
        <v>0</v>
      </c>
      <c r="D207" t="str">
        <f>IF(C207&gt;0,INDEX($I$4:$AV$4,1,MATCH(C207,$I$5:$AV$5,0)),"")</f>
        <v/>
      </c>
      <c r="E207" s="24">
        <f>ROUND(IF(AND(I$8&gt;0,K206=0),I$6,0)+IF(AND(M$8&gt;0,O206=0),M$6,0)+IF(AND(Q$8&gt;0,S206=0),Q$6,0)+IF(AND(U$8&gt;0,W206=0),U$6,0)+IF(AND(Y$8&gt;0,AA206=0),Y$6,0)+IF(AND(AC$8&gt;0,AE206=0),AC$6,0)+IF(AND(AG$8&gt;0,AI206=0),AG$6,0)+IF(AND(AK$8&gt;0,AM206=0),AK$6,0)+IF(AND(AO$8&gt;0,AQ206=0),AO$6,0)+IF(AND(AS$8&gt;0,AU206=0),AS$6,0),2)</f>
        <v>325</v>
      </c>
      <c r="F207" s="24">
        <f>ROUND(I207+M207+Q207+U207+Y207+AC207+AG207+AK207+AO207+AS207,2)</f>
        <v>0</v>
      </c>
      <c r="G207" s="24">
        <f>ROUND(J207+N207+R207+V207+Z207+AD207+AH207+AL207+AP207+AT207,2)</f>
        <v>0</v>
      </c>
      <c r="H207" s="24">
        <f>ROUND(K207+O207+S207+W207+AA207+AE207+AI207+AM207+AQ207+AU207,2)</f>
        <v>0</v>
      </c>
      <c r="I207" s="24">
        <f>IF(K206&gt;0,IF(AND(ROUND(K206+J207-ROUND(I$6+IF(I$5=$C207,$E$5+$E207,0),2),2)&gt;0,ROUND(K206+J207-ROUND(I$6+IF(I$5=$C207,$E$5+$E207,0),2),2)&lt;=L207,ROUND(K206+J207-ROUND(I$6+IF(I$5=$C207,$E$5+$E207,0),2),2)*10&lt;=ROUND(I$6+IF(I$5=$C207,$E$5+$E207,0),2)),ROUND(K206+J207,2),MIN(ROUND(I$6+IF(I$5=$C207,$E$5+$E207,0),2),ROUND(K206+J207,2))),0)</f>
        <v>0</v>
      </c>
      <c r="J207" s="24">
        <f>IF(K206&gt;0,ROUND(ROUND(K206*100,0)*ROUND(I$7*10000,0)/12000000,0)/100,0)</f>
        <v>0</v>
      </c>
      <c r="K207" s="24">
        <f>IF(K206&gt;0,ROUND(K206+J207-I207,2),0)</f>
        <v>0</v>
      </c>
      <c r="L207" s="24">
        <f>IF(K206&gt;0,ROUND(L206+ROUND(ROUND(L206*100,0)*ROUND(I$7*10000,0)/12000000,0)/100+0.02,2),0)</f>
        <v>0</v>
      </c>
      <c r="M207" s="24">
        <f>IF(O206&gt;0,IF(AND(ROUND(O206+N207-ROUND(M$6+IF(M$5=$C207,$E$5+$E207,0),2),2)&gt;0,ROUND(O206+N207-ROUND(M$6+IF(M$5=$C207,$E$5+$E207,0),2),2)&lt;=P207,ROUND(O206+N207-ROUND(M$6+IF(M$5=$C207,$E$5+$E207,0),2),2)*10&lt;=ROUND(M$6+IF(M$5=$C207,$E$5+$E207,0),2)),ROUND(O206+N207,2),MIN(ROUND(M$6+IF(M$5=$C207,$E$5+$E207,0),2),ROUND(O206+N207,2))),0)</f>
        <v>0</v>
      </c>
      <c r="N207" s="24">
        <f>IF(O206&gt;0,ROUND(ROUND(O206*100,0)*ROUND(M$7*10000,0)/12000000,0)/100,0)</f>
        <v>0</v>
      </c>
      <c r="O207" s="24">
        <f>IF(O206&gt;0,ROUND(O206+N207-M207,2),0)</f>
        <v>0</v>
      </c>
      <c r="P207" s="24">
        <f>IF(O206&gt;0,ROUND(P206+ROUND(ROUND(P206*100,0)*ROUND(M$7*10000,0)/12000000,0)/100+0.02,2),0)</f>
        <v>0</v>
      </c>
      <c r="Q207" s="24">
        <f>IF(S206&gt;0,IF(AND(ROUND(S206+R207-ROUND(Q$6+IF(Q$5=$C207,$E$5+$E207,0),2),2)&gt;0,ROUND(S206+R207-ROUND(Q$6+IF(Q$5=$C207,$E$5+$E207,0),2),2)&lt;=T207,ROUND(S206+R207-ROUND(Q$6+IF(Q$5=$C207,$E$5+$E207,0),2),2)*10&lt;=ROUND(Q$6+IF(Q$5=$C207,$E$5+$E207,0),2)),ROUND(S206+R207,2),MIN(ROUND(Q$6+IF(Q$5=$C207,$E$5+$E207,0),2),ROUND(S206+R207,2))),0)</f>
        <v>0</v>
      </c>
      <c r="R207" s="24">
        <f>IF(S206&gt;0,ROUND(ROUND(S206*100,0)*ROUND(Q$7*10000,0)/12000000,0)/100,0)</f>
        <v>0</v>
      </c>
      <c r="S207" s="24">
        <f>IF(S206&gt;0,ROUND(S206+R207-Q207,2),0)</f>
        <v>0</v>
      </c>
      <c r="T207" s="24">
        <f>IF(S206&gt;0,ROUND(T206+ROUND(ROUND(T206*100,0)*ROUND(Q$7*10000,0)/12000000,0)/100+0.02,2),0)</f>
        <v>0</v>
      </c>
      <c r="U207" s="24">
        <f>IF(W206&gt;0,IF(AND(ROUND(W206+V207-ROUND(U$6+IF(U$5=$C207,$E$5+$E207,0),2),2)&gt;0,ROUND(W206+V207-ROUND(U$6+IF(U$5=$C207,$E$5+$E207,0),2),2)&lt;=X207,ROUND(W206+V207-ROUND(U$6+IF(U$5=$C207,$E$5+$E207,0),2),2)*10&lt;=ROUND(U$6+IF(U$5=$C207,$E$5+$E207,0),2)),ROUND(W206+V207,2),MIN(ROUND(U$6+IF(U$5=$C207,$E$5+$E207,0),2),ROUND(W206+V207,2))),0)</f>
        <v>0</v>
      </c>
      <c r="V207" s="24">
        <f>IF(W206&gt;0,ROUND(ROUND(W206*100,0)*ROUND(U$7*10000,0)/12000000,0)/100,0)</f>
        <v>0</v>
      </c>
      <c r="W207" s="24">
        <f>IF(W206&gt;0,ROUND(W206+V207-U207,2),0)</f>
        <v>0</v>
      </c>
      <c r="X207" s="24">
        <f>IF(W206&gt;0,ROUND(X206+ROUND(ROUND(X206*100,0)*ROUND(U$7*10000,0)/12000000,0)/100+0.02,2),0)</f>
        <v>0</v>
      </c>
      <c r="Y207" s="24">
        <f>IF(AA206&gt;0,IF(AND(ROUND(AA206+Z207-ROUND(Y$6+IF(Y$5=$C207,$E$5+$E207,0),2),2)&gt;0,ROUND(AA206+Z207-ROUND(Y$6+IF(Y$5=$C207,$E$5+$E207,0),2),2)&lt;=AB207,ROUND(AA206+Z207-ROUND(Y$6+IF(Y$5=$C207,$E$5+$E207,0),2),2)*10&lt;=ROUND(Y$6+IF(Y$5=$C207,$E$5+$E207,0),2)),ROUND(AA206+Z207,2),MIN(ROUND(Y$6+IF(Y$5=$C207,$E$5+$E207,0),2),ROUND(AA206+Z207,2))),0)</f>
        <v>0</v>
      </c>
      <c r="Z207" s="24">
        <f>IF(AA206&gt;0,ROUND(ROUND(AA206*100,0)*ROUND(Y$7*10000,0)/12000000,0)/100,0)</f>
        <v>0</v>
      </c>
      <c r="AA207" s="24">
        <f>IF(AA206&gt;0,ROUND(AA206+Z207-Y207,2),0)</f>
        <v>0</v>
      </c>
      <c r="AB207" s="24">
        <f>IF(AA206&gt;0,ROUND(AB206+ROUND(ROUND(AB206*100,0)*ROUND(Y$7*10000,0)/12000000,0)/100+0.02,2),0)</f>
        <v>0</v>
      </c>
      <c r="AC207" s="24">
        <f>IF(AE206&gt;0,IF(AND(ROUND(AE206+AD207-ROUND(AC$6+IF(AC$5=$C207,$E$5+$E207,0),2),2)&gt;0,ROUND(AE206+AD207-ROUND(AC$6+IF(AC$5=$C207,$E$5+$E207,0),2),2)&lt;=AF207,ROUND(AE206+AD207-ROUND(AC$6+IF(AC$5=$C207,$E$5+$E207,0),2),2)*10&lt;=ROUND(AC$6+IF(AC$5=$C207,$E$5+$E207,0),2)),ROUND(AE206+AD207,2),MIN(ROUND(AC$6+IF(AC$5=$C207,$E$5+$E207,0),2),ROUND(AE206+AD207,2))),0)</f>
        <v>0</v>
      </c>
      <c r="AD207" s="24">
        <f>IF(AE206&gt;0,ROUND(ROUND(AE206*100,0)*ROUND(AC$7*10000,0)/12000000,0)/100,0)</f>
        <v>0</v>
      </c>
      <c r="AE207" s="24">
        <f>IF(AE206&gt;0,ROUND(AE206+AD207-AC207,2),0)</f>
        <v>0</v>
      </c>
      <c r="AF207" s="24">
        <f>IF(AE206&gt;0,ROUND(AF206+ROUND(ROUND(AF206*100,0)*ROUND(AC$7*10000,0)/12000000,0)/100+0.02,2),0)</f>
        <v>0</v>
      </c>
      <c r="AG207" s="24">
        <f>IF(AI206&gt;0,IF(AND(ROUND(AI206+AH207-ROUND(AG$6+IF(AG$5=$C207,$E$5+$E207,0),2),2)&gt;0,ROUND(AI206+AH207-ROUND(AG$6+IF(AG$5=$C207,$E$5+$E207,0),2),2)&lt;=AJ207,ROUND(AI206+AH207-ROUND(AG$6+IF(AG$5=$C207,$E$5+$E207,0),2),2)*10&lt;=ROUND(AG$6+IF(AG$5=$C207,$E$5+$E207,0),2)),ROUND(AI206+AH207,2),MIN(ROUND(AG$6+IF(AG$5=$C207,$E$5+$E207,0),2),ROUND(AI206+AH207,2))),0)</f>
        <v>0</v>
      </c>
      <c r="AH207" s="24">
        <f>IF(AI206&gt;0,ROUND(ROUND(AI206*100,0)*ROUND(AG$7*10000,0)/12000000,0)/100,0)</f>
        <v>0</v>
      </c>
      <c r="AI207" s="24">
        <f>IF(AI206&gt;0,ROUND(AI206+AH207-AG207,2),0)</f>
        <v>0</v>
      </c>
      <c r="AJ207" s="24">
        <f>IF(AI206&gt;0,ROUND(AJ206+ROUND(ROUND(AJ206*100,0)*ROUND(AG$7*10000,0)/12000000,0)/100+0.02,2),0)</f>
        <v>0</v>
      </c>
      <c r="AK207" s="24">
        <f>IF(AM206&gt;0,IF(AND(ROUND(AM206+AL207-ROUND(AK$6+IF(AK$5=$C207,$E$5+$E207,0),2),2)&gt;0,ROUND(AM206+AL207-ROUND(AK$6+IF(AK$5=$C207,$E$5+$E207,0),2),2)&lt;=AN207,ROUND(AM206+AL207-ROUND(AK$6+IF(AK$5=$C207,$E$5+$E207,0),2),2)*10&lt;=ROUND(AK$6+IF(AK$5=$C207,$E$5+$E207,0),2)),ROUND(AM206+AL207,2),MIN(ROUND(AK$6+IF(AK$5=$C207,$E$5+$E207,0),2),ROUND(AM206+AL207,2))),0)</f>
        <v>0</v>
      </c>
      <c r="AL207" s="24">
        <f>IF(AM206&gt;0,ROUND(ROUND(AM206*100,0)*ROUND(AK$7*10000,0)/12000000,0)/100,0)</f>
        <v>0</v>
      </c>
      <c r="AM207" s="24">
        <f>IF(AM206&gt;0,ROUND(AM206+AL207-AK207,2),0)</f>
        <v>0</v>
      </c>
      <c r="AN207" s="24">
        <f>IF(AM206&gt;0,ROUND(AN206+ROUND(ROUND(AN206*100,0)*ROUND(AK$7*10000,0)/12000000,0)/100+0.02,2),0)</f>
        <v>0</v>
      </c>
      <c r="AO207" s="24">
        <f>IF(AQ206&gt;0,IF(AND(ROUND(AQ206+AP207-ROUND(AO$6+IF(AO$5=$C207,$E$5+$E207,0),2),2)&gt;0,ROUND(AQ206+AP207-ROUND(AO$6+IF(AO$5=$C207,$E$5+$E207,0),2),2)&lt;=AR207,ROUND(AQ206+AP207-ROUND(AO$6+IF(AO$5=$C207,$E$5+$E207,0),2),2)*10&lt;=ROUND(AO$6+IF(AO$5=$C207,$E$5+$E207,0),2)),ROUND(AQ206+AP207,2),MIN(ROUND(AO$6+IF(AO$5=$C207,$E$5+$E207,0),2),ROUND(AQ206+AP207,2))),0)</f>
        <v>0</v>
      </c>
      <c r="AP207" s="24">
        <f>IF(AQ206&gt;0,ROUND(ROUND(AQ206*100,0)*ROUND(AO$7*10000,0)/12000000,0)/100,0)</f>
        <v>0</v>
      </c>
      <c r="AQ207" s="24">
        <f>IF(AQ206&gt;0,ROUND(AQ206+AP207-AO207,2),0)</f>
        <v>0</v>
      </c>
      <c r="AR207" s="24">
        <f>IF(AQ206&gt;0,ROUND(AR206+ROUND(ROUND(AR206*100,0)*ROUND(AO$7*10000,0)/12000000,0)/100+0.02,2),0)</f>
        <v>0</v>
      </c>
      <c r="AS207" s="24">
        <f>IF(AU206&gt;0,IF(AND(ROUND(AU206+AT207-ROUND(AS$6+IF(AS$5=$C207,$E$5+$E207,0),2),2)&gt;0,ROUND(AU206+AT207-ROUND(AS$6+IF(AS$5=$C207,$E$5+$E207,0),2),2)&lt;=AV207,ROUND(AU206+AT207-ROUND(AS$6+IF(AS$5=$C207,$E$5+$E207,0),2),2)*10&lt;=ROUND(AS$6+IF(AS$5=$C207,$E$5+$E207,0),2)),ROUND(AU206+AT207,2),MIN(ROUND(AS$6+IF(AS$5=$C207,$E$5+$E207,0),2),ROUND(AU206+AT207,2))),0)</f>
        <v>0</v>
      </c>
      <c r="AT207" s="24">
        <f>IF(AU206&gt;0,ROUND(ROUND(AU206*100,0)*ROUND(AS$7*10000,0)/12000000,0)/100,0)</f>
        <v>0</v>
      </c>
      <c r="AU207" s="24">
        <f>IF(AU206&gt;0,ROUND(AU206+AT207-AS207,2),0)</f>
        <v>0</v>
      </c>
      <c r="AV207" s="24">
        <f>IF(AU206&gt;0,ROUND(AV206+ROUND(ROUND(AV206*100,0)*ROUND(AS$7*10000,0)/12000000,0)/100+0.02,2),0)</f>
        <v>0</v>
      </c>
    </row>
    <row r="208" spans="1:48" x14ac:dyDescent="0.25">
      <c r="A208" s="17" t="str">
        <f>IF(F208&gt;0,198,"")</f>
        <v/>
      </c>
      <c r="B208" s="18" t="str">
        <f>IF(F208&gt;0,EDATE($E$6,198),"")</f>
        <v/>
      </c>
      <c r="C208" s="21">
        <f>IF(H207&gt;0,MIN(IF(K207&gt;0,I$5,99),IF(O207&gt;0,M$5,99),IF(S207&gt;0,Q$5,99),IF(W207&gt;0,U$5,99),IF(AA207&gt;0,Y$5,99),IF(AE207&gt;0,AC$5,99),IF(AI207&gt;0,AG$5,99),IF(AM207&gt;0,AK$5,99),IF(AQ207&gt;0,AO$5,99),IF(AU207&gt;0,AS$5,99)),0)</f>
        <v>0</v>
      </c>
      <c r="D208" t="str">
        <f>IF(C208&gt;0,INDEX($I$4:$AV$4,1,MATCH(C208,$I$5:$AV$5,0)),"")</f>
        <v/>
      </c>
      <c r="E208" s="24">
        <f>ROUND(IF(AND(I$8&gt;0,K207=0),I$6,0)+IF(AND(M$8&gt;0,O207=0),M$6,0)+IF(AND(Q$8&gt;0,S207=0),Q$6,0)+IF(AND(U$8&gt;0,W207=0),U$6,0)+IF(AND(Y$8&gt;0,AA207=0),Y$6,0)+IF(AND(AC$8&gt;0,AE207=0),AC$6,0)+IF(AND(AG$8&gt;0,AI207=0),AG$6,0)+IF(AND(AK$8&gt;0,AM207=0),AK$6,0)+IF(AND(AO$8&gt;0,AQ207=0),AO$6,0)+IF(AND(AS$8&gt;0,AU207=0),AS$6,0),2)</f>
        <v>325</v>
      </c>
      <c r="F208" s="24">
        <f>ROUND(I208+M208+Q208+U208+Y208+AC208+AG208+AK208+AO208+AS208,2)</f>
        <v>0</v>
      </c>
      <c r="G208" s="24">
        <f>ROUND(J208+N208+R208+V208+Z208+AD208+AH208+AL208+AP208+AT208,2)</f>
        <v>0</v>
      </c>
      <c r="H208" s="24">
        <f>ROUND(K208+O208+S208+W208+AA208+AE208+AI208+AM208+AQ208+AU208,2)</f>
        <v>0</v>
      </c>
      <c r="I208" s="24">
        <f>IF(K207&gt;0,IF(AND(ROUND(K207+J208-ROUND(I$6+IF(I$5=$C208,$E$5+$E208,0),2),2)&gt;0,ROUND(K207+J208-ROUND(I$6+IF(I$5=$C208,$E$5+$E208,0),2),2)&lt;=L208,ROUND(K207+J208-ROUND(I$6+IF(I$5=$C208,$E$5+$E208,0),2),2)*10&lt;=ROUND(I$6+IF(I$5=$C208,$E$5+$E208,0),2)),ROUND(K207+J208,2),MIN(ROUND(I$6+IF(I$5=$C208,$E$5+$E208,0),2),ROUND(K207+J208,2))),0)</f>
        <v>0</v>
      </c>
      <c r="J208" s="24">
        <f>IF(K207&gt;0,ROUND(ROUND(K207*100,0)*ROUND(I$7*10000,0)/12000000,0)/100,0)</f>
        <v>0</v>
      </c>
      <c r="K208" s="24">
        <f>IF(K207&gt;0,ROUND(K207+J208-I208,2),0)</f>
        <v>0</v>
      </c>
      <c r="L208" s="24">
        <f>IF(K207&gt;0,ROUND(L207+ROUND(ROUND(L207*100,0)*ROUND(I$7*10000,0)/12000000,0)/100+0.02,2),0)</f>
        <v>0</v>
      </c>
      <c r="M208" s="24">
        <f>IF(O207&gt;0,IF(AND(ROUND(O207+N208-ROUND(M$6+IF(M$5=$C208,$E$5+$E208,0),2),2)&gt;0,ROUND(O207+N208-ROUND(M$6+IF(M$5=$C208,$E$5+$E208,0),2),2)&lt;=P208,ROUND(O207+N208-ROUND(M$6+IF(M$5=$C208,$E$5+$E208,0),2),2)*10&lt;=ROUND(M$6+IF(M$5=$C208,$E$5+$E208,0),2)),ROUND(O207+N208,2),MIN(ROUND(M$6+IF(M$5=$C208,$E$5+$E208,0),2),ROUND(O207+N208,2))),0)</f>
        <v>0</v>
      </c>
      <c r="N208" s="24">
        <f>IF(O207&gt;0,ROUND(ROUND(O207*100,0)*ROUND(M$7*10000,0)/12000000,0)/100,0)</f>
        <v>0</v>
      </c>
      <c r="O208" s="24">
        <f>IF(O207&gt;0,ROUND(O207+N208-M208,2),0)</f>
        <v>0</v>
      </c>
      <c r="P208" s="24">
        <f>IF(O207&gt;0,ROUND(P207+ROUND(ROUND(P207*100,0)*ROUND(M$7*10000,0)/12000000,0)/100+0.02,2),0)</f>
        <v>0</v>
      </c>
      <c r="Q208" s="24">
        <f>IF(S207&gt;0,IF(AND(ROUND(S207+R208-ROUND(Q$6+IF(Q$5=$C208,$E$5+$E208,0),2),2)&gt;0,ROUND(S207+R208-ROUND(Q$6+IF(Q$5=$C208,$E$5+$E208,0),2),2)&lt;=T208,ROUND(S207+R208-ROUND(Q$6+IF(Q$5=$C208,$E$5+$E208,0),2),2)*10&lt;=ROUND(Q$6+IF(Q$5=$C208,$E$5+$E208,0),2)),ROUND(S207+R208,2),MIN(ROUND(Q$6+IF(Q$5=$C208,$E$5+$E208,0),2),ROUND(S207+R208,2))),0)</f>
        <v>0</v>
      </c>
      <c r="R208" s="24">
        <f>IF(S207&gt;0,ROUND(ROUND(S207*100,0)*ROUND(Q$7*10000,0)/12000000,0)/100,0)</f>
        <v>0</v>
      </c>
      <c r="S208" s="24">
        <f>IF(S207&gt;0,ROUND(S207+R208-Q208,2),0)</f>
        <v>0</v>
      </c>
      <c r="T208" s="24">
        <f>IF(S207&gt;0,ROUND(T207+ROUND(ROUND(T207*100,0)*ROUND(Q$7*10000,0)/12000000,0)/100+0.02,2),0)</f>
        <v>0</v>
      </c>
      <c r="U208" s="24">
        <f>IF(W207&gt;0,IF(AND(ROUND(W207+V208-ROUND(U$6+IF(U$5=$C208,$E$5+$E208,0),2),2)&gt;0,ROUND(W207+V208-ROUND(U$6+IF(U$5=$C208,$E$5+$E208,0),2),2)&lt;=X208,ROUND(W207+V208-ROUND(U$6+IF(U$5=$C208,$E$5+$E208,0),2),2)*10&lt;=ROUND(U$6+IF(U$5=$C208,$E$5+$E208,0),2)),ROUND(W207+V208,2),MIN(ROUND(U$6+IF(U$5=$C208,$E$5+$E208,0),2),ROUND(W207+V208,2))),0)</f>
        <v>0</v>
      </c>
      <c r="V208" s="24">
        <f>IF(W207&gt;0,ROUND(ROUND(W207*100,0)*ROUND(U$7*10000,0)/12000000,0)/100,0)</f>
        <v>0</v>
      </c>
      <c r="W208" s="24">
        <f>IF(W207&gt;0,ROUND(W207+V208-U208,2),0)</f>
        <v>0</v>
      </c>
      <c r="X208" s="24">
        <f>IF(W207&gt;0,ROUND(X207+ROUND(ROUND(X207*100,0)*ROUND(U$7*10000,0)/12000000,0)/100+0.02,2),0)</f>
        <v>0</v>
      </c>
      <c r="Y208" s="24">
        <f>IF(AA207&gt;0,IF(AND(ROUND(AA207+Z208-ROUND(Y$6+IF(Y$5=$C208,$E$5+$E208,0),2),2)&gt;0,ROUND(AA207+Z208-ROUND(Y$6+IF(Y$5=$C208,$E$5+$E208,0),2),2)&lt;=AB208,ROUND(AA207+Z208-ROUND(Y$6+IF(Y$5=$C208,$E$5+$E208,0),2),2)*10&lt;=ROUND(Y$6+IF(Y$5=$C208,$E$5+$E208,0),2)),ROUND(AA207+Z208,2),MIN(ROUND(Y$6+IF(Y$5=$C208,$E$5+$E208,0),2),ROUND(AA207+Z208,2))),0)</f>
        <v>0</v>
      </c>
      <c r="Z208" s="24">
        <f>IF(AA207&gt;0,ROUND(ROUND(AA207*100,0)*ROUND(Y$7*10000,0)/12000000,0)/100,0)</f>
        <v>0</v>
      </c>
      <c r="AA208" s="24">
        <f>IF(AA207&gt;0,ROUND(AA207+Z208-Y208,2),0)</f>
        <v>0</v>
      </c>
      <c r="AB208" s="24">
        <f>IF(AA207&gt;0,ROUND(AB207+ROUND(ROUND(AB207*100,0)*ROUND(Y$7*10000,0)/12000000,0)/100+0.02,2),0)</f>
        <v>0</v>
      </c>
      <c r="AC208" s="24">
        <f>IF(AE207&gt;0,IF(AND(ROUND(AE207+AD208-ROUND(AC$6+IF(AC$5=$C208,$E$5+$E208,0),2),2)&gt;0,ROUND(AE207+AD208-ROUND(AC$6+IF(AC$5=$C208,$E$5+$E208,0),2),2)&lt;=AF208,ROUND(AE207+AD208-ROUND(AC$6+IF(AC$5=$C208,$E$5+$E208,0),2),2)*10&lt;=ROUND(AC$6+IF(AC$5=$C208,$E$5+$E208,0),2)),ROUND(AE207+AD208,2),MIN(ROUND(AC$6+IF(AC$5=$C208,$E$5+$E208,0),2),ROUND(AE207+AD208,2))),0)</f>
        <v>0</v>
      </c>
      <c r="AD208" s="24">
        <f>IF(AE207&gt;0,ROUND(ROUND(AE207*100,0)*ROUND(AC$7*10000,0)/12000000,0)/100,0)</f>
        <v>0</v>
      </c>
      <c r="AE208" s="24">
        <f>IF(AE207&gt;0,ROUND(AE207+AD208-AC208,2),0)</f>
        <v>0</v>
      </c>
      <c r="AF208" s="24">
        <f>IF(AE207&gt;0,ROUND(AF207+ROUND(ROUND(AF207*100,0)*ROUND(AC$7*10000,0)/12000000,0)/100+0.02,2),0)</f>
        <v>0</v>
      </c>
      <c r="AG208" s="24">
        <f>IF(AI207&gt;0,IF(AND(ROUND(AI207+AH208-ROUND(AG$6+IF(AG$5=$C208,$E$5+$E208,0),2),2)&gt;0,ROUND(AI207+AH208-ROUND(AG$6+IF(AG$5=$C208,$E$5+$E208,0),2),2)&lt;=AJ208,ROUND(AI207+AH208-ROUND(AG$6+IF(AG$5=$C208,$E$5+$E208,0),2),2)*10&lt;=ROUND(AG$6+IF(AG$5=$C208,$E$5+$E208,0),2)),ROUND(AI207+AH208,2),MIN(ROUND(AG$6+IF(AG$5=$C208,$E$5+$E208,0),2),ROUND(AI207+AH208,2))),0)</f>
        <v>0</v>
      </c>
      <c r="AH208" s="24">
        <f>IF(AI207&gt;0,ROUND(ROUND(AI207*100,0)*ROUND(AG$7*10000,0)/12000000,0)/100,0)</f>
        <v>0</v>
      </c>
      <c r="AI208" s="24">
        <f>IF(AI207&gt;0,ROUND(AI207+AH208-AG208,2),0)</f>
        <v>0</v>
      </c>
      <c r="AJ208" s="24">
        <f>IF(AI207&gt;0,ROUND(AJ207+ROUND(ROUND(AJ207*100,0)*ROUND(AG$7*10000,0)/12000000,0)/100+0.02,2),0)</f>
        <v>0</v>
      </c>
      <c r="AK208" s="24">
        <f>IF(AM207&gt;0,IF(AND(ROUND(AM207+AL208-ROUND(AK$6+IF(AK$5=$C208,$E$5+$E208,0),2),2)&gt;0,ROUND(AM207+AL208-ROUND(AK$6+IF(AK$5=$C208,$E$5+$E208,0),2),2)&lt;=AN208,ROUND(AM207+AL208-ROUND(AK$6+IF(AK$5=$C208,$E$5+$E208,0),2),2)*10&lt;=ROUND(AK$6+IF(AK$5=$C208,$E$5+$E208,0),2)),ROUND(AM207+AL208,2),MIN(ROUND(AK$6+IF(AK$5=$C208,$E$5+$E208,0),2),ROUND(AM207+AL208,2))),0)</f>
        <v>0</v>
      </c>
      <c r="AL208" s="24">
        <f>IF(AM207&gt;0,ROUND(ROUND(AM207*100,0)*ROUND(AK$7*10000,0)/12000000,0)/100,0)</f>
        <v>0</v>
      </c>
      <c r="AM208" s="24">
        <f>IF(AM207&gt;0,ROUND(AM207+AL208-AK208,2),0)</f>
        <v>0</v>
      </c>
      <c r="AN208" s="24">
        <f>IF(AM207&gt;0,ROUND(AN207+ROUND(ROUND(AN207*100,0)*ROUND(AK$7*10000,0)/12000000,0)/100+0.02,2),0)</f>
        <v>0</v>
      </c>
      <c r="AO208" s="24">
        <f>IF(AQ207&gt;0,IF(AND(ROUND(AQ207+AP208-ROUND(AO$6+IF(AO$5=$C208,$E$5+$E208,0),2),2)&gt;0,ROUND(AQ207+AP208-ROUND(AO$6+IF(AO$5=$C208,$E$5+$E208,0),2),2)&lt;=AR208,ROUND(AQ207+AP208-ROUND(AO$6+IF(AO$5=$C208,$E$5+$E208,0),2),2)*10&lt;=ROUND(AO$6+IF(AO$5=$C208,$E$5+$E208,0),2)),ROUND(AQ207+AP208,2),MIN(ROUND(AO$6+IF(AO$5=$C208,$E$5+$E208,0),2),ROUND(AQ207+AP208,2))),0)</f>
        <v>0</v>
      </c>
      <c r="AP208" s="24">
        <f>IF(AQ207&gt;0,ROUND(ROUND(AQ207*100,0)*ROUND(AO$7*10000,0)/12000000,0)/100,0)</f>
        <v>0</v>
      </c>
      <c r="AQ208" s="24">
        <f>IF(AQ207&gt;0,ROUND(AQ207+AP208-AO208,2),0)</f>
        <v>0</v>
      </c>
      <c r="AR208" s="24">
        <f>IF(AQ207&gt;0,ROUND(AR207+ROUND(ROUND(AR207*100,0)*ROUND(AO$7*10000,0)/12000000,0)/100+0.02,2),0)</f>
        <v>0</v>
      </c>
      <c r="AS208" s="24">
        <f>IF(AU207&gt;0,IF(AND(ROUND(AU207+AT208-ROUND(AS$6+IF(AS$5=$C208,$E$5+$E208,0),2),2)&gt;0,ROUND(AU207+AT208-ROUND(AS$6+IF(AS$5=$C208,$E$5+$E208,0),2),2)&lt;=AV208,ROUND(AU207+AT208-ROUND(AS$6+IF(AS$5=$C208,$E$5+$E208,0),2),2)*10&lt;=ROUND(AS$6+IF(AS$5=$C208,$E$5+$E208,0),2)),ROUND(AU207+AT208,2),MIN(ROUND(AS$6+IF(AS$5=$C208,$E$5+$E208,0),2),ROUND(AU207+AT208,2))),0)</f>
        <v>0</v>
      </c>
      <c r="AT208" s="24">
        <f>IF(AU207&gt;0,ROUND(ROUND(AU207*100,0)*ROUND(AS$7*10000,0)/12000000,0)/100,0)</f>
        <v>0</v>
      </c>
      <c r="AU208" s="24">
        <f>IF(AU207&gt;0,ROUND(AU207+AT208-AS208,2),0)</f>
        <v>0</v>
      </c>
      <c r="AV208" s="24">
        <f>IF(AU207&gt;0,ROUND(AV207+ROUND(ROUND(AV207*100,0)*ROUND(AS$7*10000,0)/12000000,0)/100+0.02,2),0)</f>
        <v>0</v>
      </c>
    </row>
    <row r="209" spans="1:48" x14ac:dyDescent="0.25">
      <c r="A209" s="17" t="str">
        <f>IF(F209&gt;0,199,"")</f>
        <v/>
      </c>
      <c r="B209" s="18" t="str">
        <f>IF(F209&gt;0,EDATE($E$6,199),"")</f>
        <v/>
      </c>
      <c r="C209" s="21">
        <f>IF(H208&gt;0,MIN(IF(K208&gt;0,I$5,99),IF(O208&gt;0,M$5,99),IF(S208&gt;0,Q$5,99),IF(W208&gt;0,U$5,99),IF(AA208&gt;0,Y$5,99),IF(AE208&gt;0,AC$5,99),IF(AI208&gt;0,AG$5,99),IF(AM208&gt;0,AK$5,99),IF(AQ208&gt;0,AO$5,99),IF(AU208&gt;0,AS$5,99)),0)</f>
        <v>0</v>
      </c>
      <c r="D209" t="str">
        <f>IF(C209&gt;0,INDEX($I$4:$AV$4,1,MATCH(C209,$I$5:$AV$5,0)),"")</f>
        <v/>
      </c>
      <c r="E209" s="24">
        <f>ROUND(IF(AND(I$8&gt;0,K208=0),I$6,0)+IF(AND(M$8&gt;0,O208=0),M$6,0)+IF(AND(Q$8&gt;0,S208=0),Q$6,0)+IF(AND(U$8&gt;0,W208=0),U$6,0)+IF(AND(Y$8&gt;0,AA208=0),Y$6,0)+IF(AND(AC$8&gt;0,AE208=0),AC$6,0)+IF(AND(AG$8&gt;0,AI208=0),AG$6,0)+IF(AND(AK$8&gt;0,AM208=0),AK$6,0)+IF(AND(AO$8&gt;0,AQ208=0),AO$6,0)+IF(AND(AS$8&gt;0,AU208=0),AS$6,0),2)</f>
        <v>325</v>
      </c>
      <c r="F209" s="24">
        <f>ROUND(I209+M209+Q209+U209+Y209+AC209+AG209+AK209+AO209+AS209,2)</f>
        <v>0</v>
      </c>
      <c r="G209" s="24">
        <f>ROUND(J209+N209+R209+V209+Z209+AD209+AH209+AL209+AP209+AT209,2)</f>
        <v>0</v>
      </c>
      <c r="H209" s="24">
        <f>ROUND(K209+O209+S209+W209+AA209+AE209+AI209+AM209+AQ209+AU209,2)</f>
        <v>0</v>
      </c>
      <c r="I209" s="24">
        <f>IF(K208&gt;0,IF(AND(ROUND(K208+J209-ROUND(I$6+IF(I$5=$C209,$E$5+$E209,0),2),2)&gt;0,ROUND(K208+J209-ROUND(I$6+IF(I$5=$C209,$E$5+$E209,0),2),2)&lt;=L209,ROUND(K208+J209-ROUND(I$6+IF(I$5=$C209,$E$5+$E209,0),2),2)*10&lt;=ROUND(I$6+IF(I$5=$C209,$E$5+$E209,0),2)),ROUND(K208+J209,2),MIN(ROUND(I$6+IF(I$5=$C209,$E$5+$E209,0),2),ROUND(K208+J209,2))),0)</f>
        <v>0</v>
      </c>
      <c r="J209" s="24">
        <f>IF(K208&gt;0,ROUND(ROUND(K208*100,0)*ROUND(I$7*10000,0)/12000000,0)/100,0)</f>
        <v>0</v>
      </c>
      <c r="K209" s="24">
        <f>IF(K208&gt;0,ROUND(K208+J209-I209,2),0)</f>
        <v>0</v>
      </c>
      <c r="L209" s="24">
        <f>IF(K208&gt;0,ROUND(L208+ROUND(ROUND(L208*100,0)*ROUND(I$7*10000,0)/12000000,0)/100+0.02,2),0)</f>
        <v>0</v>
      </c>
      <c r="M209" s="24">
        <f>IF(O208&gt;0,IF(AND(ROUND(O208+N209-ROUND(M$6+IF(M$5=$C209,$E$5+$E209,0),2),2)&gt;0,ROUND(O208+N209-ROUND(M$6+IF(M$5=$C209,$E$5+$E209,0),2),2)&lt;=P209,ROUND(O208+N209-ROUND(M$6+IF(M$5=$C209,$E$5+$E209,0),2),2)*10&lt;=ROUND(M$6+IF(M$5=$C209,$E$5+$E209,0),2)),ROUND(O208+N209,2),MIN(ROUND(M$6+IF(M$5=$C209,$E$5+$E209,0),2),ROUND(O208+N209,2))),0)</f>
        <v>0</v>
      </c>
      <c r="N209" s="24">
        <f>IF(O208&gt;0,ROUND(ROUND(O208*100,0)*ROUND(M$7*10000,0)/12000000,0)/100,0)</f>
        <v>0</v>
      </c>
      <c r="O209" s="24">
        <f>IF(O208&gt;0,ROUND(O208+N209-M209,2),0)</f>
        <v>0</v>
      </c>
      <c r="P209" s="24">
        <f>IF(O208&gt;0,ROUND(P208+ROUND(ROUND(P208*100,0)*ROUND(M$7*10000,0)/12000000,0)/100+0.02,2),0)</f>
        <v>0</v>
      </c>
      <c r="Q209" s="24">
        <f>IF(S208&gt;0,IF(AND(ROUND(S208+R209-ROUND(Q$6+IF(Q$5=$C209,$E$5+$E209,0),2),2)&gt;0,ROUND(S208+R209-ROUND(Q$6+IF(Q$5=$C209,$E$5+$E209,0),2),2)&lt;=T209,ROUND(S208+R209-ROUND(Q$6+IF(Q$5=$C209,$E$5+$E209,0),2),2)*10&lt;=ROUND(Q$6+IF(Q$5=$C209,$E$5+$E209,0),2)),ROUND(S208+R209,2),MIN(ROUND(Q$6+IF(Q$5=$C209,$E$5+$E209,0),2),ROUND(S208+R209,2))),0)</f>
        <v>0</v>
      </c>
      <c r="R209" s="24">
        <f>IF(S208&gt;0,ROUND(ROUND(S208*100,0)*ROUND(Q$7*10000,0)/12000000,0)/100,0)</f>
        <v>0</v>
      </c>
      <c r="S209" s="24">
        <f>IF(S208&gt;0,ROUND(S208+R209-Q209,2),0)</f>
        <v>0</v>
      </c>
      <c r="T209" s="24">
        <f>IF(S208&gt;0,ROUND(T208+ROUND(ROUND(T208*100,0)*ROUND(Q$7*10000,0)/12000000,0)/100+0.02,2),0)</f>
        <v>0</v>
      </c>
      <c r="U209" s="24">
        <f>IF(W208&gt;0,IF(AND(ROUND(W208+V209-ROUND(U$6+IF(U$5=$C209,$E$5+$E209,0),2),2)&gt;0,ROUND(W208+V209-ROUND(U$6+IF(U$5=$C209,$E$5+$E209,0),2),2)&lt;=X209,ROUND(W208+V209-ROUND(U$6+IF(U$5=$C209,$E$5+$E209,0),2),2)*10&lt;=ROUND(U$6+IF(U$5=$C209,$E$5+$E209,0),2)),ROUND(W208+V209,2),MIN(ROUND(U$6+IF(U$5=$C209,$E$5+$E209,0),2),ROUND(W208+V209,2))),0)</f>
        <v>0</v>
      </c>
      <c r="V209" s="24">
        <f>IF(W208&gt;0,ROUND(ROUND(W208*100,0)*ROUND(U$7*10000,0)/12000000,0)/100,0)</f>
        <v>0</v>
      </c>
      <c r="W209" s="24">
        <f>IF(W208&gt;0,ROUND(W208+V209-U209,2),0)</f>
        <v>0</v>
      </c>
      <c r="X209" s="24">
        <f>IF(W208&gt;0,ROUND(X208+ROUND(ROUND(X208*100,0)*ROUND(U$7*10000,0)/12000000,0)/100+0.02,2),0)</f>
        <v>0</v>
      </c>
      <c r="Y209" s="24">
        <f>IF(AA208&gt;0,IF(AND(ROUND(AA208+Z209-ROUND(Y$6+IF(Y$5=$C209,$E$5+$E209,0),2),2)&gt;0,ROUND(AA208+Z209-ROUND(Y$6+IF(Y$5=$C209,$E$5+$E209,0),2),2)&lt;=AB209,ROUND(AA208+Z209-ROUND(Y$6+IF(Y$5=$C209,$E$5+$E209,0),2),2)*10&lt;=ROUND(Y$6+IF(Y$5=$C209,$E$5+$E209,0),2)),ROUND(AA208+Z209,2),MIN(ROUND(Y$6+IF(Y$5=$C209,$E$5+$E209,0),2),ROUND(AA208+Z209,2))),0)</f>
        <v>0</v>
      </c>
      <c r="Z209" s="24">
        <f>IF(AA208&gt;0,ROUND(ROUND(AA208*100,0)*ROUND(Y$7*10000,0)/12000000,0)/100,0)</f>
        <v>0</v>
      </c>
      <c r="AA209" s="24">
        <f>IF(AA208&gt;0,ROUND(AA208+Z209-Y209,2),0)</f>
        <v>0</v>
      </c>
      <c r="AB209" s="24">
        <f>IF(AA208&gt;0,ROUND(AB208+ROUND(ROUND(AB208*100,0)*ROUND(Y$7*10000,0)/12000000,0)/100+0.02,2),0)</f>
        <v>0</v>
      </c>
      <c r="AC209" s="24">
        <f>IF(AE208&gt;0,IF(AND(ROUND(AE208+AD209-ROUND(AC$6+IF(AC$5=$C209,$E$5+$E209,0),2),2)&gt;0,ROUND(AE208+AD209-ROUND(AC$6+IF(AC$5=$C209,$E$5+$E209,0),2),2)&lt;=AF209,ROUND(AE208+AD209-ROUND(AC$6+IF(AC$5=$C209,$E$5+$E209,0),2),2)*10&lt;=ROUND(AC$6+IF(AC$5=$C209,$E$5+$E209,0),2)),ROUND(AE208+AD209,2),MIN(ROUND(AC$6+IF(AC$5=$C209,$E$5+$E209,0),2),ROUND(AE208+AD209,2))),0)</f>
        <v>0</v>
      </c>
      <c r="AD209" s="24">
        <f>IF(AE208&gt;0,ROUND(ROUND(AE208*100,0)*ROUND(AC$7*10000,0)/12000000,0)/100,0)</f>
        <v>0</v>
      </c>
      <c r="AE209" s="24">
        <f>IF(AE208&gt;0,ROUND(AE208+AD209-AC209,2),0)</f>
        <v>0</v>
      </c>
      <c r="AF209" s="24">
        <f>IF(AE208&gt;0,ROUND(AF208+ROUND(ROUND(AF208*100,0)*ROUND(AC$7*10000,0)/12000000,0)/100+0.02,2),0)</f>
        <v>0</v>
      </c>
      <c r="AG209" s="24">
        <f>IF(AI208&gt;0,IF(AND(ROUND(AI208+AH209-ROUND(AG$6+IF(AG$5=$C209,$E$5+$E209,0),2),2)&gt;0,ROUND(AI208+AH209-ROUND(AG$6+IF(AG$5=$C209,$E$5+$E209,0),2),2)&lt;=AJ209,ROUND(AI208+AH209-ROUND(AG$6+IF(AG$5=$C209,$E$5+$E209,0),2),2)*10&lt;=ROUND(AG$6+IF(AG$5=$C209,$E$5+$E209,0),2)),ROUND(AI208+AH209,2),MIN(ROUND(AG$6+IF(AG$5=$C209,$E$5+$E209,0),2),ROUND(AI208+AH209,2))),0)</f>
        <v>0</v>
      </c>
      <c r="AH209" s="24">
        <f>IF(AI208&gt;0,ROUND(ROUND(AI208*100,0)*ROUND(AG$7*10000,0)/12000000,0)/100,0)</f>
        <v>0</v>
      </c>
      <c r="AI209" s="24">
        <f>IF(AI208&gt;0,ROUND(AI208+AH209-AG209,2),0)</f>
        <v>0</v>
      </c>
      <c r="AJ209" s="24">
        <f>IF(AI208&gt;0,ROUND(AJ208+ROUND(ROUND(AJ208*100,0)*ROUND(AG$7*10000,0)/12000000,0)/100+0.02,2),0)</f>
        <v>0</v>
      </c>
      <c r="AK209" s="24">
        <f>IF(AM208&gt;0,IF(AND(ROUND(AM208+AL209-ROUND(AK$6+IF(AK$5=$C209,$E$5+$E209,0),2),2)&gt;0,ROUND(AM208+AL209-ROUND(AK$6+IF(AK$5=$C209,$E$5+$E209,0),2),2)&lt;=AN209,ROUND(AM208+AL209-ROUND(AK$6+IF(AK$5=$C209,$E$5+$E209,0),2),2)*10&lt;=ROUND(AK$6+IF(AK$5=$C209,$E$5+$E209,0),2)),ROUND(AM208+AL209,2),MIN(ROUND(AK$6+IF(AK$5=$C209,$E$5+$E209,0),2),ROUND(AM208+AL209,2))),0)</f>
        <v>0</v>
      </c>
      <c r="AL209" s="24">
        <f>IF(AM208&gt;0,ROUND(ROUND(AM208*100,0)*ROUND(AK$7*10000,0)/12000000,0)/100,0)</f>
        <v>0</v>
      </c>
      <c r="AM209" s="24">
        <f>IF(AM208&gt;0,ROUND(AM208+AL209-AK209,2),0)</f>
        <v>0</v>
      </c>
      <c r="AN209" s="24">
        <f>IF(AM208&gt;0,ROUND(AN208+ROUND(ROUND(AN208*100,0)*ROUND(AK$7*10000,0)/12000000,0)/100+0.02,2),0)</f>
        <v>0</v>
      </c>
      <c r="AO209" s="24">
        <f>IF(AQ208&gt;0,IF(AND(ROUND(AQ208+AP209-ROUND(AO$6+IF(AO$5=$C209,$E$5+$E209,0),2),2)&gt;0,ROUND(AQ208+AP209-ROUND(AO$6+IF(AO$5=$C209,$E$5+$E209,0),2),2)&lt;=AR209,ROUND(AQ208+AP209-ROUND(AO$6+IF(AO$5=$C209,$E$5+$E209,0),2),2)*10&lt;=ROUND(AO$6+IF(AO$5=$C209,$E$5+$E209,0),2)),ROUND(AQ208+AP209,2),MIN(ROUND(AO$6+IF(AO$5=$C209,$E$5+$E209,0),2),ROUND(AQ208+AP209,2))),0)</f>
        <v>0</v>
      </c>
      <c r="AP209" s="24">
        <f>IF(AQ208&gt;0,ROUND(ROUND(AQ208*100,0)*ROUND(AO$7*10000,0)/12000000,0)/100,0)</f>
        <v>0</v>
      </c>
      <c r="AQ209" s="24">
        <f>IF(AQ208&gt;0,ROUND(AQ208+AP209-AO209,2),0)</f>
        <v>0</v>
      </c>
      <c r="AR209" s="24">
        <f>IF(AQ208&gt;0,ROUND(AR208+ROUND(ROUND(AR208*100,0)*ROUND(AO$7*10000,0)/12000000,0)/100+0.02,2),0)</f>
        <v>0</v>
      </c>
      <c r="AS209" s="24">
        <f>IF(AU208&gt;0,IF(AND(ROUND(AU208+AT209-ROUND(AS$6+IF(AS$5=$C209,$E$5+$E209,0),2),2)&gt;0,ROUND(AU208+AT209-ROUND(AS$6+IF(AS$5=$C209,$E$5+$E209,0),2),2)&lt;=AV209,ROUND(AU208+AT209-ROUND(AS$6+IF(AS$5=$C209,$E$5+$E209,0),2),2)*10&lt;=ROUND(AS$6+IF(AS$5=$C209,$E$5+$E209,0),2)),ROUND(AU208+AT209,2),MIN(ROUND(AS$6+IF(AS$5=$C209,$E$5+$E209,0),2),ROUND(AU208+AT209,2))),0)</f>
        <v>0</v>
      </c>
      <c r="AT209" s="24">
        <f>IF(AU208&gt;0,ROUND(ROUND(AU208*100,0)*ROUND(AS$7*10000,0)/12000000,0)/100,0)</f>
        <v>0</v>
      </c>
      <c r="AU209" s="24">
        <f>IF(AU208&gt;0,ROUND(AU208+AT209-AS209,2),0)</f>
        <v>0</v>
      </c>
      <c r="AV209" s="24">
        <f>IF(AU208&gt;0,ROUND(AV208+ROUND(ROUND(AV208*100,0)*ROUND(AS$7*10000,0)/12000000,0)/100+0.02,2),0)</f>
        <v>0</v>
      </c>
    </row>
    <row r="210" spans="1:48" x14ac:dyDescent="0.25">
      <c r="A210" s="17" t="str">
        <f>IF(F210&gt;0,200,"")</f>
        <v/>
      </c>
      <c r="B210" s="18" t="str">
        <f>IF(F210&gt;0,EDATE($E$6,200),"")</f>
        <v/>
      </c>
      <c r="C210" s="21">
        <f>IF(H209&gt;0,MIN(IF(K209&gt;0,I$5,99),IF(O209&gt;0,M$5,99),IF(S209&gt;0,Q$5,99),IF(W209&gt;0,U$5,99),IF(AA209&gt;0,Y$5,99),IF(AE209&gt;0,AC$5,99),IF(AI209&gt;0,AG$5,99),IF(AM209&gt;0,AK$5,99),IF(AQ209&gt;0,AO$5,99),IF(AU209&gt;0,AS$5,99)),0)</f>
        <v>0</v>
      </c>
      <c r="D210" t="str">
        <f>IF(C210&gt;0,INDEX($I$4:$AV$4,1,MATCH(C210,$I$5:$AV$5,0)),"")</f>
        <v/>
      </c>
      <c r="E210" s="24">
        <f>ROUND(IF(AND(I$8&gt;0,K209=0),I$6,0)+IF(AND(M$8&gt;0,O209=0),M$6,0)+IF(AND(Q$8&gt;0,S209=0),Q$6,0)+IF(AND(U$8&gt;0,W209=0),U$6,0)+IF(AND(Y$8&gt;0,AA209=0),Y$6,0)+IF(AND(AC$8&gt;0,AE209=0),AC$6,0)+IF(AND(AG$8&gt;0,AI209=0),AG$6,0)+IF(AND(AK$8&gt;0,AM209=0),AK$6,0)+IF(AND(AO$8&gt;0,AQ209=0),AO$6,0)+IF(AND(AS$8&gt;0,AU209=0),AS$6,0),2)</f>
        <v>325</v>
      </c>
      <c r="F210" s="24">
        <f>ROUND(I210+M210+Q210+U210+Y210+AC210+AG210+AK210+AO210+AS210,2)</f>
        <v>0</v>
      </c>
      <c r="G210" s="24">
        <f>ROUND(J210+N210+R210+V210+Z210+AD210+AH210+AL210+AP210+AT210,2)</f>
        <v>0</v>
      </c>
      <c r="H210" s="24">
        <f>ROUND(K210+O210+S210+W210+AA210+AE210+AI210+AM210+AQ210+AU210,2)</f>
        <v>0</v>
      </c>
      <c r="I210" s="24">
        <f>IF(K209&gt;0,IF(AND(ROUND(K209+J210-ROUND(I$6+IF(I$5=$C210,$E$5+$E210,0),2),2)&gt;0,ROUND(K209+J210-ROUND(I$6+IF(I$5=$C210,$E$5+$E210,0),2),2)&lt;=L210,ROUND(K209+J210-ROUND(I$6+IF(I$5=$C210,$E$5+$E210,0),2),2)*10&lt;=ROUND(I$6+IF(I$5=$C210,$E$5+$E210,0),2)),ROUND(K209+J210,2),MIN(ROUND(I$6+IF(I$5=$C210,$E$5+$E210,0),2),ROUND(K209+J210,2))),0)</f>
        <v>0</v>
      </c>
      <c r="J210" s="24">
        <f>IF(K209&gt;0,ROUND(ROUND(K209*100,0)*ROUND(I$7*10000,0)/12000000,0)/100,0)</f>
        <v>0</v>
      </c>
      <c r="K210" s="24">
        <f>IF(K209&gt;0,ROUND(K209+J210-I210,2),0)</f>
        <v>0</v>
      </c>
      <c r="L210" s="24">
        <f>IF(K209&gt;0,ROUND(L209+ROUND(ROUND(L209*100,0)*ROUND(I$7*10000,0)/12000000,0)/100+0.02,2),0)</f>
        <v>0</v>
      </c>
      <c r="M210" s="24">
        <f>IF(O209&gt;0,IF(AND(ROUND(O209+N210-ROUND(M$6+IF(M$5=$C210,$E$5+$E210,0),2),2)&gt;0,ROUND(O209+N210-ROUND(M$6+IF(M$5=$C210,$E$5+$E210,0),2),2)&lt;=P210,ROUND(O209+N210-ROUND(M$6+IF(M$5=$C210,$E$5+$E210,0),2),2)*10&lt;=ROUND(M$6+IF(M$5=$C210,$E$5+$E210,0),2)),ROUND(O209+N210,2),MIN(ROUND(M$6+IF(M$5=$C210,$E$5+$E210,0),2),ROUND(O209+N210,2))),0)</f>
        <v>0</v>
      </c>
      <c r="N210" s="24">
        <f>IF(O209&gt;0,ROUND(ROUND(O209*100,0)*ROUND(M$7*10000,0)/12000000,0)/100,0)</f>
        <v>0</v>
      </c>
      <c r="O210" s="24">
        <f>IF(O209&gt;0,ROUND(O209+N210-M210,2),0)</f>
        <v>0</v>
      </c>
      <c r="P210" s="24">
        <f>IF(O209&gt;0,ROUND(P209+ROUND(ROUND(P209*100,0)*ROUND(M$7*10000,0)/12000000,0)/100+0.02,2),0)</f>
        <v>0</v>
      </c>
      <c r="Q210" s="24">
        <f>IF(S209&gt;0,IF(AND(ROUND(S209+R210-ROUND(Q$6+IF(Q$5=$C210,$E$5+$E210,0),2),2)&gt;0,ROUND(S209+R210-ROUND(Q$6+IF(Q$5=$C210,$E$5+$E210,0),2),2)&lt;=T210,ROUND(S209+R210-ROUND(Q$6+IF(Q$5=$C210,$E$5+$E210,0),2),2)*10&lt;=ROUND(Q$6+IF(Q$5=$C210,$E$5+$E210,0),2)),ROUND(S209+R210,2),MIN(ROUND(Q$6+IF(Q$5=$C210,$E$5+$E210,0),2),ROUND(S209+R210,2))),0)</f>
        <v>0</v>
      </c>
      <c r="R210" s="24">
        <f>IF(S209&gt;0,ROUND(ROUND(S209*100,0)*ROUND(Q$7*10000,0)/12000000,0)/100,0)</f>
        <v>0</v>
      </c>
      <c r="S210" s="24">
        <f>IF(S209&gt;0,ROUND(S209+R210-Q210,2),0)</f>
        <v>0</v>
      </c>
      <c r="T210" s="24">
        <f>IF(S209&gt;0,ROUND(T209+ROUND(ROUND(T209*100,0)*ROUND(Q$7*10000,0)/12000000,0)/100+0.02,2),0)</f>
        <v>0</v>
      </c>
      <c r="U210" s="24">
        <f>IF(W209&gt;0,IF(AND(ROUND(W209+V210-ROUND(U$6+IF(U$5=$C210,$E$5+$E210,0),2),2)&gt;0,ROUND(W209+V210-ROUND(U$6+IF(U$5=$C210,$E$5+$E210,0),2),2)&lt;=X210,ROUND(W209+V210-ROUND(U$6+IF(U$5=$C210,$E$5+$E210,0),2),2)*10&lt;=ROUND(U$6+IF(U$5=$C210,$E$5+$E210,0),2)),ROUND(W209+V210,2),MIN(ROUND(U$6+IF(U$5=$C210,$E$5+$E210,0),2),ROUND(W209+V210,2))),0)</f>
        <v>0</v>
      </c>
      <c r="V210" s="24">
        <f>IF(W209&gt;0,ROUND(ROUND(W209*100,0)*ROUND(U$7*10000,0)/12000000,0)/100,0)</f>
        <v>0</v>
      </c>
      <c r="W210" s="24">
        <f>IF(W209&gt;0,ROUND(W209+V210-U210,2),0)</f>
        <v>0</v>
      </c>
      <c r="X210" s="24">
        <f>IF(W209&gt;0,ROUND(X209+ROUND(ROUND(X209*100,0)*ROUND(U$7*10000,0)/12000000,0)/100+0.02,2),0)</f>
        <v>0</v>
      </c>
      <c r="Y210" s="24">
        <f>IF(AA209&gt;0,IF(AND(ROUND(AA209+Z210-ROUND(Y$6+IF(Y$5=$C210,$E$5+$E210,0),2),2)&gt;0,ROUND(AA209+Z210-ROUND(Y$6+IF(Y$5=$C210,$E$5+$E210,0),2),2)&lt;=AB210,ROUND(AA209+Z210-ROUND(Y$6+IF(Y$5=$C210,$E$5+$E210,0),2),2)*10&lt;=ROUND(Y$6+IF(Y$5=$C210,$E$5+$E210,0),2)),ROUND(AA209+Z210,2),MIN(ROUND(Y$6+IF(Y$5=$C210,$E$5+$E210,0),2),ROUND(AA209+Z210,2))),0)</f>
        <v>0</v>
      </c>
      <c r="Z210" s="24">
        <f>IF(AA209&gt;0,ROUND(ROUND(AA209*100,0)*ROUND(Y$7*10000,0)/12000000,0)/100,0)</f>
        <v>0</v>
      </c>
      <c r="AA210" s="24">
        <f>IF(AA209&gt;0,ROUND(AA209+Z210-Y210,2),0)</f>
        <v>0</v>
      </c>
      <c r="AB210" s="24">
        <f>IF(AA209&gt;0,ROUND(AB209+ROUND(ROUND(AB209*100,0)*ROUND(Y$7*10000,0)/12000000,0)/100+0.02,2),0)</f>
        <v>0</v>
      </c>
      <c r="AC210" s="24">
        <f>IF(AE209&gt;0,IF(AND(ROUND(AE209+AD210-ROUND(AC$6+IF(AC$5=$C210,$E$5+$E210,0),2),2)&gt;0,ROUND(AE209+AD210-ROUND(AC$6+IF(AC$5=$C210,$E$5+$E210,0),2),2)&lt;=AF210,ROUND(AE209+AD210-ROUND(AC$6+IF(AC$5=$C210,$E$5+$E210,0),2),2)*10&lt;=ROUND(AC$6+IF(AC$5=$C210,$E$5+$E210,0),2)),ROUND(AE209+AD210,2),MIN(ROUND(AC$6+IF(AC$5=$C210,$E$5+$E210,0),2),ROUND(AE209+AD210,2))),0)</f>
        <v>0</v>
      </c>
      <c r="AD210" s="24">
        <f>IF(AE209&gt;0,ROUND(ROUND(AE209*100,0)*ROUND(AC$7*10000,0)/12000000,0)/100,0)</f>
        <v>0</v>
      </c>
      <c r="AE210" s="24">
        <f>IF(AE209&gt;0,ROUND(AE209+AD210-AC210,2),0)</f>
        <v>0</v>
      </c>
      <c r="AF210" s="24">
        <f>IF(AE209&gt;0,ROUND(AF209+ROUND(ROUND(AF209*100,0)*ROUND(AC$7*10000,0)/12000000,0)/100+0.02,2),0)</f>
        <v>0</v>
      </c>
      <c r="AG210" s="24">
        <f>IF(AI209&gt;0,IF(AND(ROUND(AI209+AH210-ROUND(AG$6+IF(AG$5=$C210,$E$5+$E210,0),2),2)&gt;0,ROUND(AI209+AH210-ROUND(AG$6+IF(AG$5=$C210,$E$5+$E210,0),2),2)&lt;=AJ210,ROUND(AI209+AH210-ROUND(AG$6+IF(AG$5=$C210,$E$5+$E210,0),2),2)*10&lt;=ROUND(AG$6+IF(AG$5=$C210,$E$5+$E210,0),2)),ROUND(AI209+AH210,2),MIN(ROUND(AG$6+IF(AG$5=$C210,$E$5+$E210,0),2),ROUND(AI209+AH210,2))),0)</f>
        <v>0</v>
      </c>
      <c r="AH210" s="24">
        <f>IF(AI209&gt;0,ROUND(ROUND(AI209*100,0)*ROUND(AG$7*10000,0)/12000000,0)/100,0)</f>
        <v>0</v>
      </c>
      <c r="AI210" s="24">
        <f>IF(AI209&gt;0,ROUND(AI209+AH210-AG210,2),0)</f>
        <v>0</v>
      </c>
      <c r="AJ210" s="24">
        <f>IF(AI209&gt;0,ROUND(AJ209+ROUND(ROUND(AJ209*100,0)*ROUND(AG$7*10000,0)/12000000,0)/100+0.02,2),0)</f>
        <v>0</v>
      </c>
      <c r="AK210" s="24">
        <f>IF(AM209&gt;0,IF(AND(ROUND(AM209+AL210-ROUND(AK$6+IF(AK$5=$C210,$E$5+$E210,0),2),2)&gt;0,ROUND(AM209+AL210-ROUND(AK$6+IF(AK$5=$C210,$E$5+$E210,0),2),2)&lt;=AN210,ROUND(AM209+AL210-ROUND(AK$6+IF(AK$5=$C210,$E$5+$E210,0),2),2)*10&lt;=ROUND(AK$6+IF(AK$5=$C210,$E$5+$E210,0),2)),ROUND(AM209+AL210,2),MIN(ROUND(AK$6+IF(AK$5=$C210,$E$5+$E210,0),2),ROUND(AM209+AL210,2))),0)</f>
        <v>0</v>
      </c>
      <c r="AL210" s="24">
        <f>IF(AM209&gt;0,ROUND(ROUND(AM209*100,0)*ROUND(AK$7*10000,0)/12000000,0)/100,0)</f>
        <v>0</v>
      </c>
      <c r="AM210" s="24">
        <f>IF(AM209&gt;0,ROUND(AM209+AL210-AK210,2),0)</f>
        <v>0</v>
      </c>
      <c r="AN210" s="24">
        <f>IF(AM209&gt;0,ROUND(AN209+ROUND(ROUND(AN209*100,0)*ROUND(AK$7*10000,0)/12000000,0)/100+0.02,2),0)</f>
        <v>0</v>
      </c>
      <c r="AO210" s="24">
        <f>IF(AQ209&gt;0,IF(AND(ROUND(AQ209+AP210-ROUND(AO$6+IF(AO$5=$C210,$E$5+$E210,0),2),2)&gt;0,ROUND(AQ209+AP210-ROUND(AO$6+IF(AO$5=$C210,$E$5+$E210,0),2),2)&lt;=AR210,ROUND(AQ209+AP210-ROUND(AO$6+IF(AO$5=$C210,$E$5+$E210,0),2),2)*10&lt;=ROUND(AO$6+IF(AO$5=$C210,$E$5+$E210,0),2)),ROUND(AQ209+AP210,2),MIN(ROUND(AO$6+IF(AO$5=$C210,$E$5+$E210,0),2),ROUND(AQ209+AP210,2))),0)</f>
        <v>0</v>
      </c>
      <c r="AP210" s="24">
        <f>IF(AQ209&gt;0,ROUND(ROUND(AQ209*100,0)*ROUND(AO$7*10000,0)/12000000,0)/100,0)</f>
        <v>0</v>
      </c>
      <c r="AQ210" s="24">
        <f>IF(AQ209&gt;0,ROUND(AQ209+AP210-AO210,2),0)</f>
        <v>0</v>
      </c>
      <c r="AR210" s="24">
        <f>IF(AQ209&gt;0,ROUND(AR209+ROUND(ROUND(AR209*100,0)*ROUND(AO$7*10000,0)/12000000,0)/100+0.02,2),0)</f>
        <v>0</v>
      </c>
      <c r="AS210" s="24">
        <f>IF(AU209&gt;0,IF(AND(ROUND(AU209+AT210-ROUND(AS$6+IF(AS$5=$C210,$E$5+$E210,0),2),2)&gt;0,ROUND(AU209+AT210-ROUND(AS$6+IF(AS$5=$C210,$E$5+$E210,0),2),2)&lt;=AV210,ROUND(AU209+AT210-ROUND(AS$6+IF(AS$5=$C210,$E$5+$E210,0),2),2)*10&lt;=ROUND(AS$6+IF(AS$5=$C210,$E$5+$E210,0),2)),ROUND(AU209+AT210,2),MIN(ROUND(AS$6+IF(AS$5=$C210,$E$5+$E210,0),2),ROUND(AU209+AT210,2))),0)</f>
        <v>0</v>
      </c>
      <c r="AT210" s="24">
        <f>IF(AU209&gt;0,ROUND(ROUND(AU209*100,0)*ROUND(AS$7*10000,0)/12000000,0)/100,0)</f>
        <v>0</v>
      </c>
      <c r="AU210" s="24">
        <f>IF(AU209&gt;0,ROUND(AU209+AT210-AS210,2),0)</f>
        <v>0</v>
      </c>
      <c r="AV210" s="24">
        <f>IF(AU209&gt;0,ROUND(AV209+ROUND(ROUND(AV209*100,0)*ROUND(AS$7*10000,0)/12000000,0)/100+0.02,2),0)</f>
        <v>0</v>
      </c>
    </row>
    <row r="211" spans="1:48" x14ac:dyDescent="0.25">
      <c r="A211" s="17" t="str">
        <f>IF(F211&gt;0,201,"")</f>
        <v/>
      </c>
      <c r="B211" s="18" t="str">
        <f>IF(F211&gt;0,EDATE($E$6,201),"")</f>
        <v/>
      </c>
      <c r="C211" s="21">
        <f>IF(H210&gt;0,MIN(IF(K210&gt;0,I$5,99),IF(O210&gt;0,M$5,99),IF(S210&gt;0,Q$5,99),IF(W210&gt;0,U$5,99),IF(AA210&gt;0,Y$5,99),IF(AE210&gt;0,AC$5,99),IF(AI210&gt;0,AG$5,99),IF(AM210&gt;0,AK$5,99),IF(AQ210&gt;0,AO$5,99),IF(AU210&gt;0,AS$5,99)),0)</f>
        <v>0</v>
      </c>
      <c r="D211" t="str">
        <f>IF(C211&gt;0,INDEX($I$4:$AV$4,1,MATCH(C211,$I$5:$AV$5,0)),"")</f>
        <v/>
      </c>
      <c r="E211" s="24">
        <f>ROUND(IF(AND(I$8&gt;0,K210=0),I$6,0)+IF(AND(M$8&gt;0,O210=0),M$6,0)+IF(AND(Q$8&gt;0,S210=0),Q$6,0)+IF(AND(U$8&gt;0,W210=0),U$6,0)+IF(AND(Y$8&gt;0,AA210=0),Y$6,0)+IF(AND(AC$8&gt;0,AE210=0),AC$6,0)+IF(AND(AG$8&gt;0,AI210=0),AG$6,0)+IF(AND(AK$8&gt;0,AM210=0),AK$6,0)+IF(AND(AO$8&gt;0,AQ210=0),AO$6,0)+IF(AND(AS$8&gt;0,AU210=0),AS$6,0),2)</f>
        <v>325</v>
      </c>
      <c r="F211" s="24">
        <f>ROUND(I211+M211+Q211+U211+Y211+AC211+AG211+AK211+AO211+AS211,2)</f>
        <v>0</v>
      </c>
      <c r="G211" s="24">
        <f>ROUND(J211+N211+R211+V211+Z211+AD211+AH211+AL211+AP211+AT211,2)</f>
        <v>0</v>
      </c>
      <c r="H211" s="24">
        <f>ROUND(K211+O211+S211+W211+AA211+AE211+AI211+AM211+AQ211+AU211,2)</f>
        <v>0</v>
      </c>
      <c r="I211" s="24">
        <f>IF(K210&gt;0,IF(AND(ROUND(K210+J211-ROUND(I$6+IF(I$5=$C211,$E$5+$E211,0),2),2)&gt;0,ROUND(K210+J211-ROUND(I$6+IF(I$5=$C211,$E$5+$E211,0),2),2)&lt;=L211,ROUND(K210+J211-ROUND(I$6+IF(I$5=$C211,$E$5+$E211,0),2),2)*10&lt;=ROUND(I$6+IF(I$5=$C211,$E$5+$E211,0),2)),ROUND(K210+J211,2),MIN(ROUND(I$6+IF(I$5=$C211,$E$5+$E211,0),2),ROUND(K210+J211,2))),0)</f>
        <v>0</v>
      </c>
      <c r="J211" s="24">
        <f>IF(K210&gt;0,ROUND(ROUND(K210*100,0)*ROUND(I$7*10000,0)/12000000,0)/100,0)</f>
        <v>0</v>
      </c>
      <c r="K211" s="24">
        <f>IF(K210&gt;0,ROUND(K210+J211-I211,2),0)</f>
        <v>0</v>
      </c>
      <c r="L211" s="24">
        <f>IF(K210&gt;0,ROUND(L210+ROUND(ROUND(L210*100,0)*ROUND(I$7*10000,0)/12000000,0)/100+0.02,2),0)</f>
        <v>0</v>
      </c>
      <c r="M211" s="24">
        <f>IF(O210&gt;0,IF(AND(ROUND(O210+N211-ROUND(M$6+IF(M$5=$C211,$E$5+$E211,0),2),2)&gt;0,ROUND(O210+N211-ROUND(M$6+IF(M$5=$C211,$E$5+$E211,0),2),2)&lt;=P211,ROUND(O210+N211-ROUND(M$6+IF(M$5=$C211,$E$5+$E211,0),2),2)*10&lt;=ROUND(M$6+IF(M$5=$C211,$E$5+$E211,0),2)),ROUND(O210+N211,2),MIN(ROUND(M$6+IF(M$5=$C211,$E$5+$E211,0),2),ROUND(O210+N211,2))),0)</f>
        <v>0</v>
      </c>
      <c r="N211" s="24">
        <f>IF(O210&gt;0,ROUND(ROUND(O210*100,0)*ROUND(M$7*10000,0)/12000000,0)/100,0)</f>
        <v>0</v>
      </c>
      <c r="O211" s="24">
        <f>IF(O210&gt;0,ROUND(O210+N211-M211,2),0)</f>
        <v>0</v>
      </c>
      <c r="P211" s="24">
        <f>IF(O210&gt;0,ROUND(P210+ROUND(ROUND(P210*100,0)*ROUND(M$7*10000,0)/12000000,0)/100+0.02,2),0)</f>
        <v>0</v>
      </c>
      <c r="Q211" s="24">
        <f>IF(S210&gt;0,IF(AND(ROUND(S210+R211-ROUND(Q$6+IF(Q$5=$C211,$E$5+$E211,0),2),2)&gt;0,ROUND(S210+R211-ROUND(Q$6+IF(Q$5=$C211,$E$5+$E211,0),2),2)&lt;=T211,ROUND(S210+R211-ROUND(Q$6+IF(Q$5=$C211,$E$5+$E211,0),2),2)*10&lt;=ROUND(Q$6+IF(Q$5=$C211,$E$5+$E211,0),2)),ROUND(S210+R211,2),MIN(ROUND(Q$6+IF(Q$5=$C211,$E$5+$E211,0),2),ROUND(S210+R211,2))),0)</f>
        <v>0</v>
      </c>
      <c r="R211" s="24">
        <f>IF(S210&gt;0,ROUND(ROUND(S210*100,0)*ROUND(Q$7*10000,0)/12000000,0)/100,0)</f>
        <v>0</v>
      </c>
      <c r="S211" s="24">
        <f>IF(S210&gt;0,ROUND(S210+R211-Q211,2),0)</f>
        <v>0</v>
      </c>
      <c r="T211" s="24">
        <f>IF(S210&gt;0,ROUND(T210+ROUND(ROUND(T210*100,0)*ROUND(Q$7*10000,0)/12000000,0)/100+0.02,2),0)</f>
        <v>0</v>
      </c>
      <c r="U211" s="24">
        <f>IF(W210&gt;0,IF(AND(ROUND(W210+V211-ROUND(U$6+IF(U$5=$C211,$E$5+$E211,0),2),2)&gt;0,ROUND(W210+V211-ROUND(U$6+IF(U$5=$C211,$E$5+$E211,0),2),2)&lt;=X211,ROUND(W210+V211-ROUND(U$6+IF(U$5=$C211,$E$5+$E211,0),2),2)*10&lt;=ROUND(U$6+IF(U$5=$C211,$E$5+$E211,0),2)),ROUND(W210+V211,2),MIN(ROUND(U$6+IF(U$5=$C211,$E$5+$E211,0),2),ROUND(W210+V211,2))),0)</f>
        <v>0</v>
      </c>
      <c r="V211" s="24">
        <f>IF(W210&gt;0,ROUND(ROUND(W210*100,0)*ROUND(U$7*10000,0)/12000000,0)/100,0)</f>
        <v>0</v>
      </c>
      <c r="W211" s="24">
        <f>IF(W210&gt;0,ROUND(W210+V211-U211,2),0)</f>
        <v>0</v>
      </c>
      <c r="X211" s="24">
        <f>IF(W210&gt;0,ROUND(X210+ROUND(ROUND(X210*100,0)*ROUND(U$7*10000,0)/12000000,0)/100+0.02,2),0)</f>
        <v>0</v>
      </c>
      <c r="Y211" s="24">
        <f>IF(AA210&gt;0,IF(AND(ROUND(AA210+Z211-ROUND(Y$6+IF(Y$5=$C211,$E$5+$E211,0),2),2)&gt;0,ROUND(AA210+Z211-ROUND(Y$6+IF(Y$5=$C211,$E$5+$E211,0),2),2)&lt;=AB211,ROUND(AA210+Z211-ROUND(Y$6+IF(Y$5=$C211,$E$5+$E211,0),2),2)*10&lt;=ROUND(Y$6+IF(Y$5=$C211,$E$5+$E211,0),2)),ROUND(AA210+Z211,2),MIN(ROUND(Y$6+IF(Y$5=$C211,$E$5+$E211,0),2),ROUND(AA210+Z211,2))),0)</f>
        <v>0</v>
      </c>
      <c r="Z211" s="24">
        <f>IF(AA210&gt;0,ROUND(ROUND(AA210*100,0)*ROUND(Y$7*10000,0)/12000000,0)/100,0)</f>
        <v>0</v>
      </c>
      <c r="AA211" s="24">
        <f>IF(AA210&gt;0,ROUND(AA210+Z211-Y211,2),0)</f>
        <v>0</v>
      </c>
      <c r="AB211" s="24">
        <f>IF(AA210&gt;0,ROUND(AB210+ROUND(ROUND(AB210*100,0)*ROUND(Y$7*10000,0)/12000000,0)/100+0.02,2),0)</f>
        <v>0</v>
      </c>
      <c r="AC211" s="24">
        <f>IF(AE210&gt;0,IF(AND(ROUND(AE210+AD211-ROUND(AC$6+IF(AC$5=$C211,$E$5+$E211,0),2),2)&gt;0,ROUND(AE210+AD211-ROUND(AC$6+IF(AC$5=$C211,$E$5+$E211,0),2),2)&lt;=AF211,ROUND(AE210+AD211-ROUND(AC$6+IF(AC$5=$C211,$E$5+$E211,0),2),2)*10&lt;=ROUND(AC$6+IF(AC$5=$C211,$E$5+$E211,0),2)),ROUND(AE210+AD211,2),MIN(ROUND(AC$6+IF(AC$5=$C211,$E$5+$E211,0),2),ROUND(AE210+AD211,2))),0)</f>
        <v>0</v>
      </c>
      <c r="AD211" s="24">
        <f>IF(AE210&gt;0,ROUND(ROUND(AE210*100,0)*ROUND(AC$7*10000,0)/12000000,0)/100,0)</f>
        <v>0</v>
      </c>
      <c r="AE211" s="24">
        <f>IF(AE210&gt;0,ROUND(AE210+AD211-AC211,2),0)</f>
        <v>0</v>
      </c>
      <c r="AF211" s="24">
        <f>IF(AE210&gt;0,ROUND(AF210+ROUND(ROUND(AF210*100,0)*ROUND(AC$7*10000,0)/12000000,0)/100+0.02,2),0)</f>
        <v>0</v>
      </c>
      <c r="AG211" s="24">
        <f>IF(AI210&gt;0,IF(AND(ROUND(AI210+AH211-ROUND(AG$6+IF(AG$5=$C211,$E$5+$E211,0),2),2)&gt;0,ROUND(AI210+AH211-ROUND(AG$6+IF(AG$5=$C211,$E$5+$E211,0),2),2)&lt;=AJ211,ROUND(AI210+AH211-ROUND(AG$6+IF(AG$5=$C211,$E$5+$E211,0),2),2)*10&lt;=ROUND(AG$6+IF(AG$5=$C211,$E$5+$E211,0),2)),ROUND(AI210+AH211,2),MIN(ROUND(AG$6+IF(AG$5=$C211,$E$5+$E211,0),2),ROUND(AI210+AH211,2))),0)</f>
        <v>0</v>
      </c>
      <c r="AH211" s="24">
        <f>IF(AI210&gt;0,ROUND(ROUND(AI210*100,0)*ROUND(AG$7*10000,0)/12000000,0)/100,0)</f>
        <v>0</v>
      </c>
      <c r="AI211" s="24">
        <f>IF(AI210&gt;0,ROUND(AI210+AH211-AG211,2),0)</f>
        <v>0</v>
      </c>
      <c r="AJ211" s="24">
        <f>IF(AI210&gt;0,ROUND(AJ210+ROUND(ROUND(AJ210*100,0)*ROUND(AG$7*10000,0)/12000000,0)/100+0.02,2),0)</f>
        <v>0</v>
      </c>
      <c r="AK211" s="24">
        <f>IF(AM210&gt;0,IF(AND(ROUND(AM210+AL211-ROUND(AK$6+IF(AK$5=$C211,$E$5+$E211,0),2),2)&gt;0,ROUND(AM210+AL211-ROUND(AK$6+IF(AK$5=$C211,$E$5+$E211,0),2),2)&lt;=AN211,ROUND(AM210+AL211-ROUND(AK$6+IF(AK$5=$C211,$E$5+$E211,0),2),2)*10&lt;=ROUND(AK$6+IF(AK$5=$C211,$E$5+$E211,0),2)),ROUND(AM210+AL211,2),MIN(ROUND(AK$6+IF(AK$5=$C211,$E$5+$E211,0),2),ROUND(AM210+AL211,2))),0)</f>
        <v>0</v>
      </c>
      <c r="AL211" s="24">
        <f>IF(AM210&gt;0,ROUND(ROUND(AM210*100,0)*ROUND(AK$7*10000,0)/12000000,0)/100,0)</f>
        <v>0</v>
      </c>
      <c r="AM211" s="24">
        <f>IF(AM210&gt;0,ROUND(AM210+AL211-AK211,2),0)</f>
        <v>0</v>
      </c>
      <c r="AN211" s="24">
        <f>IF(AM210&gt;0,ROUND(AN210+ROUND(ROUND(AN210*100,0)*ROUND(AK$7*10000,0)/12000000,0)/100+0.02,2),0)</f>
        <v>0</v>
      </c>
      <c r="AO211" s="24">
        <f>IF(AQ210&gt;0,IF(AND(ROUND(AQ210+AP211-ROUND(AO$6+IF(AO$5=$C211,$E$5+$E211,0),2),2)&gt;0,ROUND(AQ210+AP211-ROUND(AO$6+IF(AO$5=$C211,$E$5+$E211,0),2),2)&lt;=AR211,ROUND(AQ210+AP211-ROUND(AO$6+IF(AO$5=$C211,$E$5+$E211,0),2),2)*10&lt;=ROUND(AO$6+IF(AO$5=$C211,$E$5+$E211,0),2)),ROUND(AQ210+AP211,2),MIN(ROUND(AO$6+IF(AO$5=$C211,$E$5+$E211,0),2),ROUND(AQ210+AP211,2))),0)</f>
        <v>0</v>
      </c>
      <c r="AP211" s="24">
        <f>IF(AQ210&gt;0,ROUND(ROUND(AQ210*100,0)*ROUND(AO$7*10000,0)/12000000,0)/100,0)</f>
        <v>0</v>
      </c>
      <c r="AQ211" s="24">
        <f>IF(AQ210&gt;0,ROUND(AQ210+AP211-AO211,2),0)</f>
        <v>0</v>
      </c>
      <c r="AR211" s="24">
        <f>IF(AQ210&gt;0,ROUND(AR210+ROUND(ROUND(AR210*100,0)*ROUND(AO$7*10000,0)/12000000,0)/100+0.02,2),0)</f>
        <v>0</v>
      </c>
      <c r="AS211" s="24">
        <f>IF(AU210&gt;0,IF(AND(ROUND(AU210+AT211-ROUND(AS$6+IF(AS$5=$C211,$E$5+$E211,0),2),2)&gt;0,ROUND(AU210+AT211-ROUND(AS$6+IF(AS$5=$C211,$E$5+$E211,0),2),2)&lt;=AV211,ROUND(AU210+AT211-ROUND(AS$6+IF(AS$5=$C211,$E$5+$E211,0),2),2)*10&lt;=ROUND(AS$6+IF(AS$5=$C211,$E$5+$E211,0),2)),ROUND(AU210+AT211,2),MIN(ROUND(AS$6+IF(AS$5=$C211,$E$5+$E211,0),2),ROUND(AU210+AT211,2))),0)</f>
        <v>0</v>
      </c>
      <c r="AT211" s="24">
        <f>IF(AU210&gt;0,ROUND(ROUND(AU210*100,0)*ROUND(AS$7*10000,0)/12000000,0)/100,0)</f>
        <v>0</v>
      </c>
      <c r="AU211" s="24">
        <f>IF(AU210&gt;0,ROUND(AU210+AT211-AS211,2),0)</f>
        <v>0</v>
      </c>
      <c r="AV211" s="24">
        <f>IF(AU210&gt;0,ROUND(AV210+ROUND(ROUND(AV210*100,0)*ROUND(AS$7*10000,0)/12000000,0)/100+0.02,2),0)</f>
        <v>0</v>
      </c>
    </row>
    <row r="212" spans="1:48" x14ac:dyDescent="0.25">
      <c r="A212" s="17" t="str">
        <f>IF(F212&gt;0,202,"")</f>
        <v/>
      </c>
      <c r="B212" s="18" t="str">
        <f>IF(F212&gt;0,EDATE($E$6,202),"")</f>
        <v/>
      </c>
      <c r="C212" s="21">
        <f>IF(H211&gt;0,MIN(IF(K211&gt;0,I$5,99),IF(O211&gt;0,M$5,99),IF(S211&gt;0,Q$5,99),IF(W211&gt;0,U$5,99),IF(AA211&gt;0,Y$5,99),IF(AE211&gt;0,AC$5,99),IF(AI211&gt;0,AG$5,99),IF(AM211&gt;0,AK$5,99),IF(AQ211&gt;0,AO$5,99),IF(AU211&gt;0,AS$5,99)),0)</f>
        <v>0</v>
      </c>
      <c r="D212" t="str">
        <f>IF(C212&gt;0,INDEX($I$4:$AV$4,1,MATCH(C212,$I$5:$AV$5,0)),"")</f>
        <v/>
      </c>
      <c r="E212" s="24">
        <f>ROUND(IF(AND(I$8&gt;0,K211=0),I$6,0)+IF(AND(M$8&gt;0,O211=0),M$6,0)+IF(AND(Q$8&gt;0,S211=0),Q$6,0)+IF(AND(U$8&gt;0,W211=0),U$6,0)+IF(AND(Y$8&gt;0,AA211=0),Y$6,0)+IF(AND(AC$8&gt;0,AE211=0),AC$6,0)+IF(AND(AG$8&gt;0,AI211=0),AG$6,0)+IF(AND(AK$8&gt;0,AM211=0),AK$6,0)+IF(AND(AO$8&gt;0,AQ211=0),AO$6,0)+IF(AND(AS$8&gt;0,AU211=0),AS$6,0),2)</f>
        <v>325</v>
      </c>
      <c r="F212" s="24">
        <f>ROUND(I212+M212+Q212+U212+Y212+AC212+AG212+AK212+AO212+AS212,2)</f>
        <v>0</v>
      </c>
      <c r="G212" s="24">
        <f>ROUND(J212+N212+R212+V212+Z212+AD212+AH212+AL212+AP212+AT212,2)</f>
        <v>0</v>
      </c>
      <c r="H212" s="24">
        <f>ROUND(K212+O212+S212+W212+AA212+AE212+AI212+AM212+AQ212+AU212,2)</f>
        <v>0</v>
      </c>
      <c r="I212" s="24">
        <f>IF(K211&gt;0,IF(AND(ROUND(K211+J212-ROUND(I$6+IF(I$5=$C212,$E$5+$E212,0),2),2)&gt;0,ROUND(K211+J212-ROUND(I$6+IF(I$5=$C212,$E$5+$E212,0),2),2)&lt;=L212,ROUND(K211+J212-ROUND(I$6+IF(I$5=$C212,$E$5+$E212,0),2),2)*10&lt;=ROUND(I$6+IF(I$5=$C212,$E$5+$E212,0),2)),ROUND(K211+J212,2),MIN(ROUND(I$6+IF(I$5=$C212,$E$5+$E212,0),2),ROUND(K211+J212,2))),0)</f>
        <v>0</v>
      </c>
      <c r="J212" s="24">
        <f>IF(K211&gt;0,ROUND(ROUND(K211*100,0)*ROUND(I$7*10000,0)/12000000,0)/100,0)</f>
        <v>0</v>
      </c>
      <c r="K212" s="24">
        <f>IF(K211&gt;0,ROUND(K211+J212-I212,2),0)</f>
        <v>0</v>
      </c>
      <c r="L212" s="24">
        <f>IF(K211&gt;0,ROUND(L211+ROUND(ROUND(L211*100,0)*ROUND(I$7*10000,0)/12000000,0)/100+0.02,2),0)</f>
        <v>0</v>
      </c>
      <c r="M212" s="24">
        <f>IF(O211&gt;0,IF(AND(ROUND(O211+N212-ROUND(M$6+IF(M$5=$C212,$E$5+$E212,0),2),2)&gt;0,ROUND(O211+N212-ROUND(M$6+IF(M$5=$C212,$E$5+$E212,0),2),2)&lt;=P212,ROUND(O211+N212-ROUND(M$6+IF(M$5=$C212,$E$5+$E212,0),2),2)*10&lt;=ROUND(M$6+IF(M$5=$C212,$E$5+$E212,0),2)),ROUND(O211+N212,2),MIN(ROUND(M$6+IF(M$5=$C212,$E$5+$E212,0),2),ROUND(O211+N212,2))),0)</f>
        <v>0</v>
      </c>
      <c r="N212" s="24">
        <f>IF(O211&gt;0,ROUND(ROUND(O211*100,0)*ROUND(M$7*10000,0)/12000000,0)/100,0)</f>
        <v>0</v>
      </c>
      <c r="O212" s="24">
        <f>IF(O211&gt;0,ROUND(O211+N212-M212,2),0)</f>
        <v>0</v>
      </c>
      <c r="P212" s="24">
        <f>IF(O211&gt;0,ROUND(P211+ROUND(ROUND(P211*100,0)*ROUND(M$7*10000,0)/12000000,0)/100+0.02,2),0)</f>
        <v>0</v>
      </c>
      <c r="Q212" s="24">
        <f>IF(S211&gt;0,IF(AND(ROUND(S211+R212-ROUND(Q$6+IF(Q$5=$C212,$E$5+$E212,0),2),2)&gt;0,ROUND(S211+R212-ROUND(Q$6+IF(Q$5=$C212,$E$5+$E212,0),2),2)&lt;=T212,ROUND(S211+R212-ROUND(Q$6+IF(Q$5=$C212,$E$5+$E212,0),2),2)*10&lt;=ROUND(Q$6+IF(Q$5=$C212,$E$5+$E212,0),2)),ROUND(S211+R212,2),MIN(ROUND(Q$6+IF(Q$5=$C212,$E$5+$E212,0),2),ROUND(S211+R212,2))),0)</f>
        <v>0</v>
      </c>
      <c r="R212" s="24">
        <f>IF(S211&gt;0,ROUND(ROUND(S211*100,0)*ROUND(Q$7*10000,0)/12000000,0)/100,0)</f>
        <v>0</v>
      </c>
      <c r="S212" s="24">
        <f>IF(S211&gt;0,ROUND(S211+R212-Q212,2),0)</f>
        <v>0</v>
      </c>
      <c r="T212" s="24">
        <f>IF(S211&gt;0,ROUND(T211+ROUND(ROUND(T211*100,0)*ROUND(Q$7*10000,0)/12000000,0)/100+0.02,2),0)</f>
        <v>0</v>
      </c>
      <c r="U212" s="24">
        <f>IF(W211&gt;0,IF(AND(ROUND(W211+V212-ROUND(U$6+IF(U$5=$C212,$E$5+$E212,0),2),2)&gt;0,ROUND(W211+V212-ROUND(U$6+IF(U$5=$C212,$E$5+$E212,0),2),2)&lt;=X212,ROUND(W211+V212-ROUND(U$6+IF(U$5=$C212,$E$5+$E212,0),2),2)*10&lt;=ROUND(U$6+IF(U$5=$C212,$E$5+$E212,0),2)),ROUND(W211+V212,2),MIN(ROUND(U$6+IF(U$5=$C212,$E$5+$E212,0),2),ROUND(W211+V212,2))),0)</f>
        <v>0</v>
      </c>
      <c r="V212" s="24">
        <f>IF(W211&gt;0,ROUND(ROUND(W211*100,0)*ROUND(U$7*10000,0)/12000000,0)/100,0)</f>
        <v>0</v>
      </c>
      <c r="W212" s="24">
        <f>IF(W211&gt;0,ROUND(W211+V212-U212,2),0)</f>
        <v>0</v>
      </c>
      <c r="X212" s="24">
        <f>IF(W211&gt;0,ROUND(X211+ROUND(ROUND(X211*100,0)*ROUND(U$7*10000,0)/12000000,0)/100+0.02,2),0)</f>
        <v>0</v>
      </c>
      <c r="Y212" s="24">
        <f>IF(AA211&gt;0,IF(AND(ROUND(AA211+Z212-ROUND(Y$6+IF(Y$5=$C212,$E$5+$E212,0),2),2)&gt;0,ROUND(AA211+Z212-ROUND(Y$6+IF(Y$5=$C212,$E$5+$E212,0),2),2)&lt;=AB212,ROUND(AA211+Z212-ROUND(Y$6+IF(Y$5=$C212,$E$5+$E212,0),2),2)*10&lt;=ROUND(Y$6+IF(Y$5=$C212,$E$5+$E212,0),2)),ROUND(AA211+Z212,2),MIN(ROUND(Y$6+IF(Y$5=$C212,$E$5+$E212,0),2),ROUND(AA211+Z212,2))),0)</f>
        <v>0</v>
      </c>
      <c r="Z212" s="24">
        <f>IF(AA211&gt;0,ROUND(ROUND(AA211*100,0)*ROUND(Y$7*10000,0)/12000000,0)/100,0)</f>
        <v>0</v>
      </c>
      <c r="AA212" s="24">
        <f>IF(AA211&gt;0,ROUND(AA211+Z212-Y212,2),0)</f>
        <v>0</v>
      </c>
      <c r="AB212" s="24">
        <f>IF(AA211&gt;0,ROUND(AB211+ROUND(ROUND(AB211*100,0)*ROUND(Y$7*10000,0)/12000000,0)/100+0.02,2),0)</f>
        <v>0</v>
      </c>
      <c r="AC212" s="24">
        <f>IF(AE211&gt;0,IF(AND(ROUND(AE211+AD212-ROUND(AC$6+IF(AC$5=$C212,$E$5+$E212,0),2),2)&gt;0,ROUND(AE211+AD212-ROUND(AC$6+IF(AC$5=$C212,$E$5+$E212,0),2),2)&lt;=AF212,ROUND(AE211+AD212-ROUND(AC$6+IF(AC$5=$C212,$E$5+$E212,0),2),2)*10&lt;=ROUND(AC$6+IF(AC$5=$C212,$E$5+$E212,0),2)),ROUND(AE211+AD212,2),MIN(ROUND(AC$6+IF(AC$5=$C212,$E$5+$E212,0),2),ROUND(AE211+AD212,2))),0)</f>
        <v>0</v>
      </c>
      <c r="AD212" s="24">
        <f>IF(AE211&gt;0,ROUND(ROUND(AE211*100,0)*ROUND(AC$7*10000,0)/12000000,0)/100,0)</f>
        <v>0</v>
      </c>
      <c r="AE212" s="24">
        <f>IF(AE211&gt;0,ROUND(AE211+AD212-AC212,2),0)</f>
        <v>0</v>
      </c>
      <c r="AF212" s="24">
        <f>IF(AE211&gt;0,ROUND(AF211+ROUND(ROUND(AF211*100,0)*ROUND(AC$7*10000,0)/12000000,0)/100+0.02,2),0)</f>
        <v>0</v>
      </c>
      <c r="AG212" s="24">
        <f>IF(AI211&gt;0,IF(AND(ROUND(AI211+AH212-ROUND(AG$6+IF(AG$5=$C212,$E$5+$E212,0),2),2)&gt;0,ROUND(AI211+AH212-ROUND(AG$6+IF(AG$5=$C212,$E$5+$E212,0),2),2)&lt;=AJ212,ROUND(AI211+AH212-ROUND(AG$6+IF(AG$5=$C212,$E$5+$E212,0),2),2)*10&lt;=ROUND(AG$6+IF(AG$5=$C212,$E$5+$E212,0),2)),ROUND(AI211+AH212,2),MIN(ROUND(AG$6+IF(AG$5=$C212,$E$5+$E212,0),2),ROUND(AI211+AH212,2))),0)</f>
        <v>0</v>
      </c>
      <c r="AH212" s="24">
        <f>IF(AI211&gt;0,ROUND(ROUND(AI211*100,0)*ROUND(AG$7*10000,0)/12000000,0)/100,0)</f>
        <v>0</v>
      </c>
      <c r="AI212" s="24">
        <f>IF(AI211&gt;0,ROUND(AI211+AH212-AG212,2),0)</f>
        <v>0</v>
      </c>
      <c r="AJ212" s="24">
        <f>IF(AI211&gt;0,ROUND(AJ211+ROUND(ROUND(AJ211*100,0)*ROUND(AG$7*10000,0)/12000000,0)/100+0.02,2),0)</f>
        <v>0</v>
      </c>
      <c r="AK212" s="24">
        <f>IF(AM211&gt;0,IF(AND(ROUND(AM211+AL212-ROUND(AK$6+IF(AK$5=$C212,$E$5+$E212,0),2),2)&gt;0,ROUND(AM211+AL212-ROUND(AK$6+IF(AK$5=$C212,$E$5+$E212,0),2),2)&lt;=AN212,ROUND(AM211+AL212-ROUND(AK$6+IF(AK$5=$C212,$E$5+$E212,0),2),2)*10&lt;=ROUND(AK$6+IF(AK$5=$C212,$E$5+$E212,0),2)),ROUND(AM211+AL212,2),MIN(ROUND(AK$6+IF(AK$5=$C212,$E$5+$E212,0),2),ROUND(AM211+AL212,2))),0)</f>
        <v>0</v>
      </c>
      <c r="AL212" s="24">
        <f>IF(AM211&gt;0,ROUND(ROUND(AM211*100,0)*ROUND(AK$7*10000,0)/12000000,0)/100,0)</f>
        <v>0</v>
      </c>
      <c r="AM212" s="24">
        <f>IF(AM211&gt;0,ROUND(AM211+AL212-AK212,2),0)</f>
        <v>0</v>
      </c>
      <c r="AN212" s="24">
        <f>IF(AM211&gt;0,ROUND(AN211+ROUND(ROUND(AN211*100,0)*ROUND(AK$7*10000,0)/12000000,0)/100+0.02,2),0)</f>
        <v>0</v>
      </c>
      <c r="AO212" s="24">
        <f>IF(AQ211&gt;0,IF(AND(ROUND(AQ211+AP212-ROUND(AO$6+IF(AO$5=$C212,$E$5+$E212,0),2),2)&gt;0,ROUND(AQ211+AP212-ROUND(AO$6+IF(AO$5=$C212,$E$5+$E212,0),2),2)&lt;=AR212,ROUND(AQ211+AP212-ROUND(AO$6+IF(AO$5=$C212,$E$5+$E212,0),2),2)*10&lt;=ROUND(AO$6+IF(AO$5=$C212,$E$5+$E212,0),2)),ROUND(AQ211+AP212,2),MIN(ROUND(AO$6+IF(AO$5=$C212,$E$5+$E212,0),2),ROUND(AQ211+AP212,2))),0)</f>
        <v>0</v>
      </c>
      <c r="AP212" s="24">
        <f>IF(AQ211&gt;0,ROUND(ROUND(AQ211*100,0)*ROUND(AO$7*10000,0)/12000000,0)/100,0)</f>
        <v>0</v>
      </c>
      <c r="AQ212" s="24">
        <f>IF(AQ211&gt;0,ROUND(AQ211+AP212-AO212,2),0)</f>
        <v>0</v>
      </c>
      <c r="AR212" s="24">
        <f>IF(AQ211&gt;0,ROUND(AR211+ROUND(ROUND(AR211*100,0)*ROUND(AO$7*10000,0)/12000000,0)/100+0.02,2),0)</f>
        <v>0</v>
      </c>
      <c r="AS212" s="24">
        <f>IF(AU211&gt;0,IF(AND(ROUND(AU211+AT212-ROUND(AS$6+IF(AS$5=$C212,$E$5+$E212,0),2),2)&gt;0,ROUND(AU211+AT212-ROUND(AS$6+IF(AS$5=$C212,$E$5+$E212,0),2),2)&lt;=AV212,ROUND(AU211+AT212-ROUND(AS$6+IF(AS$5=$C212,$E$5+$E212,0),2),2)*10&lt;=ROUND(AS$6+IF(AS$5=$C212,$E$5+$E212,0),2)),ROUND(AU211+AT212,2),MIN(ROUND(AS$6+IF(AS$5=$C212,$E$5+$E212,0),2),ROUND(AU211+AT212,2))),0)</f>
        <v>0</v>
      </c>
      <c r="AT212" s="24">
        <f>IF(AU211&gt;0,ROUND(ROUND(AU211*100,0)*ROUND(AS$7*10000,0)/12000000,0)/100,0)</f>
        <v>0</v>
      </c>
      <c r="AU212" s="24">
        <f>IF(AU211&gt;0,ROUND(AU211+AT212-AS212,2),0)</f>
        <v>0</v>
      </c>
      <c r="AV212" s="24">
        <f>IF(AU211&gt;0,ROUND(AV211+ROUND(ROUND(AV211*100,0)*ROUND(AS$7*10000,0)/12000000,0)/100+0.02,2),0)</f>
        <v>0</v>
      </c>
    </row>
    <row r="213" spans="1:48" x14ac:dyDescent="0.25">
      <c r="A213" s="17" t="str">
        <f>IF(F213&gt;0,203,"")</f>
        <v/>
      </c>
      <c r="B213" s="18" t="str">
        <f>IF(F213&gt;0,EDATE($E$6,203),"")</f>
        <v/>
      </c>
      <c r="C213" s="21">
        <f>IF(H212&gt;0,MIN(IF(K212&gt;0,I$5,99),IF(O212&gt;0,M$5,99),IF(S212&gt;0,Q$5,99),IF(W212&gt;0,U$5,99),IF(AA212&gt;0,Y$5,99),IF(AE212&gt;0,AC$5,99),IF(AI212&gt;0,AG$5,99),IF(AM212&gt;0,AK$5,99),IF(AQ212&gt;0,AO$5,99),IF(AU212&gt;0,AS$5,99)),0)</f>
        <v>0</v>
      </c>
      <c r="D213" t="str">
        <f>IF(C213&gt;0,INDEX($I$4:$AV$4,1,MATCH(C213,$I$5:$AV$5,0)),"")</f>
        <v/>
      </c>
      <c r="E213" s="24">
        <f>ROUND(IF(AND(I$8&gt;0,K212=0),I$6,0)+IF(AND(M$8&gt;0,O212=0),M$6,0)+IF(AND(Q$8&gt;0,S212=0),Q$6,0)+IF(AND(U$8&gt;0,W212=0),U$6,0)+IF(AND(Y$8&gt;0,AA212=0),Y$6,0)+IF(AND(AC$8&gt;0,AE212=0),AC$6,0)+IF(AND(AG$8&gt;0,AI212=0),AG$6,0)+IF(AND(AK$8&gt;0,AM212=0),AK$6,0)+IF(AND(AO$8&gt;0,AQ212=0),AO$6,0)+IF(AND(AS$8&gt;0,AU212=0),AS$6,0),2)</f>
        <v>325</v>
      </c>
      <c r="F213" s="24">
        <f>ROUND(I213+M213+Q213+U213+Y213+AC213+AG213+AK213+AO213+AS213,2)</f>
        <v>0</v>
      </c>
      <c r="G213" s="24">
        <f>ROUND(J213+N213+R213+V213+Z213+AD213+AH213+AL213+AP213+AT213,2)</f>
        <v>0</v>
      </c>
      <c r="H213" s="24">
        <f>ROUND(K213+O213+S213+W213+AA213+AE213+AI213+AM213+AQ213+AU213,2)</f>
        <v>0</v>
      </c>
      <c r="I213" s="24">
        <f>IF(K212&gt;0,IF(AND(ROUND(K212+J213-ROUND(I$6+IF(I$5=$C213,$E$5+$E213,0),2),2)&gt;0,ROUND(K212+J213-ROUND(I$6+IF(I$5=$C213,$E$5+$E213,0),2),2)&lt;=L213,ROUND(K212+J213-ROUND(I$6+IF(I$5=$C213,$E$5+$E213,0),2),2)*10&lt;=ROUND(I$6+IF(I$5=$C213,$E$5+$E213,0),2)),ROUND(K212+J213,2),MIN(ROUND(I$6+IF(I$5=$C213,$E$5+$E213,0),2),ROUND(K212+J213,2))),0)</f>
        <v>0</v>
      </c>
      <c r="J213" s="24">
        <f>IF(K212&gt;0,ROUND(ROUND(K212*100,0)*ROUND(I$7*10000,0)/12000000,0)/100,0)</f>
        <v>0</v>
      </c>
      <c r="K213" s="24">
        <f>IF(K212&gt;0,ROUND(K212+J213-I213,2),0)</f>
        <v>0</v>
      </c>
      <c r="L213" s="24">
        <f>IF(K212&gt;0,ROUND(L212+ROUND(ROUND(L212*100,0)*ROUND(I$7*10000,0)/12000000,0)/100+0.02,2),0)</f>
        <v>0</v>
      </c>
      <c r="M213" s="24">
        <f>IF(O212&gt;0,IF(AND(ROUND(O212+N213-ROUND(M$6+IF(M$5=$C213,$E$5+$E213,0),2),2)&gt;0,ROUND(O212+N213-ROUND(M$6+IF(M$5=$C213,$E$5+$E213,0),2),2)&lt;=P213,ROUND(O212+N213-ROUND(M$6+IF(M$5=$C213,$E$5+$E213,0),2),2)*10&lt;=ROUND(M$6+IF(M$5=$C213,$E$5+$E213,0),2)),ROUND(O212+N213,2),MIN(ROUND(M$6+IF(M$5=$C213,$E$5+$E213,0),2),ROUND(O212+N213,2))),0)</f>
        <v>0</v>
      </c>
      <c r="N213" s="24">
        <f>IF(O212&gt;0,ROUND(ROUND(O212*100,0)*ROUND(M$7*10000,0)/12000000,0)/100,0)</f>
        <v>0</v>
      </c>
      <c r="O213" s="24">
        <f>IF(O212&gt;0,ROUND(O212+N213-M213,2),0)</f>
        <v>0</v>
      </c>
      <c r="P213" s="24">
        <f>IF(O212&gt;0,ROUND(P212+ROUND(ROUND(P212*100,0)*ROUND(M$7*10000,0)/12000000,0)/100+0.02,2),0)</f>
        <v>0</v>
      </c>
      <c r="Q213" s="24">
        <f>IF(S212&gt;0,IF(AND(ROUND(S212+R213-ROUND(Q$6+IF(Q$5=$C213,$E$5+$E213,0),2),2)&gt;0,ROUND(S212+R213-ROUND(Q$6+IF(Q$5=$C213,$E$5+$E213,0),2),2)&lt;=T213,ROUND(S212+R213-ROUND(Q$6+IF(Q$5=$C213,$E$5+$E213,0),2),2)*10&lt;=ROUND(Q$6+IF(Q$5=$C213,$E$5+$E213,0),2)),ROUND(S212+R213,2),MIN(ROUND(Q$6+IF(Q$5=$C213,$E$5+$E213,0),2),ROUND(S212+R213,2))),0)</f>
        <v>0</v>
      </c>
      <c r="R213" s="24">
        <f>IF(S212&gt;0,ROUND(ROUND(S212*100,0)*ROUND(Q$7*10000,0)/12000000,0)/100,0)</f>
        <v>0</v>
      </c>
      <c r="S213" s="24">
        <f>IF(S212&gt;0,ROUND(S212+R213-Q213,2),0)</f>
        <v>0</v>
      </c>
      <c r="T213" s="24">
        <f>IF(S212&gt;0,ROUND(T212+ROUND(ROUND(T212*100,0)*ROUND(Q$7*10000,0)/12000000,0)/100+0.02,2),0)</f>
        <v>0</v>
      </c>
      <c r="U213" s="24">
        <f>IF(W212&gt;0,IF(AND(ROUND(W212+V213-ROUND(U$6+IF(U$5=$C213,$E$5+$E213,0),2),2)&gt;0,ROUND(W212+V213-ROUND(U$6+IF(U$5=$C213,$E$5+$E213,0),2),2)&lt;=X213,ROUND(W212+V213-ROUND(U$6+IF(U$5=$C213,$E$5+$E213,0),2),2)*10&lt;=ROUND(U$6+IF(U$5=$C213,$E$5+$E213,0),2)),ROUND(W212+V213,2),MIN(ROUND(U$6+IF(U$5=$C213,$E$5+$E213,0),2),ROUND(W212+V213,2))),0)</f>
        <v>0</v>
      </c>
      <c r="V213" s="24">
        <f>IF(W212&gt;0,ROUND(ROUND(W212*100,0)*ROUND(U$7*10000,0)/12000000,0)/100,0)</f>
        <v>0</v>
      </c>
      <c r="W213" s="24">
        <f>IF(W212&gt;0,ROUND(W212+V213-U213,2),0)</f>
        <v>0</v>
      </c>
      <c r="X213" s="24">
        <f>IF(W212&gt;0,ROUND(X212+ROUND(ROUND(X212*100,0)*ROUND(U$7*10000,0)/12000000,0)/100+0.02,2),0)</f>
        <v>0</v>
      </c>
      <c r="Y213" s="24">
        <f>IF(AA212&gt;0,IF(AND(ROUND(AA212+Z213-ROUND(Y$6+IF(Y$5=$C213,$E$5+$E213,0),2),2)&gt;0,ROUND(AA212+Z213-ROUND(Y$6+IF(Y$5=$C213,$E$5+$E213,0),2),2)&lt;=AB213,ROUND(AA212+Z213-ROUND(Y$6+IF(Y$5=$C213,$E$5+$E213,0),2),2)*10&lt;=ROUND(Y$6+IF(Y$5=$C213,$E$5+$E213,0),2)),ROUND(AA212+Z213,2),MIN(ROUND(Y$6+IF(Y$5=$C213,$E$5+$E213,0),2),ROUND(AA212+Z213,2))),0)</f>
        <v>0</v>
      </c>
      <c r="Z213" s="24">
        <f>IF(AA212&gt;0,ROUND(ROUND(AA212*100,0)*ROUND(Y$7*10000,0)/12000000,0)/100,0)</f>
        <v>0</v>
      </c>
      <c r="AA213" s="24">
        <f>IF(AA212&gt;0,ROUND(AA212+Z213-Y213,2),0)</f>
        <v>0</v>
      </c>
      <c r="AB213" s="24">
        <f>IF(AA212&gt;0,ROUND(AB212+ROUND(ROUND(AB212*100,0)*ROUND(Y$7*10000,0)/12000000,0)/100+0.02,2),0)</f>
        <v>0</v>
      </c>
      <c r="AC213" s="24">
        <f>IF(AE212&gt;0,IF(AND(ROUND(AE212+AD213-ROUND(AC$6+IF(AC$5=$C213,$E$5+$E213,0),2),2)&gt;0,ROUND(AE212+AD213-ROUND(AC$6+IF(AC$5=$C213,$E$5+$E213,0),2),2)&lt;=AF213,ROUND(AE212+AD213-ROUND(AC$6+IF(AC$5=$C213,$E$5+$E213,0),2),2)*10&lt;=ROUND(AC$6+IF(AC$5=$C213,$E$5+$E213,0),2)),ROUND(AE212+AD213,2),MIN(ROUND(AC$6+IF(AC$5=$C213,$E$5+$E213,0),2),ROUND(AE212+AD213,2))),0)</f>
        <v>0</v>
      </c>
      <c r="AD213" s="24">
        <f>IF(AE212&gt;0,ROUND(ROUND(AE212*100,0)*ROUND(AC$7*10000,0)/12000000,0)/100,0)</f>
        <v>0</v>
      </c>
      <c r="AE213" s="24">
        <f>IF(AE212&gt;0,ROUND(AE212+AD213-AC213,2),0)</f>
        <v>0</v>
      </c>
      <c r="AF213" s="24">
        <f>IF(AE212&gt;0,ROUND(AF212+ROUND(ROUND(AF212*100,0)*ROUND(AC$7*10000,0)/12000000,0)/100+0.02,2),0)</f>
        <v>0</v>
      </c>
      <c r="AG213" s="24">
        <f>IF(AI212&gt;0,IF(AND(ROUND(AI212+AH213-ROUND(AG$6+IF(AG$5=$C213,$E$5+$E213,0),2),2)&gt;0,ROUND(AI212+AH213-ROUND(AG$6+IF(AG$5=$C213,$E$5+$E213,0),2),2)&lt;=AJ213,ROUND(AI212+AH213-ROUND(AG$6+IF(AG$5=$C213,$E$5+$E213,0),2),2)*10&lt;=ROUND(AG$6+IF(AG$5=$C213,$E$5+$E213,0),2)),ROUND(AI212+AH213,2),MIN(ROUND(AG$6+IF(AG$5=$C213,$E$5+$E213,0),2),ROUND(AI212+AH213,2))),0)</f>
        <v>0</v>
      </c>
      <c r="AH213" s="24">
        <f>IF(AI212&gt;0,ROUND(ROUND(AI212*100,0)*ROUND(AG$7*10000,0)/12000000,0)/100,0)</f>
        <v>0</v>
      </c>
      <c r="AI213" s="24">
        <f>IF(AI212&gt;0,ROUND(AI212+AH213-AG213,2),0)</f>
        <v>0</v>
      </c>
      <c r="AJ213" s="24">
        <f>IF(AI212&gt;0,ROUND(AJ212+ROUND(ROUND(AJ212*100,0)*ROUND(AG$7*10000,0)/12000000,0)/100+0.02,2),0)</f>
        <v>0</v>
      </c>
      <c r="AK213" s="24">
        <f>IF(AM212&gt;0,IF(AND(ROUND(AM212+AL213-ROUND(AK$6+IF(AK$5=$C213,$E$5+$E213,0),2),2)&gt;0,ROUND(AM212+AL213-ROUND(AK$6+IF(AK$5=$C213,$E$5+$E213,0),2),2)&lt;=AN213,ROUND(AM212+AL213-ROUND(AK$6+IF(AK$5=$C213,$E$5+$E213,0),2),2)*10&lt;=ROUND(AK$6+IF(AK$5=$C213,$E$5+$E213,0),2)),ROUND(AM212+AL213,2),MIN(ROUND(AK$6+IF(AK$5=$C213,$E$5+$E213,0),2),ROUND(AM212+AL213,2))),0)</f>
        <v>0</v>
      </c>
      <c r="AL213" s="24">
        <f>IF(AM212&gt;0,ROUND(ROUND(AM212*100,0)*ROUND(AK$7*10000,0)/12000000,0)/100,0)</f>
        <v>0</v>
      </c>
      <c r="AM213" s="24">
        <f>IF(AM212&gt;0,ROUND(AM212+AL213-AK213,2),0)</f>
        <v>0</v>
      </c>
      <c r="AN213" s="24">
        <f>IF(AM212&gt;0,ROUND(AN212+ROUND(ROUND(AN212*100,0)*ROUND(AK$7*10000,0)/12000000,0)/100+0.02,2),0)</f>
        <v>0</v>
      </c>
      <c r="AO213" s="24">
        <f>IF(AQ212&gt;0,IF(AND(ROUND(AQ212+AP213-ROUND(AO$6+IF(AO$5=$C213,$E$5+$E213,0),2),2)&gt;0,ROUND(AQ212+AP213-ROUND(AO$6+IF(AO$5=$C213,$E$5+$E213,0),2),2)&lt;=AR213,ROUND(AQ212+AP213-ROUND(AO$6+IF(AO$5=$C213,$E$5+$E213,0),2),2)*10&lt;=ROUND(AO$6+IF(AO$5=$C213,$E$5+$E213,0),2)),ROUND(AQ212+AP213,2),MIN(ROUND(AO$6+IF(AO$5=$C213,$E$5+$E213,0),2),ROUND(AQ212+AP213,2))),0)</f>
        <v>0</v>
      </c>
      <c r="AP213" s="24">
        <f>IF(AQ212&gt;0,ROUND(ROUND(AQ212*100,0)*ROUND(AO$7*10000,0)/12000000,0)/100,0)</f>
        <v>0</v>
      </c>
      <c r="AQ213" s="24">
        <f>IF(AQ212&gt;0,ROUND(AQ212+AP213-AO213,2),0)</f>
        <v>0</v>
      </c>
      <c r="AR213" s="24">
        <f>IF(AQ212&gt;0,ROUND(AR212+ROUND(ROUND(AR212*100,0)*ROUND(AO$7*10000,0)/12000000,0)/100+0.02,2),0)</f>
        <v>0</v>
      </c>
      <c r="AS213" s="24">
        <f>IF(AU212&gt;0,IF(AND(ROUND(AU212+AT213-ROUND(AS$6+IF(AS$5=$C213,$E$5+$E213,0),2),2)&gt;0,ROUND(AU212+AT213-ROUND(AS$6+IF(AS$5=$C213,$E$5+$E213,0),2),2)&lt;=AV213,ROUND(AU212+AT213-ROUND(AS$6+IF(AS$5=$C213,$E$5+$E213,0),2),2)*10&lt;=ROUND(AS$6+IF(AS$5=$C213,$E$5+$E213,0),2)),ROUND(AU212+AT213,2),MIN(ROUND(AS$6+IF(AS$5=$C213,$E$5+$E213,0),2),ROUND(AU212+AT213,2))),0)</f>
        <v>0</v>
      </c>
      <c r="AT213" s="24">
        <f>IF(AU212&gt;0,ROUND(ROUND(AU212*100,0)*ROUND(AS$7*10000,0)/12000000,0)/100,0)</f>
        <v>0</v>
      </c>
      <c r="AU213" s="24">
        <f>IF(AU212&gt;0,ROUND(AU212+AT213-AS213,2),0)</f>
        <v>0</v>
      </c>
      <c r="AV213" s="24">
        <f>IF(AU212&gt;0,ROUND(AV212+ROUND(ROUND(AV212*100,0)*ROUND(AS$7*10000,0)/12000000,0)/100+0.02,2),0)</f>
        <v>0</v>
      </c>
    </row>
    <row r="214" spans="1:48" x14ac:dyDescent="0.25">
      <c r="A214" s="17" t="str">
        <f>IF(F214&gt;0,204,"")</f>
        <v/>
      </c>
      <c r="B214" s="18" t="str">
        <f>IF(F214&gt;0,EDATE($E$6,204),"")</f>
        <v/>
      </c>
      <c r="C214" s="21">
        <f>IF(H213&gt;0,MIN(IF(K213&gt;0,I$5,99),IF(O213&gt;0,M$5,99),IF(S213&gt;0,Q$5,99),IF(W213&gt;0,U$5,99),IF(AA213&gt;0,Y$5,99),IF(AE213&gt;0,AC$5,99),IF(AI213&gt;0,AG$5,99),IF(AM213&gt;0,AK$5,99),IF(AQ213&gt;0,AO$5,99),IF(AU213&gt;0,AS$5,99)),0)</f>
        <v>0</v>
      </c>
      <c r="D214" t="str">
        <f>IF(C214&gt;0,INDEX($I$4:$AV$4,1,MATCH(C214,$I$5:$AV$5,0)),"")</f>
        <v/>
      </c>
      <c r="E214" s="24">
        <f>ROUND(IF(AND(I$8&gt;0,K213=0),I$6,0)+IF(AND(M$8&gt;0,O213=0),M$6,0)+IF(AND(Q$8&gt;0,S213=0),Q$6,0)+IF(AND(U$8&gt;0,W213=0),U$6,0)+IF(AND(Y$8&gt;0,AA213=0),Y$6,0)+IF(AND(AC$8&gt;0,AE213=0),AC$6,0)+IF(AND(AG$8&gt;0,AI213=0),AG$6,0)+IF(AND(AK$8&gt;0,AM213=0),AK$6,0)+IF(AND(AO$8&gt;0,AQ213=0),AO$6,0)+IF(AND(AS$8&gt;0,AU213=0),AS$6,0),2)</f>
        <v>325</v>
      </c>
      <c r="F214" s="24">
        <f>ROUND(I214+M214+Q214+U214+Y214+AC214+AG214+AK214+AO214+AS214,2)</f>
        <v>0</v>
      </c>
      <c r="G214" s="24">
        <f>ROUND(J214+N214+R214+V214+Z214+AD214+AH214+AL214+AP214+AT214,2)</f>
        <v>0</v>
      </c>
      <c r="H214" s="24">
        <f>ROUND(K214+O214+S214+W214+AA214+AE214+AI214+AM214+AQ214+AU214,2)</f>
        <v>0</v>
      </c>
      <c r="I214" s="24">
        <f>IF(K213&gt;0,IF(AND(ROUND(K213+J214-ROUND(I$6+IF(I$5=$C214,$E$5+$E214,0),2),2)&gt;0,ROUND(K213+J214-ROUND(I$6+IF(I$5=$C214,$E$5+$E214,0),2),2)&lt;=L214,ROUND(K213+J214-ROUND(I$6+IF(I$5=$C214,$E$5+$E214,0),2),2)*10&lt;=ROUND(I$6+IF(I$5=$C214,$E$5+$E214,0),2)),ROUND(K213+J214,2),MIN(ROUND(I$6+IF(I$5=$C214,$E$5+$E214,0),2),ROUND(K213+J214,2))),0)</f>
        <v>0</v>
      </c>
      <c r="J214" s="24">
        <f>IF(K213&gt;0,ROUND(ROUND(K213*100,0)*ROUND(I$7*10000,0)/12000000,0)/100,0)</f>
        <v>0</v>
      </c>
      <c r="K214" s="24">
        <f>IF(K213&gt;0,ROUND(K213+J214-I214,2),0)</f>
        <v>0</v>
      </c>
      <c r="L214" s="24">
        <f>IF(K213&gt;0,ROUND(L213+ROUND(ROUND(L213*100,0)*ROUND(I$7*10000,0)/12000000,0)/100+0.02,2),0)</f>
        <v>0</v>
      </c>
      <c r="M214" s="24">
        <f>IF(O213&gt;0,IF(AND(ROUND(O213+N214-ROUND(M$6+IF(M$5=$C214,$E$5+$E214,0),2),2)&gt;0,ROUND(O213+N214-ROUND(M$6+IF(M$5=$C214,$E$5+$E214,0),2),2)&lt;=P214,ROUND(O213+N214-ROUND(M$6+IF(M$5=$C214,$E$5+$E214,0),2),2)*10&lt;=ROUND(M$6+IF(M$5=$C214,$E$5+$E214,0),2)),ROUND(O213+N214,2),MIN(ROUND(M$6+IF(M$5=$C214,$E$5+$E214,0),2),ROUND(O213+N214,2))),0)</f>
        <v>0</v>
      </c>
      <c r="N214" s="24">
        <f>IF(O213&gt;0,ROUND(ROUND(O213*100,0)*ROUND(M$7*10000,0)/12000000,0)/100,0)</f>
        <v>0</v>
      </c>
      <c r="O214" s="24">
        <f>IF(O213&gt;0,ROUND(O213+N214-M214,2),0)</f>
        <v>0</v>
      </c>
      <c r="P214" s="24">
        <f>IF(O213&gt;0,ROUND(P213+ROUND(ROUND(P213*100,0)*ROUND(M$7*10000,0)/12000000,0)/100+0.02,2),0)</f>
        <v>0</v>
      </c>
      <c r="Q214" s="24">
        <f>IF(S213&gt;0,IF(AND(ROUND(S213+R214-ROUND(Q$6+IF(Q$5=$C214,$E$5+$E214,0),2),2)&gt;0,ROUND(S213+R214-ROUND(Q$6+IF(Q$5=$C214,$E$5+$E214,0),2),2)&lt;=T214,ROUND(S213+R214-ROUND(Q$6+IF(Q$5=$C214,$E$5+$E214,0),2),2)*10&lt;=ROUND(Q$6+IF(Q$5=$C214,$E$5+$E214,0),2)),ROUND(S213+R214,2),MIN(ROUND(Q$6+IF(Q$5=$C214,$E$5+$E214,0),2),ROUND(S213+R214,2))),0)</f>
        <v>0</v>
      </c>
      <c r="R214" s="24">
        <f>IF(S213&gt;0,ROUND(ROUND(S213*100,0)*ROUND(Q$7*10000,0)/12000000,0)/100,0)</f>
        <v>0</v>
      </c>
      <c r="S214" s="24">
        <f>IF(S213&gt;0,ROUND(S213+R214-Q214,2),0)</f>
        <v>0</v>
      </c>
      <c r="T214" s="24">
        <f>IF(S213&gt;0,ROUND(T213+ROUND(ROUND(T213*100,0)*ROUND(Q$7*10000,0)/12000000,0)/100+0.02,2),0)</f>
        <v>0</v>
      </c>
      <c r="U214" s="24">
        <f>IF(W213&gt;0,IF(AND(ROUND(W213+V214-ROUND(U$6+IF(U$5=$C214,$E$5+$E214,0),2),2)&gt;0,ROUND(W213+V214-ROUND(U$6+IF(U$5=$C214,$E$5+$E214,0),2),2)&lt;=X214,ROUND(W213+V214-ROUND(U$6+IF(U$5=$C214,$E$5+$E214,0),2),2)*10&lt;=ROUND(U$6+IF(U$5=$C214,$E$5+$E214,0),2)),ROUND(W213+V214,2),MIN(ROUND(U$6+IF(U$5=$C214,$E$5+$E214,0),2),ROUND(W213+V214,2))),0)</f>
        <v>0</v>
      </c>
      <c r="V214" s="24">
        <f>IF(W213&gt;0,ROUND(ROUND(W213*100,0)*ROUND(U$7*10000,0)/12000000,0)/100,0)</f>
        <v>0</v>
      </c>
      <c r="W214" s="24">
        <f>IF(W213&gt;0,ROUND(W213+V214-U214,2),0)</f>
        <v>0</v>
      </c>
      <c r="X214" s="24">
        <f>IF(W213&gt;0,ROUND(X213+ROUND(ROUND(X213*100,0)*ROUND(U$7*10000,0)/12000000,0)/100+0.02,2),0)</f>
        <v>0</v>
      </c>
      <c r="Y214" s="24">
        <f>IF(AA213&gt;0,IF(AND(ROUND(AA213+Z214-ROUND(Y$6+IF(Y$5=$C214,$E$5+$E214,0),2),2)&gt;0,ROUND(AA213+Z214-ROUND(Y$6+IF(Y$5=$C214,$E$5+$E214,0),2),2)&lt;=AB214,ROUND(AA213+Z214-ROUND(Y$6+IF(Y$5=$C214,$E$5+$E214,0),2),2)*10&lt;=ROUND(Y$6+IF(Y$5=$C214,$E$5+$E214,0),2)),ROUND(AA213+Z214,2),MIN(ROUND(Y$6+IF(Y$5=$C214,$E$5+$E214,0),2),ROUND(AA213+Z214,2))),0)</f>
        <v>0</v>
      </c>
      <c r="Z214" s="24">
        <f>IF(AA213&gt;0,ROUND(ROUND(AA213*100,0)*ROUND(Y$7*10000,0)/12000000,0)/100,0)</f>
        <v>0</v>
      </c>
      <c r="AA214" s="24">
        <f>IF(AA213&gt;0,ROUND(AA213+Z214-Y214,2),0)</f>
        <v>0</v>
      </c>
      <c r="AB214" s="24">
        <f>IF(AA213&gt;0,ROUND(AB213+ROUND(ROUND(AB213*100,0)*ROUND(Y$7*10000,0)/12000000,0)/100+0.02,2),0)</f>
        <v>0</v>
      </c>
      <c r="AC214" s="24">
        <f>IF(AE213&gt;0,IF(AND(ROUND(AE213+AD214-ROUND(AC$6+IF(AC$5=$C214,$E$5+$E214,0),2),2)&gt;0,ROUND(AE213+AD214-ROUND(AC$6+IF(AC$5=$C214,$E$5+$E214,0),2),2)&lt;=AF214,ROUND(AE213+AD214-ROUND(AC$6+IF(AC$5=$C214,$E$5+$E214,0),2),2)*10&lt;=ROUND(AC$6+IF(AC$5=$C214,$E$5+$E214,0),2)),ROUND(AE213+AD214,2),MIN(ROUND(AC$6+IF(AC$5=$C214,$E$5+$E214,0),2),ROUND(AE213+AD214,2))),0)</f>
        <v>0</v>
      </c>
      <c r="AD214" s="24">
        <f>IF(AE213&gt;0,ROUND(ROUND(AE213*100,0)*ROUND(AC$7*10000,0)/12000000,0)/100,0)</f>
        <v>0</v>
      </c>
      <c r="AE214" s="24">
        <f>IF(AE213&gt;0,ROUND(AE213+AD214-AC214,2),0)</f>
        <v>0</v>
      </c>
      <c r="AF214" s="24">
        <f>IF(AE213&gt;0,ROUND(AF213+ROUND(ROUND(AF213*100,0)*ROUND(AC$7*10000,0)/12000000,0)/100+0.02,2),0)</f>
        <v>0</v>
      </c>
      <c r="AG214" s="24">
        <f>IF(AI213&gt;0,IF(AND(ROUND(AI213+AH214-ROUND(AG$6+IF(AG$5=$C214,$E$5+$E214,0),2),2)&gt;0,ROUND(AI213+AH214-ROUND(AG$6+IF(AG$5=$C214,$E$5+$E214,0),2),2)&lt;=AJ214,ROUND(AI213+AH214-ROUND(AG$6+IF(AG$5=$C214,$E$5+$E214,0),2),2)*10&lt;=ROUND(AG$6+IF(AG$5=$C214,$E$5+$E214,0),2)),ROUND(AI213+AH214,2),MIN(ROUND(AG$6+IF(AG$5=$C214,$E$5+$E214,0),2),ROUND(AI213+AH214,2))),0)</f>
        <v>0</v>
      </c>
      <c r="AH214" s="24">
        <f>IF(AI213&gt;0,ROUND(ROUND(AI213*100,0)*ROUND(AG$7*10000,0)/12000000,0)/100,0)</f>
        <v>0</v>
      </c>
      <c r="AI214" s="24">
        <f>IF(AI213&gt;0,ROUND(AI213+AH214-AG214,2),0)</f>
        <v>0</v>
      </c>
      <c r="AJ214" s="24">
        <f>IF(AI213&gt;0,ROUND(AJ213+ROUND(ROUND(AJ213*100,0)*ROUND(AG$7*10000,0)/12000000,0)/100+0.02,2),0)</f>
        <v>0</v>
      </c>
      <c r="AK214" s="24">
        <f>IF(AM213&gt;0,IF(AND(ROUND(AM213+AL214-ROUND(AK$6+IF(AK$5=$C214,$E$5+$E214,0),2),2)&gt;0,ROUND(AM213+AL214-ROUND(AK$6+IF(AK$5=$C214,$E$5+$E214,0),2),2)&lt;=AN214,ROUND(AM213+AL214-ROUND(AK$6+IF(AK$5=$C214,$E$5+$E214,0),2),2)*10&lt;=ROUND(AK$6+IF(AK$5=$C214,$E$5+$E214,0),2)),ROUND(AM213+AL214,2),MIN(ROUND(AK$6+IF(AK$5=$C214,$E$5+$E214,0),2),ROUND(AM213+AL214,2))),0)</f>
        <v>0</v>
      </c>
      <c r="AL214" s="24">
        <f>IF(AM213&gt;0,ROUND(ROUND(AM213*100,0)*ROUND(AK$7*10000,0)/12000000,0)/100,0)</f>
        <v>0</v>
      </c>
      <c r="AM214" s="24">
        <f>IF(AM213&gt;0,ROUND(AM213+AL214-AK214,2),0)</f>
        <v>0</v>
      </c>
      <c r="AN214" s="24">
        <f>IF(AM213&gt;0,ROUND(AN213+ROUND(ROUND(AN213*100,0)*ROUND(AK$7*10000,0)/12000000,0)/100+0.02,2),0)</f>
        <v>0</v>
      </c>
      <c r="AO214" s="24">
        <f>IF(AQ213&gt;0,IF(AND(ROUND(AQ213+AP214-ROUND(AO$6+IF(AO$5=$C214,$E$5+$E214,0),2),2)&gt;0,ROUND(AQ213+AP214-ROUND(AO$6+IF(AO$5=$C214,$E$5+$E214,0),2),2)&lt;=AR214,ROUND(AQ213+AP214-ROUND(AO$6+IF(AO$5=$C214,$E$5+$E214,0),2),2)*10&lt;=ROUND(AO$6+IF(AO$5=$C214,$E$5+$E214,0),2)),ROUND(AQ213+AP214,2),MIN(ROUND(AO$6+IF(AO$5=$C214,$E$5+$E214,0),2),ROUND(AQ213+AP214,2))),0)</f>
        <v>0</v>
      </c>
      <c r="AP214" s="24">
        <f>IF(AQ213&gt;0,ROUND(ROUND(AQ213*100,0)*ROUND(AO$7*10000,0)/12000000,0)/100,0)</f>
        <v>0</v>
      </c>
      <c r="AQ214" s="24">
        <f>IF(AQ213&gt;0,ROUND(AQ213+AP214-AO214,2),0)</f>
        <v>0</v>
      </c>
      <c r="AR214" s="24">
        <f>IF(AQ213&gt;0,ROUND(AR213+ROUND(ROUND(AR213*100,0)*ROUND(AO$7*10000,0)/12000000,0)/100+0.02,2),0)</f>
        <v>0</v>
      </c>
      <c r="AS214" s="24">
        <f>IF(AU213&gt;0,IF(AND(ROUND(AU213+AT214-ROUND(AS$6+IF(AS$5=$C214,$E$5+$E214,0),2),2)&gt;0,ROUND(AU213+AT214-ROUND(AS$6+IF(AS$5=$C214,$E$5+$E214,0),2),2)&lt;=AV214,ROUND(AU213+AT214-ROUND(AS$6+IF(AS$5=$C214,$E$5+$E214,0),2),2)*10&lt;=ROUND(AS$6+IF(AS$5=$C214,$E$5+$E214,0),2)),ROUND(AU213+AT214,2),MIN(ROUND(AS$6+IF(AS$5=$C214,$E$5+$E214,0),2),ROUND(AU213+AT214,2))),0)</f>
        <v>0</v>
      </c>
      <c r="AT214" s="24">
        <f>IF(AU213&gt;0,ROUND(ROUND(AU213*100,0)*ROUND(AS$7*10000,0)/12000000,0)/100,0)</f>
        <v>0</v>
      </c>
      <c r="AU214" s="24">
        <f>IF(AU213&gt;0,ROUND(AU213+AT214-AS214,2),0)</f>
        <v>0</v>
      </c>
      <c r="AV214" s="24">
        <f>IF(AU213&gt;0,ROUND(AV213+ROUND(ROUND(AV213*100,0)*ROUND(AS$7*10000,0)/12000000,0)/100+0.02,2),0)</f>
        <v>0</v>
      </c>
    </row>
    <row r="215" spans="1:48" x14ac:dyDescent="0.25">
      <c r="A215" s="17" t="str">
        <f>IF(F215&gt;0,205,"")</f>
        <v/>
      </c>
      <c r="B215" s="18" t="str">
        <f>IF(F215&gt;0,EDATE($E$6,205),"")</f>
        <v/>
      </c>
      <c r="C215" s="21">
        <f>IF(H214&gt;0,MIN(IF(K214&gt;0,I$5,99),IF(O214&gt;0,M$5,99),IF(S214&gt;0,Q$5,99),IF(W214&gt;0,U$5,99),IF(AA214&gt;0,Y$5,99),IF(AE214&gt;0,AC$5,99),IF(AI214&gt;0,AG$5,99),IF(AM214&gt;0,AK$5,99),IF(AQ214&gt;0,AO$5,99),IF(AU214&gt;0,AS$5,99)),0)</f>
        <v>0</v>
      </c>
      <c r="D215" t="str">
        <f>IF(C215&gt;0,INDEX($I$4:$AV$4,1,MATCH(C215,$I$5:$AV$5,0)),"")</f>
        <v/>
      </c>
      <c r="E215" s="24">
        <f>ROUND(IF(AND(I$8&gt;0,K214=0),I$6,0)+IF(AND(M$8&gt;0,O214=0),M$6,0)+IF(AND(Q$8&gt;0,S214=0),Q$6,0)+IF(AND(U$8&gt;0,W214=0),U$6,0)+IF(AND(Y$8&gt;0,AA214=0),Y$6,0)+IF(AND(AC$8&gt;0,AE214=0),AC$6,0)+IF(AND(AG$8&gt;0,AI214=0),AG$6,0)+IF(AND(AK$8&gt;0,AM214=0),AK$6,0)+IF(AND(AO$8&gt;0,AQ214=0),AO$6,0)+IF(AND(AS$8&gt;0,AU214=0),AS$6,0),2)</f>
        <v>325</v>
      </c>
      <c r="F215" s="24">
        <f>ROUND(I215+M215+Q215+U215+Y215+AC215+AG215+AK215+AO215+AS215,2)</f>
        <v>0</v>
      </c>
      <c r="G215" s="24">
        <f>ROUND(J215+N215+R215+V215+Z215+AD215+AH215+AL215+AP215+AT215,2)</f>
        <v>0</v>
      </c>
      <c r="H215" s="24">
        <f>ROUND(K215+O215+S215+W215+AA215+AE215+AI215+AM215+AQ215+AU215,2)</f>
        <v>0</v>
      </c>
      <c r="I215" s="24">
        <f>IF(K214&gt;0,IF(AND(ROUND(K214+J215-ROUND(I$6+IF(I$5=$C215,$E$5+$E215,0),2),2)&gt;0,ROUND(K214+J215-ROUND(I$6+IF(I$5=$C215,$E$5+$E215,0),2),2)&lt;=L215,ROUND(K214+J215-ROUND(I$6+IF(I$5=$C215,$E$5+$E215,0),2),2)*10&lt;=ROUND(I$6+IF(I$5=$C215,$E$5+$E215,0),2)),ROUND(K214+J215,2),MIN(ROUND(I$6+IF(I$5=$C215,$E$5+$E215,0),2),ROUND(K214+J215,2))),0)</f>
        <v>0</v>
      </c>
      <c r="J215" s="24">
        <f>IF(K214&gt;0,ROUND(ROUND(K214*100,0)*ROUND(I$7*10000,0)/12000000,0)/100,0)</f>
        <v>0</v>
      </c>
      <c r="K215" s="24">
        <f>IF(K214&gt;0,ROUND(K214+J215-I215,2),0)</f>
        <v>0</v>
      </c>
      <c r="L215" s="24">
        <f>IF(K214&gt;0,ROUND(L214+ROUND(ROUND(L214*100,0)*ROUND(I$7*10000,0)/12000000,0)/100+0.02,2),0)</f>
        <v>0</v>
      </c>
      <c r="M215" s="24">
        <f>IF(O214&gt;0,IF(AND(ROUND(O214+N215-ROUND(M$6+IF(M$5=$C215,$E$5+$E215,0),2),2)&gt;0,ROUND(O214+N215-ROUND(M$6+IF(M$5=$C215,$E$5+$E215,0),2),2)&lt;=P215,ROUND(O214+N215-ROUND(M$6+IF(M$5=$C215,$E$5+$E215,0),2),2)*10&lt;=ROUND(M$6+IF(M$5=$C215,$E$5+$E215,0),2)),ROUND(O214+N215,2),MIN(ROUND(M$6+IF(M$5=$C215,$E$5+$E215,0),2),ROUND(O214+N215,2))),0)</f>
        <v>0</v>
      </c>
      <c r="N215" s="24">
        <f>IF(O214&gt;0,ROUND(ROUND(O214*100,0)*ROUND(M$7*10000,0)/12000000,0)/100,0)</f>
        <v>0</v>
      </c>
      <c r="O215" s="24">
        <f>IF(O214&gt;0,ROUND(O214+N215-M215,2),0)</f>
        <v>0</v>
      </c>
      <c r="P215" s="24">
        <f>IF(O214&gt;0,ROUND(P214+ROUND(ROUND(P214*100,0)*ROUND(M$7*10000,0)/12000000,0)/100+0.02,2),0)</f>
        <v>0</v>
      </c>
      <c r="Q215" s="24">
        <f>IF(S214&gt;0,IF(AND(ROUND(S214+R215-ROUND(Q$6+IF(Q$5=$C215,$E$5+$E215,0),2),2)&gt;0,ROUND(S214+R215-ROUND(Q$6+IF(Q$5=$C215,$E$5+$E215,0),2),2)&lt;=T215,ROUND(S214+R215-ROUND(Q$6+IF(Q$5=$C215,$E$5+$E215,0),2),2)*10&lt;=ROUND(Q$6+IF(Q$5=$C215,$E$5+$E215,0),2)),ROUND(S214+R215,2),MIN(ROUND(Q$6+IF(Q$5=$C215,$E$5+$E215,0),2),ROUND(S214+R215,2))),0)</f>
        <v>0</v>
      </c>
      <c r="R215" s="24">
        <f>IF(S214&gt;0,ROUND(ROUND(S214*100,0)*ROUND(Q$7*10000,0)/12000000,0)/100,0)</f>
        <v>0</v>
      </c>
      <c r="S215" s="24">
        <f>IF(S214&gt;0,ROUND(S214+R215-Q215,2),0)</f>
        <v>0</v>
      </c>
      <c r="T215" s="24">
        <f>IF(S214&gt;0,ROUND(T214+ROUND(ROUND(T214*100,0)*ROUND(Q$7*10000,0)/12000000,0)/100+0.02,2),0)</f>
        <v>0</v>
      </c>
      <c r="U215" s="24">
        <f>IF(W214&gt;0,IF(AND(ROUND(W214+V215-ROUND(U$6+IF(U$5=$C215,$E$5+$E215,0),2),2)&gt;0,ROUND(W214+V215-ROUND(U$6+IF(U$5=$C215,$E$5+$E215,0),2),2)&lt;=X215,ROUND(W214+V215-ROUND(U$6+IF(U$5=$C215,$E$5+$E215,0),2),2)*10&lt;=ROUND(U$6+IF(U$5=$C215,$E$5+$E215,0),2)),ROUND(W214+V215,2),MIN(ROUND(U$6+IF(U$5=$C215,$E$5+$E215,0),2),ROUND(W214+V215,2))),0)</f>
        <v>0</v>
      </c>
      <c r="V215" s="24">
        <f>IF(W214&gt;0,ROUND(ROUND(W214*100,0)*ROUND(U$7*10000,0)/12000000,0)/100,0)</f>
        <v>0</v>
      </c>
      <c r="W215" s="24">
        <f>IF(W214&gt;0,ROUND(W214+V215-U215,2),0)</f>
        <v>0</v>
      </c>
      <c r="X215" s="24">
        <f>IF(W214&gt;0,ROUND(X214+ROUND(ROUND(X214*100,0)*ROUND(U$7*10000,0)/12000000,0)/100+0.02,2),0)</f>
        <v>0</v>
      </c>
      <c r="Y215" s="24">
        <f>IF(AA214&gt;0,IF(AND(ROUND(AA214+Z215-ROUND(Y$6+IF(Y$5=$C215,$E$5+$E215,0),2),2)&gt;0,ROUND(AA214+Z215-ROUND(Y$6+IF(Y$5=$C215,$E$5+$E215,0),2),2)&lt;=AB215,ROUND(AA214+Z215-ROUND(Y$6+IF(Y$5=$C215,$E$5+$E215,0),2),2)*10&lt;=ROUND(Y$6+IF(Y$5=$C215,$E$5+$E215,0),2)),ROUND(AA214+Z215,2),MIN(ROUND(Y$6+IF(Y$5=$C215,$E$5+$E215,0),2),ROUND(AA214+Z215,2))),0)</f>
        <v>0</v>
      </c>
      <c r="Z215" s="24">
        <f>IF(AA214&gt;0,ROUND(ROUND(AA214*100,0)*ROUND(Y$7*10000,0)/12000000,0)/100,0)</f>
        <v>0</v>
      </c>
      <c r="AA215" s="24">
        <f>IF(AA214&gt;0,ROUND(AA214+Z215-Y215,2),0)</f>
        <v>0</v>
      </c>
      <c r="AB215" s="24">
        <f>IF(AA214&gt;0,ROUND(AB214+ROUND(ROUND(AB214*100,0)*ROUND(Y$7*10000,0)/12000000,0)/100+0.02,2),0)</f>
        <v>0</v>
      </c>
      <c r="AC215" s="24">
        <f>IF(AE214&gt;0,IF(AND(ROUND(AE214+AD215-ROUND(AC$6+IF(AC$5=$C215,$E$5+$E215,0),2),2)&gt;0,ROUND(AE214+AD215-ROUND(AC$6+IF(AC$5=$C215,$E$5+$E215,0),2),2)&lt;=AF215,ROUND(AE214+AD215-ROUND(AC$6+IF(AC$5=$C215,$E$5+$E215,0),2),2)*10&lt;=ROUND(AC$6+IF(AC$5=$C215,$E$5+$E215,0),2)),ROUND(AE214+AD215,2),MIN(ROUND(AC$6+IF(AC$5=$C215,$E$5+$E215,0),2),ROUND(AE214+AD215,2))),0)</f>
        <v>0</v>
      </c>
      <c r="AD215" s="24">
        <f>IF(AE214&gt;0,ROUND(ROUND(AE214*100,0)*ROUND(AC$7*10000,0)/12000000,0)/100,0)</f>
        <v>0</v>
      </c>
      <c r="AE215" s="24">
        <f>IF(AE214&gt;0,ROUND(AE214+AD215-AC215,2),0)</f>
        <v>0</v>
      </c>
      <c r="AF215" s="24">
        <f>IF(AE214&gt;0,ROUND(AF214+ROUND(ROUND(AF214*100,0)*ROUND(AC$7*10000,0)/12000000,0)/100+0.02,2),0)</f>
        <v>0</v>
      </c>
      <c r="AG215" s="24">
        <f>IF(AI214&gt;0,IF(AND(ROUND(AI214+AH215-ROUND(AG$6+IF(AG$5=$C215,$E$5+$E215,0),2),2)&gt;0,ROUND(AI214+AH215-ROUND(AG$6+IF(AG$5=$C215,$E$5+$E215,0),2),2)&lt;=AJ215,ROUND(AI214+AH215-ROUND(AG$6+IF(AG$5=$C215,$E$5+$E215,0),2),2)*10&lt;=ROUND(AG$6+IF(AG$5=$C215,$E$5+$E215,0),2)),ROUND(AI214+AH215,2),MIN(ROUND(AG$6+IF(AG$5=$C215,$E$5+$E215,0),2),ROUND(AI214+AH215,2))),0)</f>
        <v>0</v>
      </c>
      <c r="AH215" s="24">
        <f>IF(AI214&gt;0,ROUND(ROUND(AI214*100,0)*ROUND(AG$7*10000,0)/12000000,0)/100,0)</f>
        <v>0</v>
      </c>
      <c r="AI215" s="24">
        <f>IF(AI214&gt;0,ROUND(AI214+AH215-AG215,2),0)</f>
        <v>0</v>
      </c>
      <c r="AJ215" s="24">
        <f>IF(AI214&gt;0,ROUND(AJ214+ROUND(ROUND(AJ214*100,0)*ROUND(AG$7*10000,0)/12000000,0)/100+0.02,2),0)</f>
        <v>0</v>
      </c>
      <c r="AK215" s="24">
        <f>IF(AM214&gt;0,IF(AND(ROUND(AM214+AL215-ROUND(AK$6+IF(AK$5=$C215,$E$5+$E215,0),2),2)&gt;0,ROUND(AM214+AL215-ROUND(AK$6+IF(AK$5=$C215,$E$5+$E215,0),2),2)&lt;=AN215,ROUND(AM214+AL215-ROUND(AK$6+IF(AK$5=$C215,$E$5+$E215,0),2),2)*10&lt;=ROUND(AK$6+IF(AK$5=$C215,$E$5+$E215,0),2)),ROUND(AM214+AL215,2),MIN(ROUND(AK$6+IF(AK$5=$C215,$E$5+$E215,0),2),ROUND(AM214+AL215,2))),0)</f>
        <v>0</v>
      </c>
      <c r="AL215" s="24">
        <f>IF(AM214&gt;0,ROUND(ROUND(AM214*100,0)*ROUND(AK$7*10000,0)/12000000,0)/100,0)</f>
        <v>0</v>
      </c>
      <c r="AM215" s="24">
        <f>IF(AM214&gt;0,ROUND(AM214+AL215-AK215,2),0)</f>
        <v>0</v>
      </c>
      <c r="AN215" s="24">
        <f>IF(AM214&gt;0,ROUND(AN214+ROUND(ROUND(AN214*100,0)*ROUND(AK$7*10000,0)/12000000,0)/100+0.02,2),0)</f>
        <v>0</v>
      </c>
      <c r="AO215" s="24">
        <f>IF(AQ214&gt;0,IF(AND(ROUND(AQ214+AP215-ROUND(AO$6+IF(AO$5=$C215,$E$5+$E215,0),2),2)&gt;0,ROUND(AQ214+AP215-ROUND(AO$6+IF(AO$5=$C215,$E$5+$E215,0),2),2)&lt;=AR215,ROUND(AQ214+AP215-ROUND(AO$6+IF(AO$5=$C215,$E$5+$E215,0),2),2)*10&lt;=ROUND(AO$6+IF(AO$5=$C215,$E$5+$E215,0),2)),ROUND(AQ214+AP215,2),MIN(ROUND(AO$6+IF(AO$5=$C215,$E$5+$E215,0),2),ROUND(AQ214+AP215,2))),0)</f>
        <v>0</v>
      </c>
      <c r="AP215" s="24">
        <f>IF(AQ214&gt;0,ROUND(ROUND(AQ214*100,0)*ROUND(AO$7*10000,0)/12000000,0)/100,0)</f>
        <v>0</v>
      </c>
      <c r="AQ215" s="24">
        <f>IF(AQ214&gt;0,ROUND(AQ214+AP215-AO215,2),0)</f>
        <v>0</v>
      </c>
      <c r="AR215" s="24">
        <f>IF(AQ214&gt;0,ROUND(AR214+ROUND(ROUND(AR214*100,0)*ROUND(AO$7*10000,0)/12000000,0)/100+0.02,2),0)</f>
        <v>0</v>
      </c>
      <c r="AS215" s="24">
        <f>IF(AU214&gt;0,IF(AND(ROUND(AU214+AT215-ROUND(AS$6+IF(AS$5=$C215,$E$5+$E215,0),2),2)&gt;0,ROUND(AU214+AT215-ROUND(AS$6+IF(AS$5=$C215,$E$5+$E215,0),2),2)&lt;=AV215,ROUND(AU214+AT215-ROUND(AS$6+IF(AS$5=$C215,$E$5+$E215,0),2),2)*10&lt;=ROUND(AS$6+IF(AS$5=$C215,$E$5+$E215,0),2)),ROUND(AU214+AT215,2),MIN(ROUND(AS$6+IF(AS$5=$C215,$E$5+$E215,0),2),ROUND(AU214+AT215,2))),0)</f>
        <v>0</v>
      </c>
      <c r="AT215" s="24">
        <f>IF(AU214&gt;0,ROUND(ROUND(AU214*100,0)*ROUND(AS$7*10000,0)/12000000,0)/100,0)</f>
        <v>0</v>
      </c>
      <c r="AU215" s="24">
        <f>IF(AU214&gt;0,ROUND(AU214+AT215-AS215,2),0)</f>
        <v>0</v>
      </c>
      <c r="AV215" s="24">
        <f>IF(AU214&gt;0,ROUND(AV214+ROUND(ROUND(AV214*100,0)*ROUND(AS$7*10000,0)/12000000,0)/100+0.02,2),0)</f>
        <v>0</v>
      </c>
    </row>
    <row r="216" spans="1:48" x14ac:dyDescent="0.25">
      <c r="A216" s="17" t="str">
        <f>IF(F216&gt;0,206,"")</f>
        <v/>
      </c>
      <c r="B216" s="18" t="str">
        <f>IF(F216&gt;0,EDATE($E$6,206),"")</f>
        <v/>
      </c>
      <c r="C216" s="21">
        <f>IF(H215&gt;0,MIN(IF(K215&gt;0,I$5,99),IF(O215&gt;0,M$5,99),IF(S215&gt;0,Q$5,99),IF(W215&gt;0,U$5,99),IF(AA215&gt;0,Y$5,99),IF(AE215&gt;0,AC$5,99),IF(AI215&gt;0,AG$5,99),IF(AM215&gt;0,AK$5,99),IF(AQ215&gt;0,AO$5,99),IF(AU215&gt;0,AS$5,99)),0)</f>
        <v>0</v>
      </c>
      <c r="D216" t="str">
        <f>IF(C216&gt;0,INDEX($I$4:$AV$4,1,MATCH(C216,$I$5:$AV$5,0)),"")</f>
        <v/>
      </c>
      <c r="E216" s="24">
        <f>ROUND(IF(AND(I$8&gt;0,K215=0),I$6,0)+IF(AND(M$8&gt;0,O215=0),M$6,0)+IF(AND(Q$8&gt;0,S215=0),Q$6,0)+IF(AND(U$8&gt;0,W215=0),U$6,0)+IF(AND(Y$8&gt;0,AA215=0),Y$6,0)+IF(AND(AC$8&gt;0,AE215=0),AC$6,0)+IF(AND(AG$8&gt;0,AI215=0),AG$6,0)+IF(AND(AK$8&gt;0,AM215=0),AK$6,0)+IF(AND(AO$8&gt;0,AQ215=0),AO$6,0)+IF(AND(AS$8&gt;0,AU215=0),AS$6,0),2)</f>
        <v>325</v>
      </c>
      <c r="F216" s="24">
        <f>ROUND(I216+M216+Q216+U216+Y216+AC216+AG216+AK216+AO216+AS216,2)</f>
        <v>0</v>
      </c>
      <c r="G216" s="24">
        <f>ROUND(J216+N216+R216+V216+Z216+AD216+AH216+AL216+AP216+AT216,2)</f>
        <v>0</v>
      </c>
      <c r="H216" s="24">
        <f>ROUND(K216+O216+S216+W216+AA216+AE216+AI216+AM216+AQ216+AU216,2)</f>
        <v>0</v>
      </c>
      <c r="I216" s="24">
        <f>IF(K215&gt;0,IF(AND(ROUND(K215+J216-ROUND(I$6+IF(I$5=$C216,$E$5+$E216,0),2),2)&gt;0,ROUND(K215+J216-ROUND(I$6+IF(I$5=$C216,$E$5+$E216,0),2),2)&lt;=L216,ROUND(K215+J216-ROUND(I$6+IF(I$5=$C216,$E$5+$E216,0),2),2)*10&lt;=ROUND(I$6+IF(I$5=$C216,$E$5+$E216,0),2)),ROUND(K215+J216,2),MIN(ROUND(I$6+IF(I$5=$C216,$E$5+$E216,0),2),ROUND(K215+J216,2))),0)</f>
        <v>0</v>
      </c>
      <c r="J216" s="24">
        <f>IF(K215&gt;0,ROUND(ROUND(K215*100,0)*ROUND(I$7*10000,0)/12000000,0)/100,0)</f>
        <v>0</v>
      </c>
      <c r="K216" s="24">
        <f>IF(K215&gt;0,ROUND(K215+J216-I216,2),0)</f>
        <v>0</v>
      </c>
      <c r="L216" s="24">
        <f>IF(K215&gt;0,ROUND(L215+ROUND(ROUND(L215*100,0)*ROUND(I$7*10000,0)/12000000,0)/100+0.02,2),0)</f>
        <v>0</v>
      </c>
      <c r="M216" s="24">
        <f>IF(O215&gt;0,IF(AND(ROUND(O215+N216-ROUND(M$6+IF(M$5=$C216,$E$5+$E216,0),2),2)&gt;0,ROUND(O215+N216-ROUND(M$6+IF(M$5=$C216,$E$5+$E216,0),2),2)&lt;=P216,ROUND(O215+N216-ROUND(M$6+IF(M$5=$C216,$E$5+$E216,0),2),2)*10&lt;=ROUND(M$6+IF(M$5=$C216,$E$5+$E216,0),2)),ROUND(O215+N216,2),MIN(ROUND(M$6+IF(M$5=$C216,$E$5+$E216,0),2),ROUND(O215+N216,2))),0)</f>
        <v>0</v>
      </c>
      <c r="N216" s="24">
        <f>IF(O215&gt;0,ROUND(ROUND(O215*100,0)*ROUND(M$7*10000,0)/12000000,0)/100,0)</f>
        <v>0</v>
      </c>
      <c r="O216" s="24">
        <f>IF(O215&gt;0,ROUND(O215+N216-M216,2),0)</f>
        <v>0</v>
      </c>
      <c r="P216" s="24">
        <f>IF(O215&gt;0,ROUND(P215+ROUND(ROUND(P215*100,0)*ROUND(M$7*10000,0)/12000000,0)/100+0.02,2),0)</f>
        <v>0</v>
      </c>
      <c r="Q216" s="24">
        <f>IF(S215&gt;0,IF(AND(ROUND(S215+R216-ROUND(Q$6+IF(Q$5=$C216,$E$5+$E216,0),2),2)&gt;0,ROUND(S215+R216-ROUND(Q$6+IF(Q$5=$C216,$E$5+$E216,0),2),2)&lt;=T216,ROUND(S215+R216-ROUND(Q$6+IF(Q$5=$C216,$E$5+$E216,0),2),2)*10&lt;=ROUND(Q$6+IF(Q$5=$C216,$E$5+$E216,0),2)),ROUND(S215+R216,2),MIN(ROUND(Q$6+IF(Q$5=$C216,$E$5+$E216,0),2),ROUND(S215+R216,2))),0)</f>
        <v>0</v>
      </c>
      <c r="R216" s="24">
        <f>IF(S215&gt;0,ROUND(ROUND(S215*100,0)*ROUND(Q$7*10000,0)/12000000,0)/100,0)</f>
        <v>0</v>
      </c>
      <c r="S216" s="24">
        <f>IF(S215&gt;0,ROUND(S215+R216-Q216,2),0)</f>
        <v>0</v>
      </c>
      <c r="T216" s="24">
        <f>IF(S215&gt;0,ROUND(T215+ROUND(ROUND(T215*100,0)*ROUND(Q$7*10000,0)/12000000,0)/100+0.02,2),0)</f>
        <v>0</v>
      </c>
      <c r="U216" s="24">
        <f>IF(W215&gt;0,IF(AND(ROUND(W215+V216-ROUND(U$6+IF(U$5=$C216,$E$5+$E216,0),2),2)&gt;0,ROUND(W215+V216-ROUND(U$6+IF(U$5=$C216,$E$5+$E216,0),2),2)&lt;=X216,ROUND(W215+V216-ROUND(U$6+IF(U$5=$C216,$E$5+$E216,0),2),2)*10&lt;=ROUND(U$6+IF(U$5=$C216,$E$5+$E216,0),2)),ROUND(W215+V216,2),MIN(ROUND(U$6+IF(U$5=$C216,$E$5+$E216,0),2),ROUND(W215+V216,2))),0)</f>
        <v>0</v>
      </c>
      <c r="V216" s="24">
        <f>IF(W215&gt;0,ROUND(ROUND(W215*100,0)*ROUND(U$7*10000,0)/12000000,0)/100,0)</f>
        <v>0</v>
      </c>
      <c r="W216" s="24">
        <f>IF(W215&gt;0,ROUND(W215+V216-U216,2),0)</f>
        <v>0</v>
      </c>
      <c r="X216" s="24">
        <f>IF(W215&gt;0,ROUND(X215+ROUND(ROUND(X215*100,0)*ROUND(U$7*10000,0)/12000000,0)/100+0.02,2),0)</f>
        <v>0</v>
      </c>
      <c r="Y216" s="24">
        <f>IF(AA215&gt;0,IF(AND(ROUND(AA215+Z216-ROUND(Y$6+IF(Y$5=$C216,$E$5+$E216,0),2),2)&gt;0,ROUND(AA215+Z216-ROUND(Y$6+IF(Y$5=$C216,$E$5+$E216,0),2),2)&lt;=AB216,ROUND(AA215+Z216-ROUND(Y$6+IF(Y$5=$C216,$E$5+$E216,0),2),2)*10&lt;=ROUND(Y$6+IF(Y$5=$C216,$E$5+$E216,0),2)),ROUND(AA215+Z216,2),MIN(ROUND(Y$6+IF(Y$5=$C216,$E$5+$E216,0),2),ROUND(AA215+Z216,2))),0)</f>
        <v>0</v>
      </c>
      <c r="Z216" s="24">
        <f>IF(AA215&gt;0,ROUND(ROUND(AA215*100,0)*ROUND(Y$7*10000,0)/12000000,0)/100,0)</f>
        <v>0</v>
      </c>
      <c r="AA216" s="24">
        <f>IF(AA215&gt;0,ROUND(AA215+Z216-Y216,2),0)</f>
        <v>0</v>
      </c>
      <c r="AB216" s="24">
        <f>IF(AA215&gt;0,ROUND(AB215+ROUND(ROUND(AB215*100,0)*ROUND(Y$7*10000,0)/12000000,0)/100+0.02,2),0)</f>
        <v>0</v>
      </c>
      <c r="AC216" s="24">
        <f>IF(AE215&gt;0,IF(AND(ROUND(AE215+AD216-ROUND(AC$6+IF(AC$5=$C216,$E$5+$E216,0),2),2)&gt;0,ROUND(AE215+AD216-ROUND(AC$6+IF(AC$5=$C216,$E$5+$E216,0),2),2)&lt;=AF216,ROUND(AE215+AD216-ROUND(AC$6+IF(AC$5=$C216,$E$5+$E216,0),2),2)*10&lt;=ROUND(AC$6+IF(AC$5=$C216,$E$5+$E216,0),2)),ROUND(AE215+AD216,2),MIN(ROUND(AC$6+IF(AC$5=$C216,$E$5+$E216,0),2),ROUND(AE215+AD216,2))),0)</f>
        <v>0</v>
      </c>
      <c r="AD216" s="24">
        <f>IF(AE215&gt;0,ROUND(ROUND(AE215*100,0)*ROUND(AC$7*10000,0)/12000000,0)/100,0)</f>
        <v>0</v>
      </c>
      <c r="AE216" s="24">
        <f>IF(AE215&gt;0,ROUND(AE215+AD216-AC216,2),0)</f>
        <v>0</v>
      </c>
      <c r="AF216" s="24">
        <f>IF(AE215&gt;0,ROUND(AF215+ROUND(ROUND(AF215*100,0)*ROUND(AC$7*10000,0)/12000000,0)/100+0.02,2),0)</f>
        <v>0</v>
      </c>
      <c r="AG216" s="24">
        <f>IF(AI215&gt;0,IF(AND(ROUND(AI215+AH216-ROUND(AG$6+IF(AG$5=$C216,$E$5+$E216,0),2),2)&gt;0,ROUND(AI215+AH216-ROUND(AG$6+IF(AG$5=$C216,$E$5+$E216,0),2),2)&lt;=AJ216,ROUND(AI215+AH216-ROUND(AG$6+IF(AG$5=$C216,$E$5+$E216,0),2),2)*10&lt;=ROUND(AG$6+IF(AG$5=$C216,$E$5+$E216,0),2)),ROUND(AI215+AH216,2),MIN(ROUND(AG$6+IF(AG$5=$C216,$E$5+$E216,0),2),ROUND(AI215+AH216,2))),0)</f>
        <v>0</v>
      </c>
      <c r="AH216" s="24">
        <f>IF(AI215&gt;0,ROUND(ROUND(AI215*100,0)*ROUND(AG$7*10000,0)/12000000,0)/100,0)</f>
        <v>0</v>
      </c>
      <c r="AI216" s="24">
        <f>IF(AI215&gt;0,ROUND(AI215+AH216-AG216,2),0)</f>
        <v>0</v>
      </c>
      <c r="AJ216" s="24">
        <f>IF(AI215&gt;0,ROUND(AJ215+ROUND(ROUND(AJ215*100,0)*ROUND(AG$7*10000,0)/12000000,0)/100+0.02,2),0)</f>
        <v>0</v>
      </c>
      <c r="AK216" s="24">
        <f>IF(AM215&gt;0,IF(AND(ROUND(AM215+AL216-ROUND(AK$6+IF(AK$5=$C216,$E$5+$E216,0),2),2)&gt;0,ROUND(AM215+AL216-ROUND(AK$6+IF(AK$5=$C216,$E$5+$E216,0),2),2)&lt;=AN216,ROUND(AM215+AL216-ROUND(AK$6+IF(AK$5=$C216,$E$5+$E216,0),2),2)*10&lt;=ROUND(AK$6+IF(AK$5=$C216,$E$5+$E216,0),2)),ROUND(AM215+AL216,2),MIN(ROUND(AK$6+IF(AK$5=$C216,$E$5+$E216,0),2),ROUND(AM215+AL216,2))),0)</f>
        <v>0</v>
      </c>
      <c r="AL216" s="24">
        <f>IF(AM215&gt;0,ROUND(ROUND(AM215*100,0)*ROUND(AK$7*10000,0)/12000000,0)/100,0)</f>
        <v>0</v>
      </c>
      <c r="AM216" s="24">
        <f>IF(AM215&gt;0,ROUND(AM215+AL216-AK216,2),0)</f>
        <v>0</v>
      </c>
      <c r="AN216" s="24">
        <f>IF(AM215&gt;0,ROUND(AN215+ROUND(ROUND(AN215*100,0)*ROUND(AK$7*10000,0)/12000000,0)/100+0.02,2),0)</f>
        <v>0</v>
      </c>
      <c r="AO216" s="24">
        <f>IF(AQ215&gt;0,IF(AND(ROUND(AQ215+AP216-ROUND(AO$6+IF(AO$5=$C216,$E$5+$E216,0),2),2)&gt;0,ROUND(AQ215+AP216-ROUND(AO$6+IF(AO$5=$C216,$E$5+$E216,0),2),2)&lt;=AR216,ROUND(AQ215+AP216-ROUND(AO$6+IF(AO$5=$C216,$E$5+$E216,0),2),2)*10&lt;=ROUND(AO$6+IF(AO$5=$C216,$E$5+$E216,0),2)),ROUND(AQ215+AP216,2),MIN(ROUND(AO$6+IF(AO$5=$C216,$E$5+$E216,0),2),ROUND(AQ215+AP216,2))),0)</f>
        <v>0</v>
      </c>
      <c r="AP216" s="24">
        <f>IF(AQ215&gt;0,ROUND(ROUND(AQ215*100,0)*ROUND(AO$7*10000,0)/12000000,0)/100,0)</f>
        <v>0</v>
      </c>
      <c r="AQ216" s="24">
        <f>IF(AQ215&gt;0,ROUND(AQ215+AP216-AO216,2),0)</f>
        <v>0</v>
      </c>
      <c r="AR216" s="24">
        <f>IF(AQ215&gt;0,ROUND(AR215+ROUND(ROUND(AR215*100,0)*ROUND(AO$7*10000,0)/12000000,0)/100+0.02,2),0)</f>
        <v>0</v>
      </c>
      <c r="AS216" s="24">
        <f>IF(AU215&gt;0,IF(AND(ROUND(AU215+AT216-ROUND(AS$6+IF(AS$5=$C216,$E$5+$E216,0),2),2)&gt;0,ROUND(AU215+AT216-ROUND(AS$6+IF(AS$5=$C216,$E$5+$E216,0),2),2)&lt;=AV216,ROUND(AU215+AT216-ROUND(AS$6+IF(AS$5=$C216,$E$5+$E216,0),2),2)*10&lt;=ROUND(AS$6+IF(AS$5=$C216,$E$5+$E216,0),2)),ROUND(AU215+AT216,2),MIN(ROUND(AS$6+IF(AS$5=$C216,$E$5+$E216,0),2),ROUND(AU215+AT216,2))),0)</f>
        <v>0</v>
      </c>
      <c r="AT216" s="24">
        <f>IF(AU215&gt;0,ROUND(ROUND(AU215*100,0)*ROUND(AS$7*10000,0)/12000000,0)/100,0)</f>
        <v>0</v>
      </c>
      <c r="AU216" s="24">
        <f>IF(AU215&gt;0,ROUND(AU215+AT216-AS216,2),0)</f>
        <v>0</v>
      </c>
      <c r="AV216" s="24">
        <f>IF(AU215&gt;0,ROUND(AV215+ROUND(ROUND(AV215*100,0)*ROUND(AS$7*10000,0)/12000000,0)/100+0.02,2),0)</f>
        <v>0</v>
      </c>
    </row>
    <row r="217" spans="1:48" x14ac:dyDescent="0.25">
      <c r="A217" s="17" t="str">
        <f>IF(F217&gt;0,207,"")</f>
        <v/>
      </c>
      <c r="B217" s="18" t="str">
        <f>IF(F217&gt;0,EDATE($E$6,207),"")</f>
        <v/>
      </c>
      <c r="C217" s="21">
        <f>IF(H216&gt;0,MIN(IF(K216&gt;0,I$5,99),IF(O216&gt;0,M$5,99),IF(S216&gt;0,Q$5,99),IF(W216&gt;0,U$5,99),IF(AA216&gt;0,Y$5,99),IF(AE216&gt;0,AC$5,99),IF(AI216&gt;0,AG$5,99),IF(AM216&gt;0,AK$5,99),IF(AQ216&gt;0,AO$5,99),IF(AU216&gt;0,AS$5,99)),0)</f>
        <v>0</v>
      </c>
      <c r="D217" t="str">
        <f>IF(C217&gt;0,INDEX($I$4:$AV$4,1,MATCH(C217,$I$5:$AV$5,0)),"")</f>
        <v/>
      </c>
      <c r="E217" s="24">
        <f>ROUND(IF(AND(I$8&gt;0,K216=0),I$6,0)+IF(AND(M$8&gt;0,O216=0),M$6,0)+IF(AND(Q$8&gt;0,S216=0),Q$6,0)+IF(AND(U$8&gt;0,W216=0),U$6,0)+IF(AND(Y$8&gt;0,AA216=0),Y$6,0)+IF(AND(AC$8&gt;0,AE216=0),AC$6,0)+IF(AND(AG$8&gt;0,AI216=0),AG$6,0)+IF(AND(AK$8&gt;0,AM216=0),AK$6,0)+IF(AND(AO$8&gt;0,AQ216=0),AO$6,0)+IF(AND(AS$8&gt;0,AU216=0),AS$6,0),2)</f>
        <v>325</v>
      </c>
      <c r="F217" s="24">
        <f>ROUND(I217+M217+Q217+U217+Y217+AC217+AG217+AK217+AO217+AS217,2)</f>
        <v>0</v>
      </c>
      <c r="G217" s="24">
        <f>ROUND(J217+N217+R217+V217+Z217+AD217+AH217+AL217+AP217+AT217,2)</f>
        <v>0</v>
      </c>
      <c r="H217" s="24">
        <f>ROUND(K217+O217+S217+W217+AA217+AE217+AI217+AM217+AQ217+AU217,2)</f>
        <v>0</v>
      </c>
      <c r="I217" s="24">
        <f>IF(K216&gt;0,IF(AND(ROUND(K216+J217-ROUND(I$6+IF(I$5=$C217,$E$5+$E217,0),2),2)&gt;0,ROUND(K216+J217-ROUND(I$6+IF(I$5=$C217,$E$5+$E217,0),2),2)&lt;=L217,ROUND(K216+J217-ROUND(I$6+IF(I$5=$C217,$E$5+$E217,0),2),2)*10&lt;=ROUND(I$6+IF(I$5=$C217,$E$5+$E217,0),2)),ROUND(K216+J217,2),MIN(ROUND(I$6+IF(I$5=$C217,$E$5+$E217,0),2),ROUND(K216+J217,2))),0)</f>
        <v>0</v>
      </c>
      <c r="J217" s="24">
        <f>IF(K216&gt;0,ROUND(ROUND(K216*100,0)*ROUND(I$7*10000,0)/12000000,0)/100,0)</f>
        <v>0</v>
      </c>
      <c r="K217" s="24">
        <f>IF(K216&gt;0,ROUND(K216+J217-I217,2),0)</f>
        <v>0</v>
      </c>
      <c r="L217" s="24">
        <f>IF(K216&gt;0,ROUND(L216+ROUND(ROUND(L216*100,0)*ROUND(I$7*10000,0)/12000000,0)/100+0.02,2),0)</f>
        <v>0</v>
      </c>
      <c r="M217" s="24">
        <f>IF(O216&gt;0,IF(AND(ROUND(O216+N217-ROUND(M$6+IF(M$5=$C217,$E$5+$E217,0),2),2)&gt;0,ROUND(O216+N217-ROUND(M$6+IF(M$5=$C217,$E$5+$E217,0),2),2)&lt;=P217,ROUND(O216+N217-ROUND(M$6+IF(M$5=$C217,$E$5+$E217,0),2),2)*10&lt;=ROUND(M$6+IF(M$5=$C217,$E$5+$E217,0),2)),ROUND(O216+N217,2),MIN(ROUND(M$6+IF(M$5=$C217,$E$5+$E217,0),2),ROUND(O216+N217,2))),0)</f>
        <v>0</v>
      </c>
      <c r="N217" s="24">
        <f>IF(O216&gt;0,ROUND(ROUND(O216*100,0)*ROUND(M$7*10000,0)/12000000,0)/100,0)</f>
        <v>0</v>
      </c>
      <c r="O217" s="24">
        <f>IF(O216&gt;0,ROUND(O216+N217-M217,2),0)</f>
        <v>0</v>
      </c>
      <c r="P217" s="24">
        <f>IF(O216&gt;0,ROUND(P216+ROUND(ROUND(P216*100,0)*ROUND(M$7*10000,0)/12000000,0)/100+0.02,2),0)</f>
        <v>0</v>
      </c>
      <c r="Q217" s="24">
        <f>IF(S216&gt;0,IF(AND(ROUND(S216+R217-ROUND(Q$6+IF(Q$5=$C217,$E$5+$E217,0),2),2)&gt;0,ROUND(S216+R217-ROUND(Q$6+IF(Q$5=$C217,$E$5+$E217,0),2),2)&lt;=T217,ROUND(S216+R217-ROUND(Q$6+IF(Q$5=$C217,$E$5+$E217,0),2),2)*10&lt;=ROUND(Q$6+IF(Q$5=$C217,$E$5+$E217,0),2)),ROUND(S216+R217,2),MIN(ROUND(Q$6+IF(Q$5=$C217,$E$5+$E217,0),2),ROUND(S216+R217,2))),0)</f>
        <v>0</v>
      </c>
      <c r="R217" s="24">
        <f>IF(S216&gt;0,ROUND(ROUND(S216*100,0)*ROUND(Q$7*10000,0)/12000000,0)/100,0)</f>
        <v>0</v>
      </c>
      <c r="S217" s="24">
        <f>IF(S216&gt;0,ROUND(S216+R217-Q217,2),0)</f>
        <v>0</v>
      </c>
      <c r="T217" s="24">
        <f>IF(S216&gt;0,ROUND(T216+ROUND(ROUND(T216*100,0)*ROUND(Q$7*10000,0)/12000000,0)/100+0.02,2),0)</f>
        <v>0</v>
      </c>
      <c r="U217" s="24">
        <f>IF(W216&gt;0,IF(AND(ROUND(W216+V217-ROUND(U$6+IF(U$5=$C217,$E$5+$E217,0),2),2)&gt;0,ROUND(W216+V217-ROUND(U$6+IF(U$5=$C217,$E$5+$E217,0),2),2)&lt;=X217,ROUND(W216+V217-ROUND(U$6+IF(U$5=$C217,$E$5+$E217,0),2),2)*10&lt;=ROUND(U$6+IF(U$5=$C217,$E$5+$E217,0),2)),ROUND(W216+V217,2),MIN(ROUND(U$6+IF(U$5=$C217,$E$5+$E217,0),2),ROUND(W216+V217,2))),0)</f>
        <v>0</v>
      </c>
      <c r="V217" s="24">
        <f>IF(W216&gt;0,ROUND(ROUND(W216*100,0)*ROUND(U$7*10000,0)/12000000,0)/100,0)</f>
        <v>0</v>
      </c>
      <c r="W217" s="24">
        <f>IF(W216&gt;0,ROUND(W216+V217-U217,2),0)</f>
        <v>0</v>
      </c>
      <c r="X217" s="24">
        <f>IF(W216&gt;0,ROUND(X216+ROUND(ROUND(X216*100,0)*ROUND(U$7*10000,0)/12000000,0)/100+0.02,2),0)</f>
        <v>0</v>
      </c>
      <c r="Y217" s="24">
        <f>IF(AA216&gt;0,IF(AND(ROUND(AA216+Z217-ROUND(Y$6+IF(Y$5=$C217,$E$5+$E217,0),2),2)&gt;0,ROUND(AA216+Z217-ROUND(Y$6+IF(Y$5=$C217,$E$5+$E217,0),2),2)&lt;=AB217,ROUND(AA216+Z217-ROUND(Y$6+IF(Y$5=$C217,$E$5+$E217,0),2),2)*10&lt;=ROUND(Y$6+IF(Y$5=$C217,$E$5+$E217,0),2)),ROUND(AA216+Z217,2),MIN(ROUND(Y$6+IF(Y$5=$C217,$E$5+$E217,0),2),ROUND(AA216+Z217,2))),0)</f>
        <v>0</v>
      </c>
      <c r="Z217" s="24">
        <f>IF(AA216&gt;0,ROUND(ROUND(AA216*100,0)*ROUND(Y$7*10000,0)/12000000,0)/100,0)</f>
        <v>0</v>
      </c>
      <c r="AA217" s="24">
        <f>IF(AA216&gt;0,ROUND(AA216+Z217-Y217,2),0)</f>
        <v>0</v>
      </c>
      <c r="AB217" s="24">
        <f>IF(AA216&gt;0,ROUND(AB216+ROUND(ROUND(AB216*100,0)*ROUND(Y$7*10000,0)/12000000,0)/100+0.02,2),0)</f>
        <v>0</v>
      </c>
      <c r="AC217" s="24">
        <f>IF(AE216&gt;0,IF(AND(ROUND(AE216+AD217-ROUND(AC$6+IF(AC$5=$C217,$E$5+$E217,0),2),2)&gt;0,ROUND(AE216+AD217-ROUND(AC$6+IF(AC$5=$C217,$E$5+$E217,0),2),2)&lt;=AF217,ROUND(AE216+AD217-ROUND(AC$6+IF(AC$5=$C217,$E$5+$E217,0),2),2)*10&lt;=ROUND(AC$6+IF(AC$5=$C217,$E$5+$E217,0),2)),ROUND(AE216+AD217,2),MIN(ROUND(AC$6+IF(AC$5=$C217,$E$5+$E217,0),2),ROUND(AE216+AD217,2))),0)</f>
        <v>0</v>
      </c>
      <c r="AD217" s="24">
        <f>IF(AE216&gt;0,ROUND(ROUND(AE216*100,0)*ROUND(AC$7*10000,0)/12000000,0)/100,0)</f>
        <v>0</v>
      </c>
      <c r="AE217" s="24">
        <f>IF(AE216&gt;0,ROUND(AE216+AD217-AC217,2),0)</f>
        <v>0</v>
      </c>
      <c r="AF217" s="24">
        <f>IF(AE216&gt;0,ROUND(AF216+ROUND(ROUND(AF216*100,0)*ROUND(AC$7*10000,0)/12000000,0)/100+0.02,2),0)</f>
        <v>0</v>
      </c>
      <c r="AG217" s="24">
        <f>IF(AI216&gt;0,IF(AND(ROUND(AI216+AH217-ROUND(AG$6+IF(AG$5=$C217,$E$5+$E217,0),2),2)&gt;0,ROUND(AI216+AH217-ROUND(AG$6+IF(AG$5=$C217,$E$5+$E217,0),2),2)&lt;=AJ217,ROUND(AI216+AH217-ROUND(AG$6+IF(AG$5=$C217,$E$5+$E217,0),2),2)*10&lt;=ROUND(AG$6+IF(AG$5=$C217,$E$5+$E217,0),2)),ROUND(AI216+AH217,2),MIN(ROUND(AG$6+IF(AG$5=$C217,$E$5+$E217,0),2),ROUND(AI216+AH217,2))),0)</f>
        <v>0</v>
      </c>
      <c r="AH217" s="24">
        <f>IF(AI216&gt;0,ROUND(ROUND(AI216*100,0)*ROUND(AG$7*10000,0)/12000000,0)/100,0)</f>
        <v>0</v>
      </c>
      <c r="AI217" s="24">
        <f>IF(AI216&gt;0,ROUND(AI216+AH217-AG217,2),0)</f>
        <v>0</v>
      </c>
      <c r="AJ217" s="24">
        <f>IF(AI216&gt;0,ROUND(AJ216+ROUND(ROUND(AJ216*100,0)*ROUND(AG$7*10000,0)/12000000,0)/100+0.02,2),0)</f>
        <v>0</v>
      </c>
      <c r="AK217" s="24">
        <f>IF(AM216&gt;0,IF(AND(ROUND(AM216+AL217-ROUND(AK$6+IF(AK$5=$C217,$E$5+$E217,0),2),2)&gt;0,ROUND(AM216+AL217-ROUND(AK$6+IF(AK$5=$C217,$E$5+$E217,0),2),2)&lt;=AN217,ROUND(AM216+AL217-ROUND(AK$6+IF(AK$5=$C217,$E$5+$E217,0),2),2)*10&lt;=ROUND(AK$6+IF(AK$5=$C217,$E$5+$E217,0),2)),ROUND(AM216+AL217,2),MIN(ROUND(AK$6+IF(AK$5=$C217,$E$5+$E217,0),2),ROUND(AM216+AL217,2))),0)</f>
        <v>0</v>
      </c>
      <c r="AL217" s="24">
        <f>IF(AM216&gt;0,ROUND(ROUND(AM216*100,0)*ROUND(AK$7*10000,0)/12000000,0)/100,0)</f>
        <v>0</v>
      </c>
      <c r="AM217" s="24">
        <f>IF(AM216&gt;0,ROUND(AM216+AL217-AK217,2),0)</f>
        <v>0</v>
      </c>
      <c r="AN217" s="24">
        <f>IF(AM216&gt;0,ROUND(AN216+ROUND(ROUND(AN216*100,0)*ROUND(AK$7*10000,0)/12000000,0)/100+0.02,2),0)</f>
        <v>0</v>
      </c>
      <c r="AO217" s="24">
        <f>IF(AQ216&gt;0,IF(AND(ROUND(AQ216+AP217-ROUND(AO$6+IF(AO$5=$C217,$E$5+$E217,0),2),2)&gt;0,ROUND(AQ216+AP217-ROUND(AO$6+IF(AO$5=$C217,$E$5+$E217,0),2),2)&lt;=AR217,ROUND(AQ216+AP217-ROUND(AO$6+IF(AO$5=$C217,$E$5+$E217,0),2),2)*10&lt;=ROUND(AO$6+IF(AO$5=$C217,$E$5+$E217,0),2)),ROUND(AQ216+AP217,2),MIN(ROUND(AO$6+IF(AO$5=$C217,$E$5+$E217,0),2),ROUND(AQ216+AP217,2))),0)</f>
        <v>0</v>
      </c>
      <c r="AP217" s="24">
        <f>IF(AQ216&gt;0,ROUND(ROUND(AQ216*100,0)*ROUND(AO$7*10000,0)/12000000,0)/100,0)</f>
        <v>0</v>
      </c>
      <c r="AQ217" s="24">
        <f>IF(AQ216&gt;0,ROUND(AQ216+AP217-AO217,2),0)</f>
        <v>0</v>
      </c>
      <c r="AR217" s="24">
        <f>IF(AQ216&gt;0,ROUND(AR216+ROUND(ROUND(AR216*100,0)*ROUND(AO$7*10000,0)/12000000,0)/100+0.02,2),0)</f>
        <v>0</v>
      </c>
      <c r="AS217" s="24">
        <f>IF(AU216&gt;0,IF(AND(ROUND(AU216+AT217-ROUND(AS$6+IF(AS$5=$C217,$E$5+$E217,0),2),2)&gt;0,ROUND(AU216+AT217-ROUND(AS$6+IF(AS$5=$C217,$E$5+$E217,0),2),2)&lt;=AV217,ROUND(AU216+AT217-ROUND(AS$6+IF(AS$5=$C217,$E$5+$E217,0),2),2)*10&lt;=ROUND(AS$6+IF(AS$5=$C217,$E$5+$E217,0),2)),ROUND(AU216+AT217,2),MIN(ROUND(AS$6+IF(AS$5=$C217,$E$5+$E217,0),2),ROUND(AU216+AT217,2))),0)</f>
        <v>0</v>
      </c>
      <c r="AT217" s="24">
        <f>IF(AU216&gt;0,ROUND(ROUND(AU216*100,0)*ROUND(AS$7*10000,0)/12000000,0)/100,0)</f>
        <v>0</v>
      </c>
      <c r="AU217" s="24">
        <f>IF(AU216&gt;0,ROUND(AU216+AT217-AS217,2),0)</f>
        <v>0</v>
      </c>
      <c r="AV217" s="24">
        <f>IF(AU216&gt;0,ROUND(AV216+ROUND(ROUND(AV216*100,0)*ROUND(AS$7*10000,0)/12000000,0)/100+0.02,2),0)</f>
        <v>0</v>
      </c>
    </row>
    <row r="218" spans="1:48" x14ac:dyDescent="0.25">
      <c r="A218" s="17" t="str">
        <f>IF(F218&gt;0,208,"")</f>
        <v/>
      </c>
      <c r="B218" s="18" t="str">
        <f>IF(F218&gt;0,EDATE($E$6,208),"")</f>
        <v/>
      </c>
      <c r="C218" s="21">
        <f>IF(H217&gt;0,MIN(IF(K217&gt;0,I$5,99),IF(O217&gt;0,M$5,99),IF(S217&gt;0,Q$5,99),IF(W217&gt;0,U$5,99),IF(AA217&gt;0,Y$5,99),IF(AE217&gt;0,AC$5,99),IF(AI217&gt;0,AG$5,99),IF(AM217&gt;0,AK$5,99),IF(AQ217&gt;0,AO$5,99),IF(AU217&gt;0,AS$5,99)),0)</f>
        <v>0</v>
      </c>
      <c r="D218" t="str">
        <f>IF(C218&gt;0,INDEX($I$4:$AV$4,1,MATCH(C218,$I$5:$AV$5,0)),"")</f>
        <v/>
      </c>
      <c r="E218" s="24">
        <f>ROUND(IF(AND(I$8&gt;0,K217=0),I$6,0)+IF(AND(M$8&gt;0,O217=0),M$6,0)+IF(AND(Q$8&gt;0,S217=0),Q$6,0)+IF(AND(U$8&gt;0,W217=0),U$6,0)+IF(AND(Y$8&gt;0,AA217=0),Y$6,0)+IF(AND(AC$8&gt;0,AE217=0),AC$6,0)+IF(AND(AG$8&gt;0,AI217=0),AG$6,0)+IF(AND(AK$8&gt;0,AM217=0),AK$6,0)+IF(AND(AO$8&gt;0,AQ217=0),AO$6,0)+IF(AND(AS$8&gt;0,AU217=0),AS$6,0),2)</f>
        <v>325</v>
      </c>
      <c r="F218" s="24">
        <f>ROUND(I218+M218+Q218+U218+Y218+AC218+AG218+AK218+AO218+AS218,2)</f>
        <v>0</v>
      </c>
      <c r="G218" s="24">
        <f>ROUND(J218+N218+R218+V218+Z218+AD218+AH218+AL218+AP218+AT218,2)</f>
        <v>0</v>
      </c>
      <c r="H218" s="24">
        <f>ROUND(K218+O218+S218+W218+AA218+AE218+AI218+AM218+AQ218+AU218,2)</f>
        <v>0</v>
      </c>
      <c r="I218" s="24">
        <f>IF(K217&gt;0,IF(AND(ROUND(K217+J218-ROUND(I$6+IF(I$5=$C218,$E$5+$E218,0),2),2)&gt;0,ROUND(K217+J218-ROUND(I$6+IF(I$5=$C218,$E$5+$E218,0),2),2)&lt;=L218,ROUND(K217+J218-ROUND(I$6+IF(I$5=$C218,$E$5+$E218,0),2),2)*10&lt;=ROUND(I$6+IF(I$5=$C218,$E$5+$E218,0),2)),ROUND(K217+J218,2),MIN(ROUND(I$6+IF(I$5=$C218,$E$5+$E218,0),2),ROUND(K217+J218,2))),0)</f>
        <v>0</v>
      </c>
      <c r="J218" s="24">
        <f>IF(K217&gt;0,ROUND(ROUND(K217*100,0)*ROUND(I$7*10000,0)/12000000,0)/100,0)</f>
        <v>0</v>
      </c>
      <c r="K218" s="24">
        <f>IF(K217&gt;0,ROUND(K217+J218-I218,2),0)</f>
        <v>0</v>
      </c>
      <c r="L218" s="24">
        <f>IF(K217&gt;0,ROUND(L217+ROUND(ROUND(L217*100,0)*ROUND(I$7*10000,0)/12000000,0)/100+0.02,2),0)</f>
        <v>0</v>
      </c>
      <c r="M218" s="24">
        <f>IF(O217&gt;0,IF(AND(ROUND(O217+N218-ROUND(M$6+IF(M$5=$C218,$E$5+$E218,0),2),2)&gt;0,ROUND(O217+N218-ROUND(M$6+IF(M$5=$C218,$E$5+$E218,0),2),2)&lt;=P218,ROUND(O217+N218-ROUND(M$6+IF(M$5=$C218,$E$5+$E218,0),2),2)*10&lt;=ROUND(M$6+IF(M$5=$C218,$E$5+$E218,0),2)),ROUND(O217+N218,2),MIN(ROUND(M$6+IF(M$5=$C218,$E$5+$E218,0),2),ROUND(O217+N218,2))),0)</f>
        <v>0</v>
      </c>
      <c r="N218" s="24">
        <f>IF(O217&gt;0,ROUND(ROUND(O217*100,0)*ROUND(M$7*10000,0)/12000000,0)/100,0)</f>
        <v>0</v>
      </c>
      <c r="O218" s="24">
        <f>IF(O217&gt;0,ROUND(O217+N218-M218,2),0)</f>
        <v>0</v>
      </c>
      <c r="P218" s="24">
        <f>IF(O217&gt;0,ROUND(P217+ROUND(ROUND(P217*100,0)*ROUND(M$7*10000,0)/12000000,0)/100+0.02,2),0)</f>
        <v>0</v>
      </c>
      <c r="Q218" s="24">
        <f>IF(S217&gt;0,IF(AND(ROUND(S217+R218-ROUND(Q$6+IF(Q$5=$C218,$E$5+$E218,0),2),2)&gt;0,ROUND(S217+R218-ROUND(Q$6+IF(Q$5=$C218,$E$5+$E218,0),2),2)&lt;=T218,ROUND(S217+R218-ROUND(Q$6+IF(Q$5=$C218,$E$5+$E218,0),2),2)*10&lt;=ROUND(Q$6+IF(Q$5=$C218,$E$5+$E218,0),2)),ROUND(S217+R218,2),MIN(ROUND(Q$6+IF(Q$5=$C218,$E$5+$E218,0),2),ROUND(S217+R218,2))),0)</f>
        <v>0</v>
      </c>
      <c r="R218" s="24">
        <f>IF(S217&gt;0,ROUND(ROUND(S217*100,0)*ROUND(Q$7*10000,0)/12000000,0)/100,0)</f>
        <v>0</v>
      </c>
      <c r="S218" s="24">
        <f>IF(S217&gt;0,ROUND(S217+R218-Q218,2),0)</f>
        <v>0</v>
      </c>
      <c r="T218" s="24">
        <f>IF(S217&gt;0,ROUND(T217+ROUND(ROUND(T217*100,0)*ROUND(Q$7*10000,0)/12000000,0)/100+0.02,2),0)</f>
        <v>0</v>
      </c>
      <c r="U218" s="24">
        <f>IF(W217&gt;0,IF(AND(ROUND(W217+V218-ROUND(U$6+IF(U$5=$C218,$E$5+$E218,0),2),2)&gt;0,ROUND(W217+V218-ROUND(U$6+IF(U$5=$C218,$E$5+$E218,0),2),2)&lt;=X218,ROUND(W217+V218-ROUND(U$6+IF(U$5=$C218,$E$5+$E218,0),2),2)*10&lt;=ROUND(U$6+IF(U$5=$C218,$E$5+$E218,0),2)),ROUND(W217+V218,2),MIN(ROUND(U$6+IF(U$5=$C218,$E$5+$E218,0),2),ROUND(W217+V218,2))),0)</f>
        <v>0</v>
      </c>
      <c r="V218" s="24">
        <f>IF(W217&gt;0,ROUND(ROUND(W217*100,0)*ROUND(U$7*10000,0)/12000000,0)/100,0)</f>
        <v>0</v>
      </c>
      <c r="W218" s="24">
        <f>IF(W217&gt;0,ROUND(W217+V218-U218,2),0)</f>
        <v>0</v>
      </c>
      <c r="X218" s="24">
        <f>IF(W217&gt;0,ROUND(X217+ROUND(ROUND(X217*100,0)*ROUND(U$7*10000,0)/12000000,0)/100+0.02,2),0)</f>
        <v>0</v>
      </c>
      <c r="Y218" s="24">
        <f>IF(AA217&gt;0,IF(AND(ROUND(AA217+Z218-ROUND(Y$6+IF(Y$5=$C218,$E$5+$E218,0),2),2)&gt;0,ROUND(AA217+Z218-ROUND(Y$6+IF(Y$5=$C218,$E$5+$E218,0),2),2)&lt;=AB218,ROUND(AA217+Z218-ROUND(Y$6+IF(Y$5=$C218,$E$5+$E218,0),2),2)*10&lt;=ROUND(Y$6+IF(Y$5=$C218,$E$5+$E218,0),2)),ROUND(AA217+Z218,2),MIN(ROUND(Y$6+IF(Y$5=$C218,$E$5+$E218,0),2),ROUND(AA217+Z218,2))),0)</f>
        <v>0</v>
      </c>
      <c r="Z218" s="24">
        <f>IF(AA217&gt;0,ROUND(ROUND(AA217*100,0)*ROUND(Y$7*10000,0)/12000000,0)/100,0)</f>
        <v>0</v>
      </c>
      <c r="AA218" s="24">
        <f>IF(AA217&gt;0,ROUND(AA217+Z218-Y218,2),0)</f>
        <v>0</v>
      </c>
      <c r="AB218" s="24">
        <f>IF(AA217&gt;0,ROUND(AB217+ROUND(ROUND(AB217*100,0)*ROUND(Y$7*10000,0)/12000000,0)/100+0.02,2),0)</f>
        <v>0</v>
      </c>
      <c r="AC218" s="24">
        <f>IF(AE217&gt;0,IF(AND(ROUND(AE217+AD218-ROUND(AC$6+IF(AC$5=$C218,$E$5+$E218,0),2),2)&gt;0,ROUND(AE217+AD218-ROUND(AC$6+IF(AC$5=$C218,$E$5+$E218,0),2),2)&lt;=AF218,ROUND(AE217+AD218-ROUND(AC$6+IF(AC$5=$C218,$E$5+$E218,0),2),2)*10&lt;=ROUND(AC$6+IF(AC$5=$C218,$E$5+$E218,0),2)),ROUND(AE217+AD218,2),MIN(ROUND(AC$6+IF(AC$5=$C218,$E$5+$E218,0),2),ROUND(AE217+AD218,2))),0)</f>
        <v>0</v>
      </c>
      <c r="AD218" s="24">
        <f>IF(AE217&gt;0,ROUND(ROUND(AE217*100,0)*ROUND(AC$7*10000,0)/12000000,0)/100,0)</f>
        <v>0</v>
      </c>
      <c r="AE218" s="24">
        <f>IF(AE217&gt;0,ROUND(AE217+AD218-AC218,2),0)</f>
        <v>0</v>
      </c>
      <c r="AF218" s="24">
        <f>IF(AE217&gt;0,ROUND(AF217+ROUND(ROUND(AF217*100,0)*ROUND(AC$7*10000,0)/12000000,0)/100+0.02,2),0)</f>
        <v>0</v>
      </c>
      <c r="AG218" s="24">
        <f>IF(AI217&gt;0,IF(AND(ROUND(AI217+AH218-ROUND(AG$6+IF(AG$5=$C218,$E$5+$E218,0),2),2)&gt;0,ROUND(AI217+AH218-ROUND(AG$6+IF(AG$5=$C218,$E$5+$E218,0),2),2)&lt;=AJ218,ROUND(AI217+AH218-ROUND(AG$6+IF(AG$5=$C218,$E$5+$E218,0),2),2)*10&lt;=ROUND(AG$6+IF(AG$5=$C218,$E$5+$E218,0),2)),ROUND(AI217+AH218,2),MIN(ROUND(AG$6+IF(AG$5=$C218,$E$5+$E218,0),2),ROUND(AI217+AH218,2))),0)</f>
        <v>0</v>
      </c>
      <c r="AH218" s="24">
        <f>IF(AI217&gt;0,ROUND(ROUND(AI217*100,0)*ROUND(AG$7*10000,0)/12000000,0)/100,0)</f>
        <v>0</v>
      </c>
      <c r="AI218" s="24">
        <f>IF(AI217&gt;0,ROUND(AI217+AH218-AG218,2),0)</f>
        <v>0</v>
      </c>
      <c r="AJ218" s="24">
        <f>IF(AI217&gt;0,ROUND(AJ217+ROUND(ROUND(AJ217*100,0)*ROUND(AG$7*10000,0)/12000000,0)/100+0.02,2),0)</f>
        <v>0</v>
      </c>
      <c r="AK218" s="24">
        <f>IF(AM217&gt;0,IF(AND(ROUND(AM217+AL218-ROUND(AK$6+IF(AK$5=$C218,$E$5+$E218,0),2),2)&gt;0,ROUND(AM217+AL218-ROUND(AK$6+IF(AK$5=$C218,$E$5+$E218,0),2),2)&lt;=AN218,ROUND(AM217+AL218-ROUND(AK$6+IF(AK$5=$C218,$E$5+$E218,0),2),2)*10&lt;=ROUND(AK$6+IF(AK$5=$C218,$E$5+$E218,0),2)),ROUND(AM217+AL218,2),MIN(ROUND(AK$6+IF(AK$5=$C218,$E$5+$E218,0),2),ROUND(AM217+AL218,2))),0)</f>
        <v>0</v>
      </c>
      <c r="AL218" s="24">
        <f>IF(AM217&gt;0,ROUND(ROUND(AM217*100,0)*ROUND(AK$7*10000,0)/12000000,0)/100,0)</f>
        <v>0</v>
      </c>
      <c r="AM218" s="24">
        <f>IF(AM217&gt;0,ROUND(AM217+AL218-AK218,2),0)</f>
        <v>0</v>
      </c>
      <c r="AN218" s="24">
        <f>IF(AM217&gt;0,ROUND(AN217+ROUND(ROUND(AN217*100,0)*ROUND(AK$7*10000,0)/12000000,0)/100+0.02,2),0)</f>
        <v>0</v>
      </c>
      <c r="AO218" s="24">
        <f>IF(AQ217&gt;0,IF(AND(ROUND(AQ217+AP218-ROUND(AO$6+IF(AO$5=$C218,$E$5+$E218,0),2),2)&gt;0,ROUND(AQ217+AP218-ROUND(AO$6+IF(AO$5=$C218,$E$5+$E218,0),2),2)&lt;=AR218,ROUND(AQ217+AP218-ROUND(AO$6+IF(AO$5=$C218,$E$5+$E218,0),2),2)*10&lt;=ROUND(AO$6+IF(AO$5=$C218,$E$5+$E218,0),2)),ROUND(AQ217+AP218,2),MIN(ROUND(AO$6+IF(AO$5=$C218,$E$5+$E218,0),2),ROUND(AQ217+AP218,2))),0)</f>
        <v>0</v>
      </c>
      <c r="AP218" s="24">
        <f>IF(AQ217&gt;0,ROUND(ROUND(AQ217*100,0)*ROUND(AO$7*10000,0)/12000000,0)/100,0)</f>
        <v>0</v>
      </c>
      <c r="AQ218" s="24">
        <f>IF(AQ217&gt;0,ROUND(AQ217+AP218-AO218,2),0)</f>
        <v>0</v>
      </c>
      <c r="AR218" s="24">
        <f>IF(AQ217&gt;0,ROUND(AR217+ROUND(ROUND(AR217*100,0)*ROUND(AO$7*10000,0)/12000000,0)/100+0.02,2),0)</f>
        <v>0</v>
      </c>
      <c r="AS218" s="24">
        <f>IF(AU217&gt;0,IF(AND(ROUND(AU217+AT218-ROUND(AS$6+IF(AS$5=$C218,$E$5+$E218,0),2),2)&gt;0,ROUND(AU217+AT218-ROUND(AS$6+IF(AS$5=$C218,$E$5+$E218,0),2),2)&lt;=AV218,ROUND(AU217+AT218-ROUND(AS$6+IF(AS$5=$C218,$E$5+$E218,0),2),2)*10&lt;=ROUND(AS$6+IF(AS$5=$C218,$E$5+$E218,0),2)),ROUND(AU217+AT218,2),MIN(ROUND(AS$6+IF(AS$5=$C218,$E$5+$E218,0),2),ROUND(AU217+AT218,2))),0)</f>
        <v>0</v>
      </c>
      <c r="AT218" s="24">
        <f>IF(AU217&gt;0,ROUND(ROUND(AU217*100,0)*ROUND(AS$7*10000,0)/12000000,0)/100,0)</f>
        <v>0</v>
      </c>
      <c r="AU218" s="24">
        <f>IF(AU217&gt;0,ROUND(AU217+AT218-AS218,2),0)</f>
        <v>0</v>
      </c>
      <c r="AV218" s="24">
        <f>IF(AU217&gt;0,ROUND(AV217+ROUND(ROUND(AV217*100,0)*ROUND(AS$7*10000,0)/12000000,0)/100+0.02,2),0)</f>
        <v>0</v>
      </c>
    </row>
    <row r="219" spans="1:48" x14ac:dyDescent="0.25">
      <c r="A219" s="17" t="str">
        <f>IF(F219&gt;0,209,"")</f>
        <v/>
      </c>
      <c r="B219" s="18" t="str">
        <f>IF(F219&gt;0,EDATE($E$6,209),"")</f>
        <v/>
      </c>
      <c r="C219" s="21">
        <f>IF(H218&gt;0,MIN(IF(K218&gt;0,I$5,99),IF(O218&gt;0,M$5,99),IF(S218&gt;0,Q$5,99),IF(W218&gt;0,U$5,99),IF(AA218&gt;0,Y$5,99),IF(AE218&gt;0,AC$5,99),IF(AI218&gt;0,AG$5,99),IF(AM218&gt;0,AK$5,99),IF(AQ218&gt;0,AO$5,99),IF(AU218&gt;0,AS$5,99)),0)</f>
        <v>0</v>
      </c>
      <c r="D219" t="str">
        <f>IF(C219&gt;0,INDEX($I$4:$AV$4,1,MATCH(C219,$I$5:$AV$5,0)),"")</f>
        <v/>
      </c>
      <c r="E219" s="24">
        <f>ROUND(IF(AND(I$8&gt;0,K218=0),I$6,0)+IF(AND(M$8&gt;0,O218=0),M$6,0)+IF(AND(Q$8&gt;0,S218=0),Q$6,0)+IF(AND(U$8&gt;0,W218=0),U$6,0)+IF(AND(Y$8&gt;0,AA218=0),Y$6,0)+IF(AND(AC$8&gt;0,AE218=0),AC$6,0)+IF(AND(AG$8&gt;0,AI218=0),AG$6,0)+IF(AND(AK$8&gt;0,AM218=0),AK$6,0)+IF(AND(AO$8&gt;0,AQ218=0),AO$6,0)+IF(AND(AS$8&gt;0,AU218=0),AS$6,0),2)</f>
        <v>325</v>
      </c>
      <c r="F219" s="24">
        <f>ROUND(I219+M219+Q219+U219+Y219+AC219+AG219+AK219+AO219+AS219,2)</f>
        <v>0</v>
      </c>
      <c r="G219" s="24">
        <f>ROUND(J219+N219+R219+V219+Z219+AD219+AH219+AL219+AP219+AT219,2)</f>
        <v>0</v>
      </c>
      <c r="H219" s="24">
        <f>ROUND(K219+O219+S219+W219+AA219+AE219+AI219+AM219+AQ219+AU219,2)</f>
        <v>0</v>
      </c>
      <c r="I219" s="24">
        <f>IF(K218&gt;0,IF(AND(ROUND(K218+J219-ROUND(I$6+IF(I$5=$C219,$E$5+$E219,0),2),2)&gt;0,ROUND(K218+J219-ROUND(I$6+IF(I$5=$C219,$E$5+$E219,0),2),2)&lt;=L219,ROUND(K218+J219-ROUND(I$6+IF(I$5=$C219,$E$5+$E219,0),2),2)*10&lt;=ROUND(I$6+IF(I$5=$C219,$E$5+$E219,0),2)),ROUND(K218+J219,2),MIN(ROUND(I$6+IF(I$5=$C219,$E$5+$E219,0),2),ROUND(K218+J219,2))),0)</f>
        <v>0</v>
      </c>
      <c r="J219" s="24">
        <f>IF(K218&gt;0,ROUND(ROUND(K218*100,0)*ROUND(I$7*10000,0)/12000000,0)/100,0)</f>
        <v>0</v>
      </c>
      <c r="K219" s="24">
        <f>IF(K218&gt;0,ROUND(K218+J219-I219,2),0)</f>
        <v>0</v>
      </c>
      <c r="L219" s="24">
        <f>IF(K218&gt;0,ROUND(L218+ROUND(ROUND(L218*100,0)*ROUND(I$7*10000,0)/12000000,0)/100+0.02,2),0)</f>
        <v>0</v>
      </c>
      <c r="M219" s="24">
        <f>IF(O218&gt;0,IF(AND(ROUND(O218+N219-ROUND(M$6+IF(M$5=$C219,$E$5+$E219,0),2),2)&gt;0,ROUND(O218+N219-ROUND(M$6+IF(M$5=$C219,$E$5+$E219,0),2),2)&lt;=P219,ROUND(O218+N219-ROUND(M$6+IF(M$5=$C219,$E$5+$E219,0),2),2)*10&lt;=ROUND(M$6+IF(M$5=$C219,$E$5+$E219,0),2)),ROUND(O218+N219,2),MIN(ROUND(M$6+IF(M$5=$C219,$E$5+$E219,0),2),ROUND(O218+N219,2))),0)</f>
        <v>0</v>
      </c>
      <c r="N219" s="24">
        <f>IF(O218&gt;0,ROUND(ROUND(O218*100,0)*ROUND(M$7*10000,0)/12000000,0)/100,0)</f>
        <v>0</v>
      </c>
      <c r="O219" s="24">
        <f>IF(O218&gt;0,ROUND(O218+N219-M219,2),0)</f>
        <v>0</v>
      </c>
      <c r="P219" s="24">
        <f>IF(O218&gt;0,ROUND(P218+ROUND(ROUND(P218*100,0)*ROUND(M$7*10000,0)/12000000,0)/100+0.02,2),0)</f>
        <v>0</v>
      </c>
      <c r="Q219" s="24">
        <f>IF(S218&gt;0,IF(AND(ROUND(S218+R219-ROUND(Q$6+IF(Q$5=$C219,$E$5+$E219,0),2),2)&gt;0,ROUND(S218+R219-ROUND(Q$6+IF(Q$5=$C219,$E$5+$E219,0),2),2)&lt;=T219,ROUND(S218+R219-ROUND(Q$6+IF(Q$5=$C219,$E$5+$E219,0),2),2)*10&lt;=ROUND(Q$6+IF(Q$5=$C219,$E$5+$E219,0),2)),ROUND(S218+R219,2),MIN(ROUND(Q$6+IF(Q$5=$C219,$E$5+$E219,0),2),ROUND(S218+R219,2))),0)</f>
        <v>0</v>
      </c>
      <c r="R219" s="24">
        <f>IF(S218&gt;0,ROUND(ROUND(S218*100,0)*ROUND(Q$7*10000,0)/12000000,0)/100,0)</f>
        <v>0</v>
      </c>
      <c r="S219" s="24">
        <f>IF(S218&gt;0,ROUND(S218+R219-Q219,2),0)</f>
        <v>0</v>
      </c>
      <c r="T219" s="24">
        <f>IF(S218&gt;0,ROUND(T218+ROUND(ROUND(T218*100,0)*ROUND(Q$7*10000,0)/12000000,0)/100+0.02,2),0)</f>
        <v>0</v>
      </c>
      <c r="U219" s="24">
        <f>IF(W218&gt;0,IF(AND(ROUND(W218+V219-ROUND(U$6+IF(U$5=$C219,$E$5+$E219,0),2),2)&gt;0,ROUND(W218+V219-ROUND(U$6+IF(U$5=$C219,$E$5+$E219,0),2),2)&lt;=X219,ROUND(W218+V219-ROUND(U$6+IF(U$5=$C219,$E$5+$E219,0),2),2)*10&lt;=ROUND(U$6+IF(U$5=$C219,$E$5+$E219,0),2)),ROUND(W218+V219,2),MIN(ROUND(U$6+IF(U$5=$C219,$E$5+$E219,0),2),ROUND(W218+V219,2))),0)</f>
        <v>0</v>
      </c>
      <c r="V219" s="24">
        <f>IF(W218&gt;0,ROUND(ROUND(W218*100,0)*ROUND(U$7*10000,0)/12000000,0)/100,0)</f>
        <v>0</v>
      </c>
      <c r="W219" s="24">
        <f>IF(W218&gt;0,ROUND(W218+V219-U219,2),0)</f>
        <v>0</v>
      </c>
      <c r="X219" s="24">
        <f>IF(W218&gt;0,ROUND(X218+ROUND(ROUND(X218*100,0)*ROUND(U$7*10000,0)/12000000,0)/100+0.02,2),0)</f>
        <v>0</v>
      </c>
      <c r="Y219" s="24">
        <f>IF(AA218&gt;0,IF(AND(ROUND(AA218+Z219-ROUND(Y$6+IF(Y$5=$C219,$E$5+$E219,0),2),2)&gt;0,ROUND(AA218+Z219-ROUND(Y$6+IF(Y$5=$C219,$E$5+$E219,0),2),2)&lt;=AB219,ROUND(AA218+Z219-ROUND(Y$6+IF(Y$5=$C219,$E$5+$E219,0),2),2)*10&lt;=ROUND(Y$6+IF(Y$5=$C219,$E$5+$E219,0),2)),ROUND(AA218+Z219,2),MIN(ROUND(Y$6+IF(Y$5=$C219,$E$5+$E219,0),2),ROUND(AA218+Z219,2))),0)</f>
        <v>0</v>
      </c>
      <c r="Z219" s="24">
        <f>IF(AA218&gt;0,ROUND(ROUND(AA218*100,0)*ROUND(Y$7*10000,0)/12000000,0)/100,0)</f>
        <v>0</v>
      </c>
      <c r="AA219" s="24">
        <f>IF(AA218&gt;0,ROUND(AA218+Z219-Y219,2),0)</f>
        <v>0</v>
      </c>
      <c r="AB219" s="24">
        <f>IF(AA218&gt;0,ROUND(AB218+ROUND(ROUND(AB218*100,0)*ROUND(Y$7*10000,0)/12000000,0)/100+0.02,2),0)</f>
        <v>0</v>
      </c>
      <c r="AC219" s="24">
        <f>IF(AE218&gt;0,IF(AND(ROUND(AE218+AD219-ROUND(AC$6+IF(AC$5=$C219,$E$5+$E219,0),2),2)&gt;0,ROUND(AE218+AD219-ROUND(AC$6+IF(AC$5=$C219,$E$5+$E219,0),2),2)&lt;=AF219,ROUND(AE218+AD219-ROUND(AC$6+IF(AC$5=$C219,$E$5+$E219,0),2),2)*10&lt;=ROUND(AC$6+IF(AC$5=$C219,$E$5+$E219,0),2)),ROUND(AE218+AD219,2),MIN(ROUND(AC$6+IF(AC$5=$C219,$E$5+$E219,0),2),ROUND(AE218+AD219,2))),0)</f>
        <v>0</v>
      </c>
      <c r="AD219" s="24">
        <f>IF(AE218&gt;0,ROUND(ROUND(AE218*100,0)*ROUND(AC$7*10000,0)/12000000,0)/100,0)</f>
        <v>0</v>
      </c>
      <c r="AE219" s="24">
        <f>IF(AE218&gt;0,ROUND(AE218+AD219-AC219,2),0)</f>
        <v>0</v>
      </c>
      <c r="AF219" s="24">
        <f>IF(AE218&gt;0,ROUND(AF218+ROUND(ROUND(AF218*100,0)*ROUND(AC$7*10000,0)/12000000,0)/100+0.02,2),0)</f>
        <v>0</v>
      </c>
      <c r="AG219" s="24">
        <f>IF(AI218&gt;0,IF(AND(ROUND(AI218+AH219-ROUND(AG$6+IF(AG$5=$C219,$E$5+$E219,0),2),2)&gt;0,ROUND(AI218+AH219-ROUND(AG$6+IF(AG$5=$C219,$E$5+$E219,0),2),2)&lt;=AJ219,ROUND(AI218+AH219-ROUND(AG$6+IF(AG$5=$C219,$E$5+$E219,0),2),2)*10&lt;=ROUND(AG$6+IF(AG$5=$C219,$E$5+$E219,0),2)),ROUND(AI218+AH219,2),MIN(ROUND(AG$6+IF(AG$5=$C219,$E$5+$E219,0),2),ROUND(AI218+AH219,2))),0)</f>
        <v>0</v>
      </c>
      <c r="AH219" s="24">
        <f>IF(AI218&gt;0,ROUND(ROUND(AI218*100,0)*ROUND(AG$7*10000,0)/12000000,0)/100,0)</f>
        <v>0</v>
      </c>
      <c r="AI219" s="24">
        <f>IF(AI218&gt;0,ROUND(AI218+AH219-AG219,2),0)</f>
        <v>0</v>
      </c>
      <c r="AJ219" s="24">
        <f>IF(AI218&gt;0,ROUND(AJ218+ROUND(ROUND(AJ218*100,0)*ROUND(AG$7*10000,0)/12000000,0)/100+0.02,2),0)</f>
        <v>0</v>
      </c>
      <c r="AK219" s="24">
        <f>IF(AM218&gt;0,IF(AND(ROUND(AM218+AL219-ROUND(AK$6+IF(AK$5=$C219,$E$5+$E219,0),2),2)&gt;0,ROUND(AM218+AL219-ROUND(AK$6+IF(AK$5=$C219,$E$5+$E219,0),2),2)&lt;=AN219,ROUND(AM218+AL219-ROUND(AK$6+IF(AK$5=$C219,$E$5+$E219,0),2),2)*10&lt;=ROUND(AK$6+IF(AK$5=$C219,$E$5+$E219,0),2)),ROUND(AM218+AL219,2),MIN(ROUND(AK$6+IF(AK$5=$C219,$E$5+$E219,0),2),ROUND(AM218+AL219,2))),0)</f>
        <v>0</v>
      </c>
      <c r="AL219" s="24">
        <f>IF(AM218&gt;0,ROUND(ROUND(AM218*100,0)*ROUND(AK$7*10000,0)/12000000,0)/100,0)</f>
        <v>0</v>
      </c>
      <c r="AM219" s="24">
        <f>IF(AM218&gt;0,ROUND(AM218+AL219-AK219,2),0)</f>
        <v>0</v>
      </c>
      <c r="AN219" s="24">
        <f>IF(AM218&gt;0,ROUND(AN218+ROUND(ROUND(AN218*100,0)*ROUND(AK$7*10000,0)/12000000,0)/100+0.02,2),0)</f>
        <v>0</v>
      </c>
      <c r="AO219" s="24">
        <f>IF(AQ218&gt;0,IF(AND(ROUND(AQ218+AP219-ROUND(AO$6+IF(AO$5=$C219,$E$5+$E219,0),2),2)&gt;0,ROUND(AQ218+AP219-ROUND(AO$6+IF(AO$5=$C219,$E$5+$E219,0),2),2)&lt;=AR219,ROUND(AQ218+AP219-ROUND(AO$6+IF(AO$5=$C219,$E$5+$E219,0),2),2)*10&lt;=ROUND(AO$6+IF(AO$5=$C219,$E$5+$E219,0),2)),ROUND(AQ218+AP219,2),MIN(ROUND(AO$6+IF(AO$5=$C219,$E$5+$E219,0),2),ROUND(AQ218+AP219,2))),0)</f>
        <v>0</v>
      </c>
      <c r="AP219" s="24">
        <f>IF(AQ218&gt;0,ROUND(ROUND(AQ218*100,0)*ROUND(AO$7*10000,0)/12000000,0)/100,0)</f>
        <v>0</v>
      </c>
      <c r="AQ219" s="24">
        <f>IF(AQ218&gt;0,ROUND(AQ218+AP219-AO219,2),0)</f>
        <v>0</v>
      </c>
      <c r="AR219" s="24">
        <f>IF(AQ218&gt;0,ROUND(AR218+ROUND(ROUND(AR218*100,0)*ROUND(AO$7*10000,0)/12000000,0)/100+0.02,2),0)</f>
        <v>0</v>
      </c>
      <c r="AS219" s="24">
        <f>IF(AU218&gt;0,IF(AND(ROUND(AU218+AT219-ROUND(AS$6+IF(AS$5=$C219,$E$5+$E219,0),2),2)&gt;0,ROUND(AU218+AT219-ROUND(AS$6+IF(AS$5=$C219,$E$5+$E219,0),2),2)&lt;=AV219,ROUND(AU218+AT219-ROUND(AS$6+IF(AS$5=$C219,$E$5+$E219,0),2),2)*10&lt;=ROUND(AS$6+IF(AS$5=$C219,$E$5+$E219,0),2)),ROUND(AU218+AT219,2),MIN(ROUND(AS$6+IF(AS$5=$C219,$E$5+$E219,0),2),ROUND(AU218+AT219,2))),0)</f>
        <v>0</v>
      </c>
      <c r="AT219" s="24">
        <f>IF(AU218&gt;0,ROUND(ROUND(AU218*100,0)*ROUND(AS$7*10000,0)/12000000,0)/100,0)</f>
        <v>0</v>
      </c>
      <c r="AU219" s="24">
        <f>IF(AU218&gt;0,ROUND(AU218+AT219-AS219,2),0)</f>
        <v>0</v>
      </c>
      <c r="AV219" s="24">
        <f>IF(AU218&gt;0,ROUND(AV218+ROUND(ROUND(AV218*100,0)*ROUND(AS$7*10000,0)/12000000,0)/100+0.02,2),0)</f>
        <v>0</v>
      </c>
    </row>
    <row r="220" spans="1:48" x14ac:dyDescent="0.25">
      <c r="A220" s="17" t="str">
        <f>IF(F220&gt;0,210,"")</f>
        <v/>
      </c>
      <c r="B220" s="18" t="str">
        <f>IF(F220&gt;0,EDATE($E$6,210),"")</f>
        <v/>
      </c>
      <c r="C220" s="21">
        <f>IF(H219&gt;0,MIN(IF(K219&gt;0,I$5,99),IF(O219&gt;0,M$5,99),IF(S219&gt;0,Q$5,99),IF(W219&gt;0,U$5,99),IF(AA219&gt;0,Y$5,99),IF(AE219&gt;0,AC$5,99),IF(AI219&gt;0,AG$5,99),IF(AM219&gt;0,AK$5,99),IF(AQ219&gt;0,AO$5,99),IF(AU219&gt;0,AS$5,99)),0)</f>
        <v>0</v>
      </c>
      <c r="D220" t="str">
        <f>IF(C220&gt;0,INDEX($I$4:$AV$4,1,MATCH(C220,$I$5:$AV$5,0)),"")</f>
        <v/>
      </c>
      <c r="E220" s="24">
        <f>ROUND(IF(AND(I$8&gt;0,K219=0),I$6,0)+IF(AND(M$8&gt;0,O219=0),M$6,0)+IF(AND(Q$8&gt;0,S219=0),Q$6,0)+IF(AND(U$8&gt;0,W219=0),U$6,0)+IF(AND(Y$8&gt;0,AA219=0),Y$6,0)+IF(AND(AC$8&gt;0,AE219=0),AC$6,0)+IF(AND(AG$8&gt;0,AI219=0),AG$6,0)+IF(AND(AK$8&gt;0,AM219=0),AK$6,0)+IF(AND(AO$8&gt;0,AQ219=0),AO$6,0)+IF(AND(AS$8&gt;0,AU219=0),AS$6,0),2)</f>
        <v>325</v>
      </c>
      <c r="F220" s="24">
        <f>ROUND(I220+M220+Q220+U220+Y220+AC220+AG220+AK220+AO220+AS220,2)</f>
        <v>0</v>
      </c>
      <c r="G220" s="24">
        <f>ROUND(J220+N220+R220+V220+Z220+AD220+AH220+AL220+AP220+AT220,2)</f>
        <v>0</v>
      </c>
      <c r="H220" s="24">
        <f>ROUND(K220+O220+S220+W220+AA220+AE220+AI220+AM220+AQ220+AU220,2)</f>
        <v>0</v>
      </c>
      <c r="I220" s="24">
        <f>IF(K219&gt;0,IF(AND(ROUND(K219+J220-ROUND(I$6+IF(I$5=$C220,$E$5+$E220,0),2),2)&gt;0,ROUND(K219+J220-ROUND(I$6+IF(I$5=$C220,$E$5+$E220,0),2),2)&lt;=L220,ROUND(K219+J220-ROUND(I$6+IF(I$5=$C220,$E$5+$E220,0),2),2)*10&lt;=ROUND(I$6+IF(I$5=$C220,$E$5+$E220,0),2)),ROUND(K219+J220,2),MIN(ROUND(I$6+IF(I$5=$C220,$E$5+$E220,0),2),ROUND(K219+J220,2))),0)</f>
        <v>0</v>
      </c>
      <c r="J220" s="24">
        <f>IF(K219&gt;0,ROUND(ROUND(K219*100,0)*ROUND(I$7*10000,0)/12000000,0)/100,0)</f>
        <v>0</v>
      </c>
      <c r="K220" s="24">
        <f>IF(K219&gt;0,ROUND(K219+J220-I220,2),0)</f>
        <v>0</v>
      </c>
      <c r="L220" s="24">
        <f>IF(K219&gt;0,ROUND(L219+ROUND(ROUND(L219*100,0)*ROUND(I$7*10000,0)/12000000,0)/100+0.02,2),0)</f>
        <v>0</v>
      </c>
      <c r="M220" s="24">
        <f>IF(O219&gt;0,IF(AND(ROUND(O219+N220-ROUND(M$6+IF(M$5=$C220,$E$5+$E220,0),2),2)&gt;0,ROUND(O219+N220-ROUND(M$6+IF(M$5=$C220,$E$5+$E220,0),2),2)&lt;=P220,ROUND(O219+N220-ROUND(M$6+IF(M$5=$C220,$E$5+$E220,0),2),2)*10&lt;=ROUND(M$6+IF(M$5=$C220,$E$5+$E220,0),2)),ROUND(O219+N220,2),MIN(ROUND(M$6+IF(M$5=$C220,$E$5+$E220,0),2),ROUND(O219+N220,2))),0)</f>
        <v>0</v>
      </c>
      <c r="N220" s="24">
        <f>IF(O219&gt;0,ROUND(ROUND(O219*100,0)*ROUND(M$7*10000,0)/12000000,0)/100,0)</f>
        <v>0</v>
      </c>
      <c r="O220" s="24">
        <f>IF(O219&gt;0,ROUND(O219+N220-M220,2),0)</f>
        <v>0</v>
      </c>
      <c r="P220" s="24">
        <f>IF(O219&gt;0,ROUND(P219+ROUND(ROUND(P219*100,0)*ROUND(M$7*10000,0)/12000000,0)/100+0.02,2),0)</f>
        <v>0</v>
      </c>
      <c r="Q220" s="24">
        <f>IF(S219&gt;0,IF(AND(ROUND(S219+R220-ROUND(Q$6+IF(Q$5=$C220,$E$5+$E220,0),2),2)&gt;0,ROUND(S219+R220-ROUND(Q$6+IF(Q$5=$C220,$E$5+$E220,0),2),2)&lt;=T220,ROUND(S219+R220-ROUND(Q$6+IF(Q$5=$C220,$E$5+$E220,0),2),2)*10&lt;=ROUND(Q$6+IF(Q$5=$C220,$E$5+$E220,0),2)),ROUND(S219+R220,2),MIN(ROUND(Q$6+IF(Q$5=$C220,$E$5+$E220,0),2),ROUND(S219+R220,2))),0)</f>
        <v>0</v>
      </c>
      <c r="R220" s="24">
        <f>IF(S219&gt;0,ROUND(ROUND(S219*100,0)*ROUND(Q$7*10000,0)/12000000,0)/100,0)</f>
        <v>0</v>
      </c>
      <c r="S220" s="24">
        <f>IF(S219&gt;0,ROUND(S219+R220-Q220,2),0)</f>
        <v>0</v>
      </c>
      <c r="T220" s="24">
        <f>IF(S219&gt;0,ROUND(T219+ROUND(ROUND(T219*100,0)*ROUND(Q$7*10000,0)/12000000,0)/100+0.02,2),0)</f>
        <v>0</v>
      </c>
      <c r="U220" s="24">
        <f>IF(W219&gt;0,IF(AND(ROUND(W219+V220-ROUND(U$6+IF(U$5=$C220,$E$5+$E220,0),2),2)&gt;0,ROUND(W219+V220-ROUND(U$6+IF(U$5=$C220,$E$5+$E220,0),2),2)&lt;=X220,ROUND(W219+V220-ROUND(U$6+IF(U$5=$C220,$E$5+$E220,0),2),2)*10&lt;=ROUND(U$6+IF(U$5=$C220,$E$5+$E220,0),2)),ROUND(W219+V220,2),MIN(ROUND(U$6+IF(U$5=$C220,$E$5+$E220,0),2),ROUND(W219+V220,2))),0)</f>
        <v>0</v>
      </c>
      <c r="V220" s="24">
        <f>IF(W219&gt;0,ROUND(ROUND(W219*100,0)*ROUND(U$7*10000,0)/12000000,0)/100,0)</f>
        <v>0</v>
      </c>
      <c r="W220" s="24">
        <f>IF(W219&gt;0,ROUND(W219+V220-U220,2),0)</f>
        <v>0</v>
      </c>
      <c r="X220" s="24">
        <f>IF(W219&gt;0,ROUND(X219+ROUND(ROUND(X219*100,0)*ROUND(U$7*10000,0)/12000000,0)/100+0.02,2),0)</f>
        <v>0</v>
      </c>
      <c r="Y220" s="24">
        <f>IF(AA219&gt;0,IF(AND(ROUND(AA219+Z220-ROUND(Y$6+IF(Y$5=$C220,$E$5+$E220,0),2),2)&gt;0,ROUND(AA219+Z220-ROUND(Y$6+IF(Y$5=$C220,$E$5+$E220,0),2),2)&lt;=AB220,ROUND(AA219+Z220-ROUND(Y$6+IF(Y$5=$C220,$E$5+$E220,0),2),2)*10&lt;=ROUND(Y$6+IF(Y$5=$C220,$E$5+$E220,0),2)),ROUND(AA219+Z220,2),MIN(ROUND(Y$6+IF(Y$5=$C220,$E$5+$E220,0),2),ROUND(AA219+Z220,2))),0)</f>
        <v>0</v>
      </c>
      <c r="Z220" s="24">
        <f>IF(AA219&gt;0,ROUND(ROUND(AA219*100,0)*ROUND(Y$7*10000,0)/12000000,0)/100,0)</f>
        <v>0</v>
      </c>
      <c r="AA220" s="24">
        <f>IF(AA219&gt;0,ROUND(AA219+Z220-Y220,2),0)</f>
        <v>0</v>
      </c>
      <c r="AB220" s="24">
        <f>IF(AA219&gt;0,ROUND(AB219+ROUND(ROUND(AB219*100,0)*ROUND(Y$7*10000,0)/12000000,0)/100+0.02,2),0)</f>
        <v>0</v>
      </c>
      <c r="AC220" s="24">
        <f>IF(AE219&gt;0,IF(AND(ROUND(AE219+AD220-ROUND(AC$6+IF(AC$5=$C220,$E$5+$E220,0),2),2)&gt;0,ROUND(AE219+AD220-ROUND(AC$6+IF(AC$5=$C220,$E$5+$E220,0),2),2)&lt;=AF220,ROUND(AE219+AD220-ROUND(AC$6+IF(AC$5=$C220,$E$5+$E220,0),2),2)*10&lt;=ROUND(AC$6+IF(AC$5=$C220,$E$5+$E220,0),2)),ROUND(AE219+AD220,2),MIN(ROUND(AC$6+IF(AC$5=$C220,$E$5+$E220,0),2),ROUND(AE219+AD220,2))),0)</f>
        <v>0</v>
      </c>
      <c r="AD220" s="24">
        <f>IF(AE219&gt;0,ROUND(ROUND(AE219*100,0)*ROUND(AC$7*10000,0)/12000000,0)/100,0)</f>
        <v>0</v>
      </c>
      <c r="AE220" s="24">
        <f>IF(AE219&gt;0,ROUND(AE219+AD220-AC220,2),0)</f>
        <v>0</v>
      </c>
      <c r="AF220" s="24">
        <f>IF(AE219&gt;0,ROUND(AF219+ROUND(ROUND(AF219*100,0)*ROUND(AC$7*10000,0)/12000000,0)/100+0.02,2),0)</f>
        <v>0</v>
      </c>
      <c r="AG220" s="24">
        <f>IF(AI219&gt;0,IF(AND(ROUND(AI219+AH220-ROUND(AG$6+IF(AG$5=$C220,$E$5+$E220,0),2),2)&gt;0,ROUND(AI219+AH220-ROUND(AG$6+IF(AG$5=$C220,$E$5+$E220,0),2),2)&lt;=AJ220,ROUND(AI219+AH220-ROUND(AG$6+IF(AG$5=$C220,$E$5+$E220,0),2),2)*10&lt;=ROUND(AG$6+IF(AG$5=$C220,$E$5+$E220,0),2)),ROUND(AI219+AH220,2),MIN(ROUND(AG$6+IF(AG$5=$C220,$E$5+$E220,0),2),ROUND(AI219+AH220,2))),0)</f>
        <v>0</v>
      </c>
      <c r="AH220" s="24">
        <f>IF(AI219&gt;0,ROUND(ROUND(AI219*100,0)*ROUND(AG$7*10000,0)/12000000,0)/100,0)</f>
        <v>0</v>
      </c>
      <c r="AI220" s="24">
        <f>IF(AI219&gt;0,ROUND(AI219+AH220-AG220,2),0)</f>
        <v>0</v>
      </c>
      <c r="AJ220" s="24">
        <f>IF(AI219&gt;0,ROUND(AJ219+ROUND(ROUND(AJ219*100,0)*ROUND(AG$7*10000,0)/12000000,0)/100+0.02,2),0)</f>
        <v>0</v>
      </c>
      <c r="AK220" s="24">
        <f>IF(AM219&gt;0,IF(AND(ROUND(AM219+AL220-ROUND(AK$6+IF(AK$5=$C220,$E$5+$E220,0),2),2)&gt;0,ROUND(AM219+AL220-ROUND(AK$6+IF(AK$5=$C220,$E$5+$E220,0),2),2)&lt;=AN220,ROUND(AM219+AL220-ROUND(AK$6+IF(AK$5=$C220,$E$5+$E220,0),2),2)*10&lt;=ROUND(AK$6+IF(AK$5=$C220,$E$5+$E220,0),2)),ROUND(AM219+AL220,2),MIN(ROUND(AK$6+IF(AK$5=$C220,$E$5+$E220,0),2),ROUND(AM219+AL220,2))),0)</f>
        <v>0</v>
      </c>
      <c r="AL220" s="24">
        <f>IF(AM219&gt;0,ROUND(ROUND(AM219*100,0)*ROUND(AK$7*10000,0)/12000000,0)/100,0)</f>
        <v>0</v>
      </c>
      <c r="AM220" s="24">
        <f>IF(AM219&gt;0,ROUND(AM219+AL220-AK220,2),0)</f>
        <v>0</v>
      </c>
      <c r="AN220" s="24">
        <f>IF(AM219&gt;0,ROUND(AN219+ROUND(ROUND(AN219*100,0)*ROUND(AK$7*10000,0)/12000000,0)/100+0.02,2),0)</f>
        <v>0</v>
      </c>
      <c r="AO220" s="24">
        <f>IF(AQ219&gt;0,IF(AND(ROUND(AQ219+AP220-ROUND(AO$6+IF(AO$5=$C220,$E$5+$E220,0),2),2)&gt;0,ROUND(AQ219+AP220-ROUND(AO$6+IF(AO$5=$C220,$E$5+$E220,0),2),2)&lt;=AR220,ROUND(AQ219+AP220-ROUND(AO$6+IF(AO$5=$C220,$E$5+$E220,0),2),2)*10&lt;=ROUND(AO$6+IF(AO$5=$C220,$E$5+$E220,0),2)),ROUND(AQ219+AP220,2),MIN(ROUND(AO$6+IF(AO$5=$C220,$E$5+$E220,0),2),ROUND(AQ219+AP220,2))),0)</f>
        <v>0</v>
      </c>
      <c r="AP220" s="24">
        <f>IF(AQ219&gt;0,ROUND(ROUND(AQ219*100,0)*ROUND(AO$7*10000,0)/12000000,0)/100,0)</f>
        <v>0</v>
      </c>
      <c r="AQ220" s="24">
        <f>IF(AQ219&gt;0,ROUND(AQ219+AP220-AO220,2),0)</f>
        <v>0</v>
      </c>
      <c r="AR220" s="24">
        <f>IF(AQ219&gt;0,ROUND(AR219+ROUND(ROUND(AR219*100,0)*ROUND(AO$7*10000,0)/12000000,0)/100+0.02,2),0)</f>
        <v>0</v>
      </c>
      <c r="AS220" s="24">
        <f>IF(AU219&gt;0,IF(AND(ROUND(AU219+AT220-ROUND(AS$6+IF(AS$5=$C220,$E$5+$E220,0),2),2)&gt;0,ROUND(AU219+AT220-ROUND(AS$6+IF(AS$5=$C220,$E$5+$E220,0),2),2)&lt;=AV220,ROUND(AU219+AT220-ROUND(AS$6+IF(AS$5=$C220,$E$5+$E220,0),2),2)*10&lt;=ROUND(AS$6+IF(AS$5=$C220,$E$5+$E220,0),2)),ROUND(AU219+AT220,2),MIN(ROUND(AS$6+IF(AS$5=$C220,$E$5+$E220,0),2),ROUND(AU219+AT220,2))),0)</f>
        <v>0</v>
      </c>
      <c r="AT220" s="24">
        <f>IF(AU219&gt;0,ROUND(ROUND(AU219*100,0)*ROUND(AS$7*10000,0)/12000000,0)/100,0)</f>
        <v>0</v>
      </c>
      <c r="AU220" s="24">
        <f>IF(AU219&gt;0,ROUND(AU219+AT220-AS220,2),0)</f>
        <v>0</v>
      </c>
      <c r="AV220" s="24">
        <f>IF(AU219&gt;0,ROUND(AV219+ROUND(ROUND(AV219*100,0)*ROUND(AS$7*10000,0)/12000000,0)/100+0.02,2),0)</f>
        <v>0</v>
      </c>
    </row>
    <row r="221" spans="1:48" x14ac:dyDescent="0.25">
      <c r="A221" s="17" t="str">
        <f>IF(F221&gt;0,211,"")</f>
        <v/>
      </c>
      <c r="B221" s="18" t="str">
        <f>IF(F221&gt;0,EDATE($E$6,211),"")</f>
        <v/>
      </c>
      <c r="C221" s="21">
        <f>IF(H220&gt;0,MIN(IF(K220&gt;0,I$5,99),IF(O220&gt;0,M$5,99),IF(S220&gt;0,Q$5,99),IF(W220&gt;0,U$5,99),IF(AA220&gt;0,Y$5,99),IF(AE220&gt;0,AC$5,99),IF(AI220&gt;0,AG$5,99),IF(AM220&gt;0,AK$5,99),IF(AQ220&gt;0,AO$5,99),IF(AU220&gt;0,AS$5,99)),0)</f>
        <v>0</v>
      </c>
      <c r="D221" t="str">
        <f>IF(C221&gt;0,INDEX($I$4:$AV$4,1,MATCH(C221,$I$5:$AV$5,0)),"")</f>
        <v/>
      </c>
      <c r="E221" s="24">
        <f>ROUND(IF(AND(I$8&gt;0,K220=0),I$6,0)+IF(AND(M$8&gt;0,O220=0),M$6,0)+IF(AND(Q$8&gt;0,S220=0),Q$6,0)+IF(AND(U$8&gt;0,W220=0),U$6,0)+IF(AND(Y$8&gt;0,AA220=0),Y$6,0)+IF(AND(AC$8&gt;0,AE220=0),AC$6,0)+IF(AND(AG$8&gt;0,AI220=0),AG$6,0)+IF(AND(AK$8&gt;0,AM220=0),AK$6,0)+IF(AND(AO$8&gt;0,AQ220=0),AO$6,0)+IF(AND(AS$8&gt;0,AU220=0),AS$6,0),2)</f>
        <v>325</v>
      </c>
      <c r="F221" s="24">
        <f>ROUND(I221+M221+Q221+U221+Y221+AC221+AG221+AK221+AO221+AS221,2)</f>
        <v>0</v>
      </c>
      <c r="G221" s="24">
        <f>ROUND(J221+N221+R221+V221+Z221+AD221+AH221+AL221+AP221+AT221,2)</f>
        <v>0</v>
      </c>
      <c r="H221" s="24">
        <f>ROUND(K221+O221+S221+W221+AA221+AE221+AI221+AM221+AQ221+AU221,2)</f>
        <v>0</v>
      </c>
      <c r="I221" s="24">
        <f>IF(K220&gt;0,IF(AND(ROUND(K220+J221-ROUND(I$6+IF(I$5=$C221,$E$5+$E221,0),2),2)&gt;0,ROUND(K220+J221-ROUND(I$6+IF(I$5=$C221,$E$5+$E221,0),2),2)&lt;=L221,ROUND(K220+J221-ROUND(I$6+IF(I$5=$C221,$E$5+$E221,0),2),2)*10&lt;=ROUND(I$6+IF(I$5=$C221,$E$5+$E221,0),2)),ROUND(K220+J221,2),MIN(ROUND(I$6+IF(I$5=$C221,$E$5+$E221,0),2),ROUND(K220+J221,2))),0)</f>
        <v>0</v>
      </c>
      <c r="J221" s="24">
        <f>IF(K220&gt;0,ROUND(ROUND(K220*100,0)*ROUND(I$7*10000,0)/12000000,0)/100,0)</f>
        <v>0</v>
      </c>
      <c r="K221" s="24">
        <f>IF(K220&gt;0,ROUND(K220+J221-I221,2),0)</f>
        <v>0</v>
      </c>
      <c r="L221" s="24">
        <f>IF(K220&gt;0,ROUND(L220+ROUND(ROUND(L220*100,0)*ROUND(I$7*10000,0)/12000000,0)/100+0.02,2),0)</f>
        <v>0</v>
      </c>
      <c r="M221" s="24">
        <f>IF(O220&gt;0,IF(AND(ROUND(O220+N221-ROUND(M$6+IF(M$5=$C221,$E$5+$E221,0),2),2)&gt;0,ROUND(O220+N221-ROUND(M$6+IF(M$5=$C221,$E$5+$E221,0),2),2)&lt;=P221,ROUND(O220+N221-ROUND(M$6+IF(M$5=$C221,$E$5+$E221,0),2),2)*10&lt;=ROUND(M$6+IF(M$5=$C221,$E$5+$E221,0),2)),ROUND(O220+N221,2),MIN(ROUND(M$6+IF(M$5=$C221,$E$5+$E221,0),2),ROUND(O220+N221,2))),0)</f>
        <v>0</v>
      </c>
      <c r="N221" s="24">
        <f>IF(O220&gt;0,ROUND(ROUND(O220*100,0)*ROUND(M$7*10000,0)/12000000,0)/100,0)</f>
        <v>0</v>
      </c>
      <c r="O221" s="24">
        <f>IF(O220&gt;0,ROUND(O220+N221-M221,2),0)</f>
        <v>0</v>
      </c>
      <c r="P221" s="24">
        <f>IF(O220&gt;0,ROUND(P220+ROUND(ROUND(P220*100,0)*ROUND(M$7*10000,0)/12000000,0)/100+0.02,2),0)</f>
        <v>0</v>
      </c>
      <c r="Q221" s="24">
        <f>IF(S220&gt;0,IF(AND(ROUND(S220+R221-ROUND(Q$6+IF(Q$5=$C221,$E$5+$E221,0),2),2)&gt;0,ROUND(S220+R221-ROUND(Q$6+IF(Q$5=$C221,$E$5+$E221,0),2),2)&lt;=T221,ROUND(S220+R221-ROUND(Q$6+IF(Q$5=$C221,$E$5+$E221,0),2),2)*10&lt;=ROUND(Q$6+IF(Q$5=$C221,$E$5+$E221,0),2)),ROUND(S220+R221,2),MIN(ROUND(Q$6+IF(Q$5=$C221,$E$5+$E221,0),2),ROUND(S220+R221,2))),0)</f>
        <v>0</v>
      </c>
      <c r="R221" s="24">
        <f>IF(S220&gt;0,ROUND(ROUND(S220*100,0)*ROUND(Q$7*10000,0)/12000000,0)/100,0)</f>
        <v>0</v>
      </c>
      <c r="S221" s="24">
        <f>IF(S220&gt;0,ROUND(S220+R221-Q221,2),0)</f>
        <v>0</v>
      </c>
      <c r="T221" s="24">
        <f>IF(S220&gt;0,ROUND(T220+ROUND(ROUND(T220*100,0)*ROUND(Q$7*10000,0)/12000000,0)/100+0.02,2),0)</f>
        <v>0</v>
      </c>
      <c r="U221" s="24">
        <f>IF(W220&gt;0,IF(AND(ROUND(W220+V221-ROUND(U$6+IF(U$5=$C221,$E$5+$E221,0),2),2)&gt;0,ROUND(W220+V221-ROUND(U$6+IF(U$5=$C221,$E$5+$E221,0),2),2)&lt;=X221,ROUND(W220+V221-ROUND(U$6+IF(U$5=$C221,$E$5+$E221,0),2),2)*10&lt;=ROUND(U$6+IF(U$5=$C221,$E$5+$E221,0),2)),ROUND(W220+V221,2),MIN(ROUND(U$6+IF(U$5=$C221,$E$5+$E221,0),2),ROUND(W220+V221,2))),0)</f>
        <v>0</v>
      </c>
      <c r="V221" s="24">
        <f>IF(W220&gt;0,ROUND(ROUND(W220*100,0)*ROUND(U$7*10000,0)/12000000,0)/100,0)</f>
        <v>0</v>
      </c>
      <c r="W221" s="24">
        <f>IF(W220&gt;0,ROUND(W220+V221-U221,2),0)</f>
        <v>0</v>
      </c>
      <c r="X221" s="24">
        <f>IF(W220&gt;0,ROUND(X220+ROUND(ROUND(X220*100,0)*ROUND(U$7*10000,0)/12000000,0)/100+0.02,2),0)</f>
        <v>0</v>
      </c>
      <c r="Y221" s="24">
        <f>IF(AA220&gt;0,IF(AND(ROUND(AA220+Z221-ROUND(Y$6+IF(Y$5=$C221,$E$5+$E221,0),2),2)&gt;0,ROUND(AA220+Z221-ROUND(Y$6+IF(Y$5=$C221,$E$5+$E221,0),2),2)&lt;=AB221,ROUND(AA220+Z221-ROUND(Y$6+IF(Y$5=$C221,$E$5+$E221,0),2),2)*10&lt;=ROUND(Y$6+IF(Y$5=$C221,$E$5+$E221,0),2)),ROUND(AA220+Z221,2),MIN(ROUND(Y$6+IF(Y$5=$C221,$E$5+$E221,0),2),ROUND(AA220+Z221,2))),0)</f>
        <v>0</v>
      </c>
      <c r="Z221" s="24">
        <f>IF(AA220&gt;0,ROUND(ROUND(AA220*100,0)*ROUND(Y$7*10000,0)/12000000,0)/100,0)</f>
        <v>0</v>
      </c>
      <c r="AA221" s="24">
        <f>IF(AA220&gt;0,ROUND(AA220+Z221-Y221,2),0)</f>
        <v>0</v>
      </c>
      <c r="AB221" s="24">
        <f>IF(AA220&gt;0,ROUND(AB220+ROUND(ROUND(AB220*100,0)*ROUND(Y$7*10000,0)/12000000,0)/100+0.02,2),0)</f>
        <v>0</v>
      </c>
      <c r="AC221" s="24">
        <f>IF(AE220&gt;0,IF(AND(ROUND(AE220+AD221-ROUND(AC$6+IF(AC$5=$C221,$E$5+$E221,0),2),2)&gt;0,ROUND(AE220+AD221-ROUND(AC$6+IF(AC$5=$C221,$E$5+$E221,0),2),2)&lt;=AF221,ROUND(AE220+AD221-ROUND(AC$6+IF(AC$5=$C221,$E$5+$E221,0),2),2)*10&lt;=ROUND(AC$6+IF(AC$5=$C221,$E$5+$E221,0),2)),ROUND(AE220+AD221,2),MIN(ROUND(AC$6+IF(AC$5=$C221,$E$5+$E221,0),2),ROUND(AE220+AD221,2))),0)</f>
        <v>0</v>
      </c>
      <c r="AD221" s="24">
        <f>IF(AE220&gt;0,ROUND(ROUND(AE220*100,0)*ROUND(AC$7*10000,0)/12000000,0)/100,0)</f>
        <v>0</v>
      </c>
      <c r="AE221" s="24">
        <f>IF(AE220&gt;0,ROUND(AE220+AD221-AC221,2),0)</f>
        <v>0</v>
      </c>
      <c r="AF221" s="24">
        <f>IF(AE220&gt;0,ROUND(AF220+ROUND(ROUND(AF220*100,0)*ROUND(AC$7*10000,0)/12000000,0)/100+0.02,2),0)</f>
        <v>0</v>
      </c>
      <c r="AG221" s="24">
        <f>IF(AI220&gt;0,IF(AND(ROUND(AI220+AH221-ROUND(AG$6+IF(AG$5=$C221,$E$5+$E221,0),2),2)&gt;0,ROUND(AI220+AH221-ROUND(AG$6+IF(AG$5=$C221,$E$5+$E221,0),2),2)&lt;=AJ221,ROUND(AI220+AH221-ROUND(AG$6+IF(AG$5=$C221,$E$5+$E221,0),2),2)*10&lt;=ROUND(AG$6+IF(AG$5=$C221,$E$5+$E221,0),2)),ROUND(AI220+AH221,2),MIN(ROUND(AG$6+IF(AG$5=$C221,$E$5+$E221,0),2),ROUND(AI220+AH221,2))),0)</f>
        <v>0</v>
      </c>
      <c r="AH221" s="24">
        <f>IF(AI220&gt;0,ROUND(ROUND(AI220*100,0)*ROUND(AG$7*10000,0)/12000000,0)/100,0)</f>
        <v>0</v>
      </c>
      <c r="AI221" s="24">
        <f>IF(AI220&gt;0,ROUND(AI220+AH221-AG221,2),0)</f>
        <v>0</v>
      </c>
      <c r="AJ221" s="24">
        <f>IF(AI220&gt;0,ROUND(AJ220+ROUND(ROUND(AJ220*100,0)*ROUND(AG$7*10000,0)/12000000,0)/100+0.02,2),0)</f>
        <v>0</v>
      </c>
      <c r="AK221" s="24">
        <f>IF(AM220&gt;0,IF(AND(ROUND(AM220+AL221-ROUND(AK$6+IF(AK$5=$C221,$E$5+$E221,0),2),2)&gt;0,ROUND(AM220+AL221-ROUND(AK$6+IF(AK$5=$C221,$E$5+$E221,0),2),2)&lt;=AN221,ROUND(AM220+AL221-ROUND(AK$6+IF(AK$5=$C221,$E$5+$E221,0),2),2)*10&lt;=ROUND(AK$6+IF(AK$5=$C221,$E$5+$E221,0),2)),ROUND(AM220+AL221,2),MIN(ROUND(AK$6+IF(AK$5=$C221,$E$5+$E221,0),2),ROUND(AM220+AL221,2))),0)</f>
        <v>0</v>
      </c>
      <c r="AL221" s="24">
        <f>IF(AM220&gt;0,ROUND(ROUND(AM220*100,0)*ROUND(AK$7*10000,0)/12000000,0)/100,0)</f>
        <v>0</v>
      </c>
      <c r="AM221" s="24">
        <f>IF(AM220&gt;0,ROUND(AM220+AL221-AK221,2),0)</f>
        <v>0</v>
      </c>
      <c r="AN221" s="24">
        <f>IF(AM220&gt;0,ROUND(AN220+ROUND(ROUND(AN220*100,0)*ROUND(AK$7*10000,0)/12000000,0)/100+0.02,2),0)</f>
        <v>0</v>
      </c>
      <c r="AO221" s="24">
        <f>IF(AQ220&gt;0,IF(AND(ROUND(AQ220+AP221-ROUND(AO$6+IF(AO$5=$C221,$E$5+$E221,0),2),2)&gt;0,ROUND(AQ220+AP221-ROUND(AO$6+IF(AO$5=$C221,$E$5+$E221,0),2),2)&lt;=AR221,ROUND(AQ220+AP221-ROUND(AO$6+IF(AO$5=$C221,$E$5+$E221,0),2),2)*10&lt;=ROUND(AO$6+IF(AO$5=$C221,$E$5+$E221,0),2)),ROUND(AQ220+AP221,2),MIN(ROUND(AO$6+IF(AO$5=$C221,$E$5+$E221,0),2),ROUND(AQ220+AP221,2))),0)</f>
        <v>0</v>
      </c>
      <c r="AP221" s="24">
        <f>IF(AQ220&gt;0,ROUND(ROUND(AQ220*100,0)*ROUND(AO$7*10000,0)/12000000,0)/100,0)</f>
        <v>0</v>
      </c>
      <c r="AQ221" s="24">
        <f>IF(AQ220&gt;0,ROUND(AQ220+AP221-AO221,2),0)</f>
        <v>0</v>
      </c>
      <c r="AR221" s="24">
        <f>IF(AQ220&gt;0,ROUND(AR220+ROUND(ROUND(AR220*100,0)*ROUND(AO$7*10000,0)/12000000,0)/100+0.02,2),0)</f>
        <v>0</v>
      </c>
      <c r="AS221" s="24">
        <f>IF(AU220&gt;0,IF(AND(ROUND(AU220+AT221-ROUND(AS$6+IF(AS$5=$C221,$E$5+$E221,0),2),2)&gt;0,ROUND(AU220+AT221-ROUND(AS$6+IF(AS$5=$C221,$E$5+$E221,0),2),2)&lt;=AV221,ROUND(AU220+AT221-ROUND(AS$6+IF(AS$5=$C221,$E$5+$E221,0),2),2)*10&lt;=ROUND(AS$6+IF(AS$5=$C221,$E$5+$E221,0),2)),ROUND(AU220+AT221,2),MIN(ROUND(AS$6+IF(AS$5=$C221,$E$5+$E221,0),2),ROUND(AU220+AT221,2))),0)</f>
        <v>0</v>
      </c>
      <c r="AT221" s="24">
        <f>IF(AU220&gt;0,ROUND(ROUND(AU220*100,0)*ROUND(AS$7*10000,0)/12000000,0)/100,0)</f>
        <v>0</v>
      </c>
      <c r="AU221" s="24">
        <f>IF(AU220&gt;0,ROUND(AU220+AT221-AS221,2),0)</f>
        <v>0</v>
      </c>
      <c r="AV221" s="24">
        <f>IF(AU220&gt;0,ROUND(AV220+ROUND(ROUND(AV220*100,0)*ROUND(AS$7*10000,0)/12000000,0)/100+0.02,2),0)</f>
        <v>0</v>
      </c>
    </row>
    <row r="222" spans="1:48" x14ac:dyDescent="0.25">
      <c r="A222" s="17" t="str">
        <f>IF(F222&gt;0,212,"")</f>
        <v/>
      </c>
      <c r="B222" s="18" t="str">
        <f>IF(F222&gt;0,EDATE($E$6,212),"")</f>
        <v/>
      </c>
      <c r="C222" s="21">
        <f>IF(H221&gt;0,MIN(IF(K221&gt;0,I$5,99),IF(O221&gt;0,M$5,99),IF(S221&gt;0,Q$5,99),IF(W221&gt;0,U$5,99),IF(AA221&gt;0,Y$5,99),IF(AE221&gt;0,AC$5,99),IF(AI221&gt;0,AG$5,99),IF(AM221&gt;0,AK$5,99),IF(AQ221&gt;0,AO$5,99),IF(AU221&gt;0,AS$5,99)),0)</f>
        <v>0</v>
      </c>
      <c r="D222" t="str">
        <f>IF(C222&gt;0,INDEX($I$4:$AV$4,1,MATCH(C222,$I$5:$AV$5,0)),"")</f>
        <v/>
      </c>
      <c r="E222" s="24">
        <f>ROUND(IF(AND(I$8&gt;0,K221=0),I$6,0)+IF(AND(M$8&gt;0,O221=0),M$6,0)+IF(AND(Q$8&gt;0,S221=0),Q$6,0)+IF(AND(U$8&gt;0,W221=0),U$6,0)+IF(AND(Y$8&gt;0,AA221=0),Y$6,0)+IF(AND(AC$8&gt;0,AE221=0),AC$6,0)+IF(AND(AG$8&gt;0,AI221=0),AG$6,0)+IF(AND(AK$8&gt;0,AM221=0),AK$6,0)+IF(AND(AO$8&gt;0,AQ221=0),AO$6,0)+IF(AND(AS$8&gt;0,AU221=0),AS$6,0),2)</f>
        <v>325</v>
      </c>
      <c r="F222" s="24">
        <f>ROUND(I222+M222+Q222+U222+Y222+AC222+AG222+AK222+AO222+AS222,2)</f>
        <v>0</v>
      </c>
      <c r="G222" s="24">
        <f>ROUND(J222+N222+R222+V222+Z222+AD222+AH222+AL222+AP222+AT222,2)</f>
        <v>0</v>
      </c>
      <c r="H222" s="24">
        <f>ROUND(K222+O222+S222+W222+AA222+AE222+AI222+AM222+AQ222+AU222,2)</f>
        <v>0</v>
      </c>
      <c r="I222" s="24">
        <f>IF(K221&gt;0,IF(AND(ROUND(K221+J222-ROUND(I$6+IF(I$5=$C222,$E$5+$E222,0),2),2)&gt;0,ROUND(K221+J222-ROUND(I$6+IF(I$5=$C222,$E$5+$E222,0),2),2)&lt;=L222,ROUND(K221+J222-ROUND(I$6+IF(I$5=$C222,$E$5+$E222,0),2),2)*10&lt;=ROUND(I$6+IF(I$5=$C222,$E$5+$E222,0),2)),ROUND(K221+J222,2),MIN(ROUND(I$6+IF(I$5=$C222,$E$5+$E222,0),2),ROUND(K221+J222,2))),0)</f>
        <v>0</v>
      </c>
      <c r="J222" s="24">
        <f>IF(K221&gt;0,ROUND(ROUND(K221*100,0)*ROUND(I$7*10000,0)/12000000,0)/100,0)</f>
        <v>0</v>
      </c>
      <c r="K222" s="24">
        <f>IF(K221&gt;0,ROUND(K221+J222-I222,2),0)</f>
        <v>0</v>
      </c>
      <c r="L222" s="24">
        <f>IF(K221&gt;0,ROUND(L221+ROUND(ROUND(L221*100,0)*ROUND(I$7*10000,0)/12000000,0)/100+0.02,2),0)</f>
        <v>0</v>
      </c>
      <c r="M222" s="24">
        <f>IF(O221&gt;0,IF(AND(ROUND(O221+N222-ROUND(M$6+IF(M$5=$C222,$E$5+$E222,0),2),2)&gt;0,ROUND(O221+N222-ROUND(M$6+IF(M$5=$C222,$E$5+$E222,0),2),2)&lt;=P222,ROUND(O221+N222-ROUND(M$6+IF(M$5=$C222,$E$5+$E222,0),2),2)*10&lt;=ROUND(M$6+IF(M$5=$C222,$E$5+$E222,0),2)),ROUND(O221+N222,2),MIN(ROUND(M$6+IF(M$5=$C222,$E$5+$E222,0),2),ROUND(O221+N222,2))),0)</f>
        <v>0</v>
      </c>
      <c r="N222" s="24">
        <f>IF(O221&gt;0,ROUND(ROUND(O221*100,0)*ROUND(M$7*10000,0)/12000000,0)/100,0)</f>
        <v>0</v>
      </c>
      <c r="O222" s="24">
        <f>IF(O221&gt;0,ROUND(O221+N222-M222,2),0)</f>
        <v>0</v>
      </c>
      <c r="P222" s="24">
        <f>IF(O221&gt;0,ROUND(P221+ROUND(ROUND(P221*100,0)*ROUND(M$7*10000,0)/12000000,0)/100+0.02,2),0)</f>
        <v>0</v>
      </c>
      <c r="Q222" s="24">
        <f>IF(S221&gt;0,IF(AND(ROUND(S221+R222-ROUND(Q$6+IF(Q$5=$C222,$E$5+$E222,0),2),2)&gt;0,ROUND(S221+R222-ROUND(Q$6+IF(Q$5=$C222,$E$5+$E222,0),2),2)&lt;=T222,ROUND(S221+R222-ROUND(Q$6+IF(Q$5=$C222,$E$5+$E222,0),2),2)*10&lt;=ROUND(Q$6+IF(Q$5=$C222,$E$5+$E222,0),2)),ROUND(S221+R222,2),MIN(ROUND(Q$6+IF(Q$5=$C222,$E$5+$E222,0),2),ROUND(S221+R222,2))),0)</f>
        <v>0</v>
      </c>
      <c r="R222" s="24">
        <f>IF(S221&gt;0,ROUND(ROUND(S221*100,0)*ROUND(Q$7*10000,0)/12000000,0)/100,0)</f>
        <v>0</v>
      </c>
      <c r="S222" s="24">
        <f>IF(S221&gt;0,ROUND(S221+R222-Q222,2),0)</f>
        <v>0</v>
      </c>
      <c r="T222" s="24">
        <f>IF(S221&gt;0,ROUND(T221+ROUND(ROUND(T221*100,0)*ROUND(Q$7*10000,0)/12000000,0)/100+0.02,2),0)</f>
        <v>0</v>
      </c>
      <c r="U222" s="24">
        <f>IF(W221&gt;0,IF(AND(ROUND(W221+V222-ROUND(U$6+IF(U$5=$C222,$E$5+$E222,0),2),2)&gt;0,ROUND(W221+V222-ROUND(U$6+IF(U$5=$C222,$E$5+$E222,0),2),2)&lt;=X222,ROUND(W221+V222-ROUND(U$6+IF(U$5=$C222,$E$5+$E222,0),2),2)*10&lt;=ROUND(U$6+IF(U$5=$C222,$E$5+$E222,0),2)),ROUND(W221+V222,2),MIN(ROUND(U$6+IF(U$5=$C222,$E$5+$E222,0),2),ROUND(W221+V222,2))),0)</f>
        <v>0</v>
      </c>
      <c r="V222" s="24">
        <f>IF(W221&gt;0,ROUND(ROUND(W221*100,0)*ROUND(U$7*10000,0)/12000000,0)/100,0)</f>
        <v>0</v>
      </c>
      <c r="W222" s="24">
        <f>IF(W221&gt;0,ROUND(W221+V222-U222,2),0)</f>
        <v>0</v>
      </c>
      <c r="X222" s="24">
        <f>IF(W221&gt;0,ROUND(X221+ROUND(ROUND(X221*100,0)*ROUND(U$7*10000,0)/12000000,0)/100+0.02,2),0)</f>
        <v>0</v>
      </c>
      <c r="Y222" s="24">
        <f>IF(AA221&gt;0,IF(AND(ROUND(AA221+Z222-ROUND(Y$6+IF(Y$5=$C222,$E$5+$E222,0),2),2)&gt;0,ROUND(AA221+Z222-ROUND(Y$6+IF(Y$5=$C222,$E$5+$E222,0),2),2)&lt;=AB222,ROUND(AA221+Z222-ROUND(Y$6+IF(Y$5=$C222,$E$5+$E222,0),2),2)*10&lt;=ROUND(Y$6+IF(Y$5=$C222,$E$5+$E222,0),2)),ROUND(AA221+Z222,2),MIN(ROUND(Y$6+IF(Y$5=$C222,$E$5+$E222,0),2),ROUND(AA221+Z222,2))),0)</f>
        <v>0</v>
      </c>
      <c r="Z222" s="24">
        <f>IF(AA221&gt;0,ROUND(ROUND(AA221*100,0)*ROUND(Y$7*10000,0)/12000000,0)/100,0)</f>
        <v>0</v>
      </c>
      <c r="AA222" s="24">
        <f>IF(AA221&gt;0,ROUND(AA221+Z222-Y222,2),0)</f>
        <v>0</v>
      </c>
      <c r="AB222" s="24">
        <f>IF(AA221&gt;0,ROUND(AB221+ROUND(ROUND(AB221*100,0)*ROUND(Y$7*10000,0)/12000000,0)/100+0.02,2),0)</f>
        <v>0</v>
      </c>
      <c r="AC222" s="24">
        <f>IF(AE221&gt;0,IF(AND(ROUND(AE221+AD222-ROUND(AC$6+IF(AC$5=$C222,$E$5+$E222,0),2),2)&gt;0,ROUND(AE221+AD222-ROUND(AC$6+IF(AC$5=$C222,$E$5+$E222,0),2),2)&lt;=AF222,ROUND(AE221+AD222-ROUND(AC$6+IF(AC$5=$C222,$E$5+$E222,0),2),2)*10&lt;=ROUND(AC$6+IF(AC$5=$C222,$E$5+$E222,0),2)),ROUND(AE221+AD222,2),MIN(ROUND(AC$6+IF(AC$5=$C222,$E$5+$E222,0),2),ROUND(AE221+AD222,2))),0)</f>
        <v>0</v>
      </c>
      <c r="AD222" s="24">
        <f>IF(AE221&gt;0,ROUND(ROUND(AE221*100,0)*ROUND(AC$7*10000,0)/12000000,0)/100,0)</f>
        <v>0</v>
      </c>
      <c r="AE222" s="24">
        <f>IF(AE221&gt;0,ROUND(AE221+AD222-AC222,2),0)</f>
        <v>0</v>
      </c>
      <c r="AF222" s="24">
        <f>IF(AE221&gt;0,ROUND(AF221+ROUND(ROUND(AF221*100,0)*ROUND(AC$7*10000,0)/12000000,0)/100+0.02,2),0)</f>
        <v>0</v>
      </c>
      <c r="AG222" s="24">
        <f>IF(AI221&gt;0,IF(AND(ROUND(AI221+AH222-ROUND(AG$6+IF(AG$5=$C222,$E$5+$E222,0),2),2)&gt;0,ROUND(AI221+AH222-ROUND(AG$6+IF(AG$5=$C222,$E$5+$E222,0),2),2)&lt;=AJ222,ROUND(AI221+AH222-ROUND(AG$6+IF(AG$5=$C222,$E$5+$E222,0),2),2)*10&lt;=ROUND(AG$6+IF(AG$5=$C222,$E$5+$E222,0),2)),ROUND(AI221+AH222,2),MIN(ROUND(AG$6+IF(AG$5=$C222,$E$5+$E222,0),2),ROUND(AI221+AH222,2))),0)</f>
        <v>0</v>
      </c>
      <c r="AH222" s="24">
        <f>IF(AI221&gt;0,ROUND(ROUND(AI221*100,0)*ROUND(AG$7*10000,0)/12000000,0)/100,0)</f>
        <v>0</v>
      </c>
      <c r="AI222" s="24">
        <f>IF(AI221&gt;0,ROUND(AI221+AH222-AG222,2),0)</f>
        <v>0</v>
      </c>
      <c r="AJ222" s="24">
        <f>IF(AI221&gt;0,ROUND(AJ221+ROUND(ROUND(AJ221*100,0)*ROUND(AG$7*10000,0)/12000000,0)/100+0.02,2),0)</f>
        <v>0</v>
      </c>
      <c r="AK222" s="24">
        <f>IF(AM221&gt;0,IF(AND(ROUND(AM221+AL222-ROUND(AK$6+IF(AK$5=$C222,$E$5+$E222,0),2),2)&gt;0,ROUND(AM221+AL222-ROUND(AK$6+IF(AK$5=$C222,$E$5+$E222,0),2),2)&lt;=AN222,ROUND(AM221+AL222-ROUND(AK$6+IF(AK$5=$C222,$E$5+$E222,0),2),2)*10&lt;=ROUND(AK$6+IF(AK$5=$C222,$E$5+$E222,0),2)),ROUND(AM221+AL222,2),MIN(ROUND(AK$6+IF(AK$5=$C222,$E$5+$E222,0),2),ROUND(AM221+AL222,2))),0)</f>
        <v>0</v>
      </c>
      <c r="AL222" s="24">
        <f>IF(AM221&gt;0,ROUND(ROUND(AM221*100,0)*ROUND(AK$7*10000,0)/12000000,0)/100,0)</f>
        <v>0</v>
      </c>
      <c r="AM222" s="24">
        <f>IF(AM221&gt;0,ROUND(AM221+AL222-AK222,2),0)</f>
        <v>0</v>
      </c>
      <c r="AN222" s="24">
        <f>IF(AM221&gt;0,ROUND(AN221+ROUND(ROUND(AN221*100,0)*ROUND(AK$7*10000,0)/12000000,0)/100+0.02,2),0)</f>
        <v>0</v>
      </c>
      <c r="AO222" s="24">
        <f>IF(AQ221&gt;0,IF(AND(ROUND(AQ221+AP222-ROUND(AO$6+IF(AO$5=$C222,$E$5+$E222,0),2),2)&gt;0,ROUND(AQ221+AP222-ROUND(AO$6+IF(AO$5=$C222,$E$5+$E222,0),2),2)&lt;=AR222,ROUND(AQ221+AP222-ROUND(AO$6+IF(AO$5=$C222,$E$5+$E222,0),2),2)*10&lt;=ROUND(AO$6+IF(AO$5=$C222,$E$5+$E222,0),2)),ROUND(AQ221+AP222,2),MIN(ROUND(AO$6+IF(AO$5=$C222,$E$5+$E222,0),2),ROUND(AQ221+AP222,2))),0)</f>
        <v>0</v>
      </c>
      <c r="AP222" s="24">
        <f>IF(AQ221&gt;0,ROUND(ROUND(AQ221*100,0)*ROUND(AO$7*10000,0)/12000000,0)/100,0)</f>
        <v>0</v>
      </c>
      <c r="AQ222" s="24">
        <f>IF(AQ221&gt;0,ROUND(AQ221+AP222-AO222,2),0)</f>
        <v>0</v>
      </c>
      <c r="AR222" s="24">
        <f>IF(AQ221&gt;0,ROUND(AR221+ROUND(ROUND(AR221*100,0)*ROUND(AO$7*10000,0)/12000000,0)/100+0.02,2),0)</f>
        <v>0</v>
      </c>
      <c r="AS222" s="24">
        <f>IF(AU221&gt;0,IF(AND(ROUND(AU221+AT222-ROUND(AS$6+IF(AS$5=$C222,$E$5+$E222,0),2),2)&gt;0,ROUND(AU221+AT222-ROUND(AS$6+IF(AS$5=$C222,$E$5+$E222,0),2),2)&lt;=AV222,ROUND(AU221+AT222-ROUND(AS$6+IF(AS$5=$C222,$E$5+$E222,0),2),2)*10&lt;=ROUND(AS$6+IF(AS$5=$C222,$E$5+$E222,0),2)),ROUND(AU221+AT222,2),MIN(ROUND(AS$6+IF(AS$5=$C222,$E$5+$E222,0),2),ROUND(AU221+AT222,2))),0)</f>
        <v>0</v>
      </c>
      <c r="AT222" s="24">
        <f>IF(AU221&gt;0,ROUND(ROUND(AU221*100,0)*ROUND(AS$7*10000,0)/12000000,0)/100,0)</f>
        <v>0</v>
      </c>
      <c r="AU222" s="24">
        <f>IF(AU221&gt;0,ROUND(AU221+AT222-AS222,2),0)</f>
        <v>0</v>
      </c>
      <c r="AV222" s="24">
        <f>IF(AU221&gt;0,ROUND(AV221+ROUND(ROUND(AV221*100,0)*ROUND(AS$7*10000,0)/12000000,0)/100+0.02,2),0)</f>
        <v>0</v>
      </c>
    </row>
    <row r="223" spans="1:48" x14ac:dyDescent="0.25">
      <c r="A223" s="17" t="str">
        <f>IF(F223&gt;0,213,"")</f>
        <v/>
      </c>
      <c r="B223" s="18" t="str">
        <f>IF(F223&gt;0,EDATE($E$6,213),"")</f>
        <v/>
      </c>
      <c r="C223" s="21">
        <f>IF(H222&gt;0,MIN(IF(K222&gt;0,I$5,99),IF(O222&gt;0,M$5,99),IF(S222&gt;0,Q$5,99),IF(W222&gt;0,U$5,99),IF(AA222&gt;0,Y$5,99),IF(AE222&gt;0,AC$5,99),IF(AI222&gt;0,AG$5,99),IF(AM222&gt;0,AK$5,99),IF(AQ222&gt;0,AO$5,99),IF(AU222&gt;0,AS$5,99)),0)</f>
        <v>0</v>
      </c>
      <c r="D223" t="str">
        <f>IF(C223&gt;0,INDEX($I$4:$AV$4,1,MATCH(C223,$I$5:$AV$5,0)),"")</f>
        <v/>
      </c>
      <c r="E223" s="24">
        <f>ROUND(IF(AND(I$8&gt;0,K222=0),I$6,0)+IF(AND(M$8&gt;0,O222=0),M$6,0)+IF(AND(Q$8&gt;0,S222=0),Q$6,0)+IF(AND(U$8&gt;0,W222=0),U$6,0)+IF(AND(Y$8&gt;0,AA222=0),Y$6,0)+IF(AND(AC$8&gt;0,AE222=0),AC$6,0)+IF(AND(AG$8&gt;0,AI222=0),AG$6,0)+IF(AND(AK$8&gt;0,AM222=0),AK$6,0)+IF(AND(AO$8&gt;0,AQ222=0),AO$6,0)+IF(AND(AS$8&gt;0,AU222=0),AS$6,0),2)</f>
        <v>325</v>
      </c>
      <c r="F223" s="24">
        <f>ROUND(I223+M223+Q223+U223+Y223+AC223+AG223+AK223+AO223+AS223,2)</f>
        <v>0</v>
      </c>
      <c r="G223" s="24">
        <f>ROUND(J223+N223+R223+V223+Z223+AD223+AH223+AL223+AP223+AT223,2)</f>
        <v>0</v>
      </c>
      <c r="H223" s="24">
        <f>ROUND(K223+O223+S223+W223+AA223+AE223+AI223+AM223+AQ223+AU223,2)</f>
        <v>0</v>
      </c>
      <c r="I223" s="24">
        <f>IF(K222&gt;0,IF(AND(ROUND(K222+J223-ROUND(I$6+IF(I$5=$C223,$E$5+$E223,0),2),2)&gt;0,ROUND(K222+J223-ROUND(I$6+IF(I$5=$C223,$E$5+$E223,0),2),2)&lt;=L223,ROUND(K222+J223-ROUND(I$6+IF(I$5=$C223,$E$5+$E223,0),2),2)*10&lt;=ROUND(I$6+IF(I$5=$C223,$E$5+$E223,0),2)),ROUND(K222+J223,2),MIN(ROUND(I$6+IF(I$5=$C223,$E$5+$E223,0),2),ROUND(K222+J223,2))),0)</f>
        <v>0</v>
      </c>
      <c r="J223" s="24">
        <f>IF(K222&gt;0,ROUND(ROUND(K222*100,0)*ROUND(I$7*10000,0)/12000000,0)/100,0)</f>
        <v>0</v>
      </c>
      <c r="K223" s="24">
        <f>IF(K222&gt;0,ROUND(K222+J223-I223,2),0)</f>
        <v>0</v>
      </c>
      <c r="L223" s="24">
        <f>IF(K222&gt;0,ROUND(L222+ROUND(ROUND(L222*100,0)*ROUND(I$7*10000,0)/12000000,0)/100+0.02,2),0)</f>
        <v>0</v>
      </c>
      <c r="M223" s="24">
        <f>IF(O222&gt;0,IF(AND(ROUND(O222+N223-ROUND(M$6+IF(M$5=$C223,$E$5+$E223,0),2),2)&gt;0,ROUND(O222+N223-ROUND(M$6+IF(M$5=$C223,$E$5+$E223,0),2),2)&lt;=P223,ROUND(O222+N223-ROUND(M$6+IF(M$5=$C223,$E$5+$E223,0),2),2)*10&lt;=ROUND(M$6+IF(M$5=$C223,$E$5+$E223,0),2)),ROUND(O222+N223,2),MIN(ROUND(M$6+IF(M$5=$C223,$E$5+$E223,0),2),ROUND(O222+N223,2))),0)</f>
        <v>0</v>
      </c>
      <c r="N223" s="24">
        <f>IF(O222&gt;0,ROUND(ROUND(O222*100,0)*ROUND(M$7*10000,0)/12000000,0)/100,0)</f>
        <v>0</v>
      </c>
      <c r="O223" s="24">
        <f>IF(O222&gt;0,ROUND(O222+N223-M223,2),0)</f>
        <v>0</v>
      </c>
      <c r="P223" s="24">
        <f>IF(O222&gt;0,ROUND(P222+ROUND(ROUND(P222*100,0)*ROUND(M$7*10000,0)/12000000,0)/100+0.02,2),0)</f>
        <v>0</v>
      </c>
      <c r="Q223" s="24">
        <f>IF(S222&gt;0,IF(AND(ROUND(S222+R223-ROUND(Q$6+IF(Q$5=$C223,$E$5+$E223,0),2),2)&gt;0,ROUND(S222+R223-ROUND(Q$6+IF(Q$5=$C223,$E$5+$E223,0),2),2)&lt;=T223,ROUND(S222+R223-ROUND(Q$6+IF(Q$5=$C223,$E$5+$E223,0),2),2)*10&lt;=ROUND(Q$6+IF(Q$5=$C223,$E$5+$E223,0),2)),ROUND(S222+R223,2),MIN(ROUND(Q$6+IF(Q$5=$C223,$E$5+$E223,0),2),ROUND(S222+R223,2))),0)</f>
        <v>0</v>
      </c>
      <c r="R223" s="24">
        <f>IF(S222&gt;0,ROUND(ROUND(S222*100,0)*ROUND(Q$7*10000,0)/12000000,0)/100,0)</f>
        <v>0</v>
      </c>
      <c r="S223" s="24">
        <f>IF(S222&gt;0,ROUND(S222+R223-Q223,2),0)</f>
        <v>0</v>
      </c>
      <c r="T223" s="24">
        <f>IF(S222&gt;0,ROUND(T222+ROUND(ROUND(T222*100,0)*ROUND(Q$7*10000,0)/12000000,0)/100+0.02,2),0)</f>
        <v>0</v>
      </c>
      <c r="U223" s="24">
        <f>IF(W222&gt;0,IF(AND(ROUND(W222+V223-ROUND(U$6+IF(U$5=$C223,$E$5+$E223,0),2),2)&gt;0,ROUND(W222+V223-ROUND(U$6+IF(U$5=$C223,$E$5+$E223,0),2),2)&lt;=X223,ROUND(W222+V223-ROUND(U$6+IF(U$5=$C223,$E$5+$E223,0),2),2)*10&lt;=ROUND(U$6+IF(U$5=$C223,$E$5+$E223,0),2)),ROUND(W222+V223,2),MIN(ROUND(U$6+IF(U$5=$C223,$E$5+$E223,0),2),ROUND(W222+V223,2))),0)</f>
        <v>0</v>
      </c>
      <c r="V223" s="24">
        <f>IF(W222&gt;0,ROUND(ROUND(W222*100,0)*ROUND(U$7*10000,0)/12000000,0)/100,0)</f>
        <v>0</v>
      </c>
      <c r="W223" s="24">
        <f>IF(W222&gt;0,ROUND(W222+V223-U223,2),0)</f>
        <v>0</v>
      </c>
      <c r="X223" s="24">
        <f>IF(W222&gt;0,ROUND(X222+ROUND(ROUND(X222*100,0)*ROUND(U$7*10000,0)/12000000,0)/100+0.02,2),0)</f>
        <v>0</v>
      </c>
      <c r="Y223" s="24">
        <f>IF(AA222&gt;0,IF(AND(ROUND(AA222+Z223-ROUND(Y$6+IF(Y$5=$C223,$E$5+$E223,0),2),2)&gt;0,ROUND(AA222+Z223-ROUND(Y$6+IF(Y$5=$C223,$E$5+$E223,0),2),2)&lt;=AB223,ROUND(AA222+Z223-ROUND(Y$6+IF(Y$5=$C223,$E$5+$E223,0),2),2)*10&lt;=ROUND(Y$6+IF(Y$5=$C223,$E$5+$E223,0),2)),ROUND(AA222+Z223,2),MIN(ROUND(Y$6+IF(Y$5=$C223,$E$5+$E223,0),2),ROUND(AA222+Z223,2))),0)</f>
        <v>0</v>
      </c>
      <c r="Z223" s="24">
        <f>IF(AA222&gt;0,ROUND(ROUND(AA222*100,0)*ROUND(Y$7*10000,0)/12000000,0)/100,0)</f>
        <v>0</v>
      </c>
      <c r="AA223" s="24">
        <f>IF(AA222&gt;0,ROUND(AA222+Z223-Y223,2),0)</f>
        <v>0</v>
      </c>
      <c r="AB223" s="24">
        <f>IF(AA222&gt;0,ROUND(AB222+ROUND(ROUND(AB222*100,0)*ROUND(Y$7*10000,0)/12000000,0)/100+0.02,2),0)</f>
        <v>0</v>
      </c>
      <c r="AC223" s="24">
        <f>IF(AE222&gt;0,IF(AND(ROUND(AE222+AD223-ROUND(AC$6+IF(AC$5=$C223,$E$5+$E223,0),2),2)&gt;0,ROUND(AE222+AD223-ROUND(AC$6+IF(AC$5=$C223,$E$5+$E223,0),2),2)&lt;=AF223,ROUND(AE222+AD223-ROUND(AC$6+IF(AC$5=$C223,$E$5+$E223,0),2),2)*10&lt;=ROUND(AC$6+IF(AC$5=$C223,$E$5+$E223,0),2)),ROUND(AE222+AD223,2),MIN(ROUND(AC$6+IF(AC$5=$C223,$E$5+$E223,0),2),ROUND(AE222+AD223,2))),0)</f>
        <v>0</v>
      </c>
      <c r="AD223" s="24">
        <f>IF(AE222&gt;0,ROUND(ROUND(AE222*100,0)*ROUND(AC$7*10000,0)/12000000,0)/100,0)</f>
        <v>0</v>
      </c>
      <c r="AE223" s="24">
        <f>IF(AE222&gt;0,ROUND(AE222+AD223-AC223,2),0)</f>
        <v>0</v>
      </c>
      <c r="AF223" s="24">
        <f>IF(AE222&gt;0,ROUND(AF222+ROUND(ROUND(AF222*100,0)*ROUND(AC$7*10000,0)/12000000,0)/100+0.02,2),0)</f>
        <v>0</v>
      </c>
      <c r="AG223" s="24">
        <f>IF(AI222&gt;0,IF(AND(ROUND(AI222+AH223-ROUND(AG$6+IF(AG$5=$C223,$E$5+$E223,0),2),2)&gt;0,ROUND(AI222+AH223-ROUND(AG$6+IF(AG$5=$C223,$E$5+$E223,0),2),2)&lt;=AJ223,ROUND(AI222+AH223-ROUND(AG$6+IF(AG$5=$C223,$E$5+$E223,0),2),2)*10&lt;=ROUND(AG$6+IF(AG$5=$C223,$E$5+$E223,0),2)),ROUND(AI222+AH223,2),MIN(ROUND(AG$6+IF(AG$5=$C223,$E$5+$E223,0),2),ROUND(AI222+AH223,2))),0)</f>
        <v>0</v>
      </c>
      <c r="AH223" s="24">
        <f>IF(AI222&gt;0,ROUND(ROUND(AI222*100,0)*ROUND(AG$7*10000,0)/12000000,0)/100,0)</f>
        <v>0</v>
      </c>
      <c r="AI223" s="24">
        <f>IF(AI222&gt;0,ROUND(AI222+AH223-AG223,2),0)</f>
        <v>0</v>
      </c>
      <c r="AJ223" s="24">
        <f>IF(AI222&gt;0,ROUND(AJ222+ROUND(ROUND(AJ222*100,0)*ROUND(AG$7*10000,0)/12000000,0)/100+0.02,2),0)</f>
        <v>0</v>
      </c>
      <c r="AK223" s="24">
        <f>IF(AM222&gt;0,IF(AND(ROUND(AM222+AL223-ROUND(AK$6+IF(AK$5=$C223,$E$5+$E223,0),2),2)&gt;0,ROUND(AM222+AL223-ROUND(AK$6+IF(AK$5=$C223,$E$5+$E223,0),2),2)&lt;=AN223,ROUND(AM222+AL223-ROUND(AK$6+IF(AK$5=$C223,$E$5+$E223,0),2),2)*10&lt;=ROUND(AK$6+IF(AK$5=$C223,$E$5+$E223,0),2)),ROUND(AM222+AL223,2),MIN(ROUND(AK$6+IF(AK$5=$C223,$E$5+$E223,0),2),ROUND(AM222+AL223,2))),0)</f>
        <v>0</v>
      </c>
      <c r="AL223" s="24">
        <f>IF(AM222&gt;0,ROUND(ROUND(AM222*100,0)*ROUND(AK$7*10000,0)/12000000,0)/100,0)</f>
        <v>0</v>
      </c>
      <c r="AM223" s="24">
        <f>IF(AM222&gt;0,ROUND(AM222+AL223-AK223,2),0)</f>
        <v>0</v>
      </c>
      <c r="AN223" s="24">
        <f>IF(AM222&gt;0,ROUND(AN222+ROUND(ROUND(AN222*100,0)*ROUND(AK$7*10000,0)/12000000,0)/100+0.02,2),0)</f>
        <v>0</v>
      </c>
      <c r="AO223" s="24">
        <f>IF(AQ222&gt;0,IF(AND(ROUND(AQ222+AP223-ROUND(AO$6+IF(AO$5=$C223,$E$5+$E223,0),2),2)&gt;0,ROUND(AQ222+AP223-ROUND(AO$6+IF(AO$5=$C223,$E$5+$E223,0),2),2)&lt;=AR223,ROUND(AQ222+AP223-ROUND(AO$6+IF(AO$5=$C223,$E$5+$E223,0),2),2)*10&lt;=ROUND(AO$6+IF(AO$5=$C223,$E$5+$E223,0),2)),ROUND(AQ222+AP223,2),MIN(ROUND(AO$6+IF(AO$5=$C223,$E$5+$E223,0),2),ROUND(AQ222+AP223,2))),0)</f>
        <v>0</v>
      </c>
      <c r="AP223" s="24">
        <f>IF(AQ222&gt;0,ROUND(ROUND(AQ222*100,0)*ROUND(AO$7*10000,0)/12000000,0)/100,0)</f>
        <v>0</v>
      </c>
      <c r="AQ223" s="24">
        <f>IF(AQ222&gt;0,ROUND(AQ222+AP223-AO223,2),0)</f>
        <v>0</v>
      </c>
      <c r="AR223" s="24">
        <f>IF(AQ222&gt;0,ROUND(AR222+ROUND(ROUND(AR222*100,0)*ROUND(AO$7*10000,0)/12000000,0)/100+0.02,2),0)</f>
        <v>0</v>
      </c>
      <c r="AS223" s="24">
        <f>IF(AU222&gt;0,IF(AND(ROUND(AU222+AT223-ROUND(AS$6+IF(AS$5=$C223,$E$5+$E223,0),2),2)&gt;0,ROUND(AU222+AT223-ROUND(AS$6+IF(AS$5=$C223,$E$5+$E223,0),2),2)&lt;=AV223,ROUND(AU222+AT223-ROUND(AS$6+IF(AS$5=$C223,$E$5+$E223,0),2),2)*10&lt;=ROUND(AS$6+IF(AS$5=$C223,$E$5+$E223,0),2)),ROUND(AU222+AT223,2),MIN(ROUND(AS$6+IF(AS$5=$C223,$E$5+$E223,0),2),ROUND(AU222+AT223,2))),0)</f>
        <v>0</v>
      </c>
      <c r="AT223" s="24">
        <f>IF(AU222&gt;0,ROUND(ROUND(AU222*100,0)*ROUND(AS$7*10000,0)/12000000,0)/100,0)</f>
        <v>0</v>
      </c>
      <c r="AU223" s="24">
        <f>IF(AU222&gt;0,ROUND(AU222+AT223-AS223,2),0)</f>
        <v>0</v>
      </c>
      <c r="AV223" s="24">
        <f>IF(AU222&gt;0,ROUND(AV222+ROUND(ROUND(AV222*100,0)*ROUND(AS$7*10000,0)/12000000,0)/100+0.02,2),0)</f>
        <v>0</v>
      </c>
    </row>
    <row r="224" spans="1:48" x14ac:dyDescent="0.25">
      <c r="A224" s="17" t="str">
        <f>IF(F224&gt;0,214,"")</f>
        <v/>
      </c>
      <c r="B224" s="18" t="str">
        <f>IF(F224&gt;0,EDATE($E$6,214),"")</f>
        <v/>
      </c>
      <c r="C224" s="21">
        <f>IF(H223&gt;0,MIN(IF(K223&gt;0,I$5,99),IF(O223&gt;0,M$5,99),IF(S223&gt;0,Q$5,99),IF(W223&gt;0,U$5,99),IF(AA223&gt;0,Y$5,99),IF(AE223&gt;0,AC$5,99),IF(AI223&gt;0,AG$5,99),IF(AM223&gt;0,AK$5,99),IF(AQ223&gt;0,AO$5,99),IF(AU223&gt;0,AS$5,99)),0)</f>
        <v>0</v>
      </c>
      <c r="D224" t="str">
        <f>IF(C224&gt;0,INDEX($I$4:$AV$4,1,MATCH(C224,$I$5:$AV$5,0)),"")</f>
        <v/>
      </c>
      <c r="E224" s="24">
        <f>ROUND(IF(AND(I$8&gt;0,K223=0),I$6,0)+IF(AND(M$8&gt;0,O223=0),M$6,0)+IF(AND(Q$8&gt;0,S223=0),Q$6,0)+IF(AND(U$8&gt;0,W223=0),U$6,0)+IF(AND(Y$8&gt;0,AA223=0),Y$6,0)+IF(AND(AC$8&gt;0,AE223=0),AC$6,0)+IF(AND(AG$8&gt;0,AI223=0),AG$6,0)+IF(AND(AK$8&gt;0,AM223=0),AK$6,0)+IF(AND(AO$8&gt;0,AQ223=0),AO$6,0)+IF(AND(AS$8&gt;0,AU223=0),AS$6,0),2)</f>
        <v>325</v>
      </c>
      <c r="F224" s="24">
        <f>ROUND(I224+M224+Q224+U224+Y224+AC224+AG224+AK224+AO224+AS224,2)</f>
        <v>0</v>
      </c>
      <c r="G224" s="24">
        <f>ROUND(J224+N224+R224+V224+Z224+AD224+AH224+AL224+AP224+AT224,2)</f>
        <v>0</v>
      </c>
      <c r="H224" s="24">
        <f>ROUND(K224+O224+S224+W224+AA224+AE224+AI224+AM224+AQ224+AU224,2)</f>
        <v>0</v>
      </c>
      <c r="I224" s="24">
        <f>IF(K223&gt;0,IF(AND(ROUND(K223+J224-ROUND(I$6+IF(I$5=$C224,$E$5+$E224,0),2),2)&gt;0,ROUND(K223+J224-ROUND(I$6+IF(I$5=$C224,$E$5+$E224,0),2),2)&lt;=L224,ROUND(K223+J224-ROUND(I$6+IF(I$5=$C224,$E$5+$E224,0),2),2)*10&lt;=ROUND(I$6+IF(I$5=$C224,$E$5+$E224,0),2)),ROUND(K223+J224,2),MIN(ROUND(I$6+IF(I$5=$C224,$E$5+$E224,0),2),ROUND(K223+J224,2))),0)</f>
        <v>0</v>
      </c>
      <c r="J224" s="24">
        <f>IF(K223&gt;0,ROUND(ROUND(K223*100,0)*ROUND(I$7*10000,0)/12000000,0)/100,0)</f>
        <v>0</v>
      </c>
      <c r="K224" s="24">
        <f>IF(K223&gt;0,ROUND(K223+J224-I224,2),0)</f>
        <v>0</v>
      </c>
      <c r="L224" s="24">
        <f>IF(K223&gt;0,ROUND(L223+ROUND(ROUND(L223*100,0)*ROUND(I$7*10000,0)/12000000,0)/100+0.02,2),0)</f>
        <v>0</v>
      </c>
      <c r="M224" s="24">
        <f>IF(O223&gt;0,IF(AND(ROUND(O223+N224-ROUND(M$6+IF(M$5=$C224,$E$5+$E224,0),2),2)&gt;0,ROUND(O223+N224-ROUND(M$6+IF(M$5=$C224,$E$5+$E224,0),2),2)&lt;=P224,ROUND(O223+N224-ROUND(M$6+IF(M$5=$C224,$E$5+$E224,0),2),2)*10&lt;=ROUND(M$6+IF(M$5=$C224,$E$5+$E224,0),2)),ROUND(O223+N224,2),MIN(ROUND(M$6+IF(M$5=$C224,$E$5+$E224,0),2),ROUND(O223+N224,2))),0)</f>
        <v>0</v>
      </c>
      <c r="N224" s="24">
        <f>IF(O223&gt;0,ROUND(ROUND(O223*100,0)*ROUND(M$7*10000,0)/12000000,0)/100,0)</f>
        <v>0</v>
      </c>
      <c r="O224" s="24">
        <f>IF(O223&gt;0,ROUND(O223+N224-M224,2),0)</f>
        <v>0</v>
      </c>
      <c r="P224" s="24">
        <f>IF(O223&gt;0,ROUND(P223+ROUND(ROUND(P223*100,0)*ROUND(M$7*10000,0)/12000000,0)/100+0.02,2),0)</f>
        <v>0</v>
      </c>
      <c r="Q224" s="24">
        <f>IF(S223&gt;0,IF(AND(ROUND(S223+R224-ROUND(Q$6+IF(Q$5=$C224,$E$5+$E224,0),2),2)&gt;0,ROUND(S223+R224-ROUND(Q$6+IF(Q$5=$C224,$E$5+$E224,0),2),2)&lt;=T224,ROUND(S223+R224-ROUND(Q$6+IF(Q$5=$C224,$E$5+$E224,0),2),2)*10&lt;=ROUND(Q$6+IF(Q$5=$C224,$E$5+$E224,0),2)),ROUND(S223+R224,2),MIN(ROUND(Q$6+IF(Q$5=$C224,$E$5+$E224,0),2),ROUND(S223+R224,2))),0)</f>
        <v>0</v>
      </c>
      <c r="R224" s="24">
        <f>IF(S223&gt;0,ROUND(ROUND(S223*100,0)*ROUND(Q$7*10000,0)/12000000,0)/100,0)</f>
        <v>0</v>
      </c>
      <c r="S224" s="24">
        <f>IF(S223&gt;0,ROUND(S223+R224-Q224,2),0)</f>
        <v>0</v>
      </c>
      <c r="T224" s="24">
        <f>IF(S223&gt;0,ROUND(T223+ROUND(ROUND(T223*100,0)*ROUND(Q$7*10000,0)/12000000,0)/100+0.02,2),0)</f>
        <v>0</v>
      </c>
      <c r="U224" s="24">
        <f>IF(W223&gt;0,IF(AND(ROUND(W223+V224-ROUND(U$6+IF(U$5=$C224,$E$5+$E224,0),2),2)&gt;0,ROUND(W223+V224-ROUND(U$6+IF(U$5=$C224,$E$5+$E224,0),2),2)&lt;=X224,ROUND(W223+V224-ROUND(U$6+IF(U$5=$C224,$E$5+$E224,0),2),2)*10&lt;=ROUND(U$6+IF(U$5=$C224,$E$5+$E224,0),2)),ROUND(W223+V224,2),MIN(ROUND(U$6+IF(U$5=$C224,$E$5+$E224,0),2),ROUND(W223+V224,2))),0)</f>
        <v>0</v>
      </c>
      <c r="V224" s="24">
        <f>IF(W223&gt;0,ROUND(ROUND(W223*100,0)*ROUND(U$7*10000,0)/12000000,0)/100,0)</f>
        <v>0</v>
      </c>
      <c r="W224" s="24">
        <f>IF(W223&gt;0,ROUND(W223+V224-U224,2),0)</f>
        <v>0</v>
      </c>
      <c r="X224" s="24">
        <f>IF(W223&gt;0,ROUND(X223+ROUND(ROUND(X223*100,0)*ROUND(U$7*10000,0)/12000000,0)/100+0.02,2),0)</f>
        <v>0</v>
      </c>
      <c r="Y224" s="24">
        <f>IF(AA223&gt;0,IF(AND(ROUND(AA223+Z224-ROUND(Y$6+IF(Y$5=$C224,$E$5+$E224,0),2),2)&gt;0,ROUND(AA223+Z224-ROUND(Y$6+IF(Y$5=$C224,$E$5+$E224,0),2),2)&lt;=AB224,ROUND(AA223+Z224-ROUND(Y$6+IF(Y$5=$C224,$E$5+$E224,0),2),2)*10&lt;=ROUND(Y$6+IF(Y$5=$C224,$E$5+$E224,0),2)),ROUND(AA223+Z224,2),MIN(ROUND(Y$6+IF(Y$5=$C224,$E$5+$E224,0),2),ROUND(AA223+Z224,2))),0)</f>
        <v>0</v>
      </c>
      <c r="Z224" s="24">
        <f>IF(AA223&gt;0,ROUND(ROUND(AA223*100,0)*ROUND(Y$7*10000,0)/12000000,0)/100,0)</f>
        <v>0</v>
      </c>
      <c r="AA224" s="24">
        <f>IF(AA223&gt;0,ROUND(AA223+Z224-Y224,2),0)</f>
        <v>0</v>
      </c>
      <c r="AB224" s="24">
        <f>IF(AA223&gt;0,ROUND(AB223+ROUND(ROUND(AB223*100,0)*ROUND(Y$7*10000,0)/12000000,0)/100+0.02,2),0)</f>
        <v>0</v>
      </c>
      <c r="AC224" s="24">
        <f>IF(AE223&gt;0,IF(AND(ROUND(AE223+AD224-ROUND(AC$6+IF(AC$5=$C224,$E$5+$E224,0),2),2)&gt;0,ROUND(AE223+AD224-ROUND(AC$6+IF(AC$5=$C224,$E$5+$E224,0),2),2)&lt;=AF224,ROUND(AE223+AD224-ROUND(AC$6+IF(AC$5=$C224,$E$5+$E224,0),2),2)*10&lt;=ROUND(AC$6+IF(AC$5=$C224,$E$5+$E224,0),2)),ROUND(AE223+AD224,2),MIN(ROUND(AC$6+IF(AC$5=$C224,$E$5+$E224,0),2),ROUND(AE223+AD224,2))),0)</f>
        <v>0</v>
      </c>
      <c r="AD224" s="24">
        <f>IF(AE223&gt;0,ROUND(ROUND(AE223*100,0)*ROUND(AC$7*10000,0)/12000000,0)/100,0)</f>
        <v>0</v>
      </c>
      <c r="AE224" s="24">
        <f>IF(AE223&gt;0,ROUND(AE223+AD224-AC224,2),0)</f>
        <v>0</v>
      </c>
      <c r="AF224" s="24">
        <f>IF(AE223&gt;0,ROUND(AF223+ROUND(ROUND(AF223*100,0)*ROUND(AC$7*10000,0)/12000000,0)/100+0.02,2),0)</f>
        <v>0</v>
      </c>
      <c r="AG224" s="24">
        <f>IF(AI223&gt;0,IF(AND(ROUND(AI223+AH224-ROUND(AG$6+IF(AG$5=$C224,$E$5+$E224,0),2),2)&gt;0,ROUND(AI223+AH224-ROUND(AG$6+IF(AG$5=$C224,$E$5+$E224,0),2),2)&lt;=AJ224,ROUND(AI223+AH224-ROUND(AG$6+IF(AG$5=$C224,$E$5+$E224,0),2),2)*10&lt;=ROUND(AG$6+IF(AG$5=$C224,$E$5+$E224,0),2)),ROUND(AI223+AH224,2),MIN(ROUND(AG$6+IF(AG$5=$C224,$E$5+$E224,0),2),ROUND(AI223+AH224,2))),0)</f>
        <v>0</v>
      </c>
      <c r="AH224" s="24">
        <f>IF(AI223&gt;0,ROUND(ROUND(AI223*100,0)*ROUND(AG$7*10000,0)/12000000,0)/100,0)</f>
        <v>0</v>
      </c>
      <c r="AI224" s="24">
        <f>IF(AI223&gt;0,ROUND(AI223+AH224-AG224,2),0)</f>
        <v>0</v>
      </c>
      <c r="AJ224" s="24">
        <f>IF(AI223&gt;0,ROUND(AJ223+ROUND(ROUND(AJ223*100,0)*ROUND(AG$7*10000,0)/12000000,0)/100+0.02,2),0)</f>
        <v>0</v>
      </c>
      <c r="AK224" s="24">
        <f>IF(AM223&gt;0,IF(AND(ROUND(AM223+AL224-ROUND(AK$6+IF(AK$5=$C224,$E$5+$E224,0),2),2)&gt;0,ROUND(AM223+AL224-ROUND(AK$6+IF(AK$5=$C224,$E$5+$E224,0),2),2)&lt;=AN224,ROUND(AM223+AL224-ROUND(AK$6+IF(AK$5=$C224,$E$5+$E224,0),2),2)*10&lt;=ROUND(AK$6+IF(AK$5=$C224,$E$5+$E224,0),2)),ROUND(AM223+AL224,2),MIN(ROUND(AK$6+IF(AK$5=$C224,$E$5+$E224,0),2),ROUND(AM223+AL224,2))),0)</f>
        <v>0</v>
      </c>
      <c r="AL224" s="24">
        <f>IF(AM223&gt;0,ROUND(ROUND(AM223*100,0)*ROUND(AK$7*10000,0)/12000000,0)/100,0)</f>
        <v>0</v>
      </c>
      <c r="AM224" s="24">
        <f>IF(AM223&gt;0,ROUND(AM223+AL224-AK224,2),0)</f>
        <v>0</v>
      </c>
      <c r="AN224" s="24">
        <f>IF(AM223&gt;0,ROUND(AN223+ROUND(ROUND(AN223*100,0)*ROUND(AK$7*10000,0)/12000000,0)/100+0.02,2),0)</f>
        <v>0</v>
      </c>
      <c r="AO224" s="24">
        <f>IF(AQ223&gt;0,IF(AND(ROUND(AQ223+AP224-ROUND(AO$6+IF(AO$5=$C224,$E$5+$E224,0),2),2)&gt;0,ROUND(AQ223+AP224-ROUND(AO$6+IF(AO$5=$C224,$E$5+$E224,0),2),2)&lt;=AR224,ROUND(AQ223+AP224-ROUND(AO$6+IF(AO$5=$C224,$E$5+$E224,0),2),2)*10&lt;=ROUND(AO$6+IF(AO$5=$C224,$E$5+$E224,0),2)),ROUND(AQ223+AP224,2),MIN(ROUND(AO$6+IF(AO$5=$C224,$E$5+$E224,0),2),ROUND(AQ223+AP224,2))),0)</f>
        <v>0</v>
      </c>
      <c r="AP224" s="24">
        <f>IF(AQ223&gt;0,ROUND(ROUND(AQ223*100,0)*ROUND(AO$7*10000,0)/12000000,0)/100,0)</f>
        <v>0</v>
      </c>
      <c r="AQ224" s="24">
        <f>IF(AQ223&gt;0,ROUND(AQ223+AP224-AO224,2),0)</f>
        <v>0</v>
      </c>
      <c r="AR224" s="24">
        <f>IF(AQ223&gt;0,ROUND(AR223+ROUND(ROUND(AR223*100,0)*ROUND(AO$7*10000,0)/12000000,0)/100+0.02,2),0)</f>
        <v>0</v>
      </c>
      <c r="AS224" s="24">
        <f>IF(AU223&gt;0,IF(AND(ROUND(AU223+AT224-ROUND(AS$6+IF(AS$5=$C224,$E$5+$E224,0),2),2)&gt;0,ROUND(AU223+AT224-ROUND(AS$6+IF(AS$5=$C224,$E$5+$E224,0),2),2)&lt;=AV224,ROUND(AU223+AT224-ROUND(AS$6+IF(AS$5=$C224,$E$5+$E224,0),2),2)*10&lt;=ROUND(AS$6+IF(AS$5=$C224,$E$5+$E224,0),2)),ROUND(AU223+AT224,2),MIN(ROUND(AS$6+IF(AS$5=$C224,$E$5+$E224,0),2),ROUND(AU223+AT224,2))),0)</f>
        <v>0</v>
      </c>
      <c r="AT224" s="24">
        <f>IF(AU223&gt;0,ROUND(ROUND(AU223*100,0)*ROUND(AS$7*10000,0)/12000000,0)/100,0)</f>
        <v>0</v>
      </c>
      <c r="AU224" s="24">
        <f>IF(AU223&gt;0,ROUND(AU223+AT224-AS224,2),0)</f>
        <v>0</v>
      </c>
      <c r="AV224" s="24">
        <f>IF(AU223&gt;0,ROUND(AV223+ROUND(ROUND(AV223*100,0)*ROUND(AS$7*10000,0)/12000000,0)/100+0.02,2),0)</f>
        <v>0</v>
      </c>
    </row>
    <row r="225" spans="1:48" x14ac:dyDescent="0.25">
      <c r="A225" s="17" t="str">
        <f>IF(F225&gt;0,215,"")</f>
        <v/>
      </c>
      <c r="B225" s="18" t="str">
        <f>IF(F225&gt;0,EDATE($E$6,215),"")</f>
        <v/>
      </c>
      <c r="C225" s="21">
        <f>IF(H224&gt;0,MIN(IF(K224&gt;0,I$5,99),IF(O224&gt;0,M$5,99),IF(S224&gt;0,Q$5,99),IF(W224&gt;0,U$5,99),IF(AA224&gt;0,Y$5,99),IF(AE224&gt;0,AC$5,99),IF(AI224&gt;0,AG$5,99),IF(AM224&gt;0,AK$5,99),IF(AQ224&gt;0,AO$5,99),IF(AU224&gt;0,AS$5,99)),0)</f>
        <v>0</v>
      </c>
      <c r="D225" t="str">
        <f>IF(C225&gt;0,INDEX($I$4:$AV$4,1,MATCH(C225,$I$5:$AV$5,0)),"")</f>
        <v/>
      </c>
      <c r="E225" s="24">
        <f>ROUND(IF(AND(I$8&gt;0,K224=0),I$6,0)+IF(AND(M$8&gt;0,O224=0),M$6,0)+IF(AND(Q$8&gt;0,S224=0),Q$6,0)+IF(AND(U$8&gt;0,W224=0),U$6,0)+IF(AND(Y$8&gt;0,AA224=0),Y$6,0)+IF(AND(AC$8&gt;0,AE224=0),AC$6,0)+IF(AND(AG$8&gt;0,AI224=0),AG$6,0)+IF(AND(AK$8&gt;0,AM224=0),AK$6,0)+IF(AND(AO$8&gt;0,AQ224=0),AO$6,0)+IF(AND(AS$8&gt;0,AU224=0),AS$6,0),2)</f>
        <v>325</v>
      </c>
      <c r="F225" s="24">
        <f>ROUND(I225+M225+Q225+U225+Y225+AC225+AG225+AK225+AO225+AS225,2)</f>
        <v>0</v>
      </c>
      <c r="G225" s="24">
        <f>ROUND(J225+N225+R225+V225+Z225+AD225+AH225+AL225+AP225+AT225,2)</f>
        <v>0</v>
      </c>
      <c r="H225" s="24">
        <f>ROUND(K225+O225+S225+W225+AA225+AE225+AI225+AM225+AQ225+AU225,2)</f>
        <v>0</v>
      </c>
      <c r="I225" s="24">
        <f>IF(K224&gt;0,IF(AND(ROUND(K224+J225-ROUND(I$6+IF(I$5=$C225,$E$5+$E225,0),2),2)&gt;0,ROUND(K224+J225-ROUND(I$6+IF(I$5=$C225,$E$5+$E225,0),2),2)&lt;=L225,ROUND(K224+J225-ROUND(I$6+IF(I$5=$C225,$E$5+$E225,0),2),2)*10&lt;=ROUND(I$6+IF(I$5=$C225,$E$5+$E225,0),2)),ROUND(K224+J225,2),MIN(ROUND(I$6+IF(I$5=$C225,$E$5+$E225,0),2),ROUND(K224+J225,2))),0)</f>
        <v>0</v>
      </c>
      <c r="J225" s="24">
        <f>IF(K224&gt;0,ROUND(ROUND(K224*100,0)*ROUND(I$7*10000,0)/12000000,0)/100,0)</f>
        <v>0</v>
      </c>
      <c r="K225" s="24">
        <f>IF(K224&gt;0,ROUND(K224+J225-I225,2),0)</f>
        <v>0</v>
      </c>
      <c r="L225" s="24">
        <f>IF(K224&gt;0,ROUND(L224+ROUND(ROUND(L224*100,0)*ROUND(I$7*10000,0)/12000000,0)/100+0.02,2),0)</f>
        <v>0</v>
      </c>
      <c r="M225" s="24">
        <f>IF(O224&gt;0,IF(AND(ROUND(O224+N225-ROUND(M$6+IF(M$5=$C225,$E$5+$E225,0),2),2)&gt;0,ROUND(O224+N225-ROUND(M$6+IF(M$5=$C225,$E$5+$E225,0),2),2)&lt;=P225,ROUND(O224+N225-ROUND(M$6+IF(M$5=$C225,$E$5+$E225,0),2),2)*10&lt;=ROUND(M$6+IF(M$5=$C225,$E$5+$E225,0),2)),ROUND(O224+N225,2),MIN(ROUND(M$6+IF(M$5=$C225,$E$5+$E225,0),2),ROUND(O224+N225,2))),0)</f>
        <v>0</v>
      </c>
      <c r="N225" s="24">
        <f>IF(O224&gt;0,ROUND(ROUND(O224*100,0)*ROUND(M$7*10000,0)/12000000,0)/100,0)</f>
        <v>0</v>
      </c>
      <c r="O225" s="24">
        <f>IF(O224&gt;0,ROUND(O224+N225-M225,2),0)</f>
        <v>0</v>
      </c>
      <c r="P225" s="24">
        <f>IF(O224&gt;0,ROUND(P224+ROUND(ROUND(P224*100,0)*ROUND(M$7*10000,0)/12000000,0)/100+0.02,2),0)</f>
        <v>0</v>
      </c>
      <c r="Q225" s="24">
        <f>IF(S224&gt;0,IF(AND(ROUND(S224+R225-ROUND(Q$6+IF(Q$5=$C225,$E$5+$E225,0),2),2)&gt;0,ROUND(S224+R225-ROUND(Q$6+IF(Q$5=$C225,$E$5+$E225,0),2),2)&lt;=T225,ROUND(S224+R225-ROUND(Q$6+IF(Q$5=$C225,$E$5+$E225,0),2),2)*10&lt;=ROUND(Q$6+IF(Q$5=$C225,$E$5+$E225,0),2)),ROUND(S224+R225,2),MIN(ROUND(Q$6+IF(Q$5=$C225,$E$5+$E225,0),2),ROUND(S224+R225,2))),0)</f>
        <v>0</v>
      </c>
      <c r="R225" s="24">
        <f>IF(S224&gt;0,ROUND(ROUND(S224*100,0)*ROUND(Q$7*10000,0)/12000000,0)/100,0)</f>
        <v>0</v>
      </c>
      <c r="S225" s="24">
        <f>IF(S224&gt;0,ROUND(S224+R225-Q225,2),0)</f>
        <v>0</v>
      </c>
      <c r="T225" s="24">
        <f>IF(S224&gt;0,ROUND(T224+ROUND(ROUND(T224*100,0)*ROUND(Q$7*10000,0)/12000000,0)/100+0.02,2),0)</f>
        <v>0</v>
      </c>
      <c r="U225" s="24">
        <f>IF(W224&gt;0,IF(AND(ROUND(W224+V225-ROUND(U$6+IF(U$5=$C225,$E$5+$E225,0),2),2)&gt;0,ROUND(W224+V225-ROUND(U$6+IF(U$5=$C225,$E$5+$E225,0),2),2)&lt;=X225,ROUND(W224+V225-ROUND(U$6+IF(U$5=$C225,$E$5+$E225,0),2),2)*10&lt;=ROUND(U$6+IF(U$5=$C225,$E$5+$E225,0),2)),ROUND(W224+V225,2),MIN(ROUND(U$6+IF(U$5=$C225,$E$5+$E225,0),2),ROUND(W224+V225,2))),0)</f>
        <v>0</v>
      </c>
      <c r="V225" s="24">
        <f>IF(W224&gt;0,ROUND(ROUND(W224*100,0)*ROUND(U$7*10000,0)/12000000,0)/100,0)</f>
        <v>0</v>
      </c>
      <c r="W225" s="24">
        <f>IF(W224&gt;0,ROUND(W224+V225-U225,2),0)</f>
        <v>0</v>
      </c>
      <c r="X225" s="24">
        <f>IF(W224&gt;0,ROUND(X224+ROUND(ROUND(X224*100,0)*ROUND(U$7*10000,0)/12000000,0)/100+0.02,2),0)</f>
        <v>0</v>
      </c>
      <c r="Y225" s="24">
        <f>IF(AA224&gt;0,IF(AND(ROUND(AA224+Z225-ROUND(Y$6+IF(Y$5=$C225,$E$5+$E225,0),2),2)&gt;0,ROUND(AA224+Z225-ROUND(Y$6+IF(Y$5=$C225,$E$5+$E225,0),2),2)&lt;=AB225,ROUND(AA224+Z225-ROUND(Y$6+IF(Y$5=$C225,$E$5+$E225,0),2),2)*10&lt;=ROUND(Y$6+IF(Y$5=$C225,$E$5+$E225,0),2)),ROUND(AA224+Z225,2),MIN(ROUND(Y$6+IF(Y$5=$C225,$E$5+$E225,0),2),ROUND(AA224+Z225,2))),0)</f>
        <v>0</v>
      </c>
      <c r="Z225" s="24">
        <f>IF(AA224&gt;0,ROUND(ROUND(AA224*100,0)*ROUND(Y$7*10000,0)/12000000,0)/100,0)</f>
        <v>0</v>
      </c>
      <c r="AA225" s="24">
        <f>IF(AA224&gt;0,ROUND(AA224+Z225-Y225,2),0)</f>
        <v>0</v>
      </c>
      <c r="AB225" s="24">
        <f>IF(AA224&gt;0,ROUND(AB224+ROUND(ROUND(AB224*100,0)*ROUND(Y$7*10000,0)/12000000,0)/100+0.02,2),0)</f>
        <v>0</v>
      </c>
      <c r="AC225" s="24">
        <f>IF(AE224&gt;0,IF(AND(ROUND(AE224+AD225-ROUND(AC$6+IF(AC$5=$C225,$E$5+$E225,0),2),2)&gt;0,ROUND(AE224+AD225-ROUND(AC$6+IF(AC$5=$C225,$E$5+$E225,0),2),2)&lt;=AF225,ROUND(AE224+AD225-ROUND(AC$6+IF(AC$5=$C225,$E$5+$E225,0),2),2)*10&lt;=ROUND(AC$6+IF(AC$5=$C225,$E$5+$E225,0),2)),ROUND(AE224+AD225,2),MIN(ROUND(AC$6+IF(AC$5=$C225,$E$5+$E225,0),2),ROUND(AE224+AD225,2))),0)</f>
        <v>0</v>
      </c>
      <c r="AD225" s="24">
        <f>IF(AE224&gt;0,ROUND(ROUND(AE224*100,0)*ROUND(AC$7*10000,0)/12000000,0)/100,0)</f>
        <v>0</v>
      </c>
      <c r="AE225" s="24">
        <f>IF(AE224&gt;0,ROUND(AE224+AD225-AC225,2),0)</f>
        <v>0</v>
      </c>
      <c r="AF225" s="24">
        <f>IF(AE224&gt;0,ROUND(AF224+ROUND(ROUND(AF224*100,0)*ROUND(AC$7*10000,0)/12000000,0)/100+0.02,2),0)</f>
        <v>0</v>
      </c>
      <c r="AG225" s="24">
        <f>IF(AI224&gt;0,IF(AND(ROUND(AI224+AH225-ROUND(AG$6+IF(AG$5=$C225,$E$5+$E225,0),2),2)&gt;0,ROUND(AI224+AH225-ROUND(AG$6+IF(AG$5=$C225,$E$5+$E225,0),2),2)&lt;=AJ225,ROUND(AI224+AH225-ROUND(AG$6+IF(AG$5=$C225,$E$5+$E225,0),2),2)*10&lt;=ROUND(AG$6+IF(AG$5=$C225,$E$5+$E225,0),2)),ROUND(AI224+AH225,2),MIN(ROUND(AG$6+IF(AG$5=$C225,$E$5+$E225,0),2),ROUND(AI224+AH225,2))),0)</f>
        <v>0</v>
      </c>
      <c r="AH225" s="24">
        <f>IF(AI224&gt;0,ROUND(ROUND(AI224*100,0)*ROUND(AG$7*10000,0)/12000000,0)/100,0)</f>
        <v>0</v>
      </c>
      <c r="AI225" s="24">
        <f>IF(AI224&gt;0,ROUND(AI224+AH225-AG225,2),0)</f>
        <v>0</v>
      </c>
      <c r="AJ225" s="24">
        <f>IF(AI224&gt;0,ROUND(AJ224+ROUND(ROUND(AJ224*100,0)*ROUND(AG$7*10000,0)/12000000,0)/100+0.02,2),0)</f>
        <v>0</v>
      </c>
      <c r="AK225" s="24">
        <f>IF(AM224&gt;0,IF(AND(ROUND(AM224+AL225-ROUND(AK$6+IF(AK$5=$C225,$E$5+$E225,0),2),2)&gt;0,ROUND(AM224+AL225-ROUND(AK$6+IF(AK$5=$C225,$E$5+$E225,0),2),2)&lt;=AN225,ROUND(AM224+AL225-ROUND(AK$6+IF(AK$5=$C225,$E$5+$E225,0),2),2)*10&lt;=ROUND(AK$6+IF(AK$5=$C225,$E$5+$E225,0),2)),ROUND(AM224+AL225,2),MIN(ROUND(AK$6+IF(AK$5=$C225,$E$5+$E225,0),2),ROUND(AM224+AL225,2))),0)</f>
        <v>0</v>
      </c>
      <c r="AL225" s="24">
        <f>IF(AM224&gt;0,ROUND(ROUND(AM224*100,0)*ROUND(AK$7*10000,0)/12000000,0)/100,0)</f>
        <v>0</v>
      </c>
      <c r="AM225" s="24">
        <f>IF(AM224&gt;0,ROUND(AM224+AL225-AK225,2),0)</f>
        <v>0</v>
      </c>
      <c r="AN225" s="24">
        <f>IF(AM224&gt;0,ROUND(AN224+ROUND(ROUND(AN224*100,0)*ROUND(AK$7*10000,0)/12000000,0)/100+0.02,2),0)</f>
        <v>0</v>
      </c>
      <c r="AO225" s="24">
        <f>IF(AQ224&gt;0,IF(AND(ROUND(AQ224+AP225-ROUND(AO$6+IF(AO$5=$C225,$E$5+$E225,0),2),2)&gt;0,ROUND(AQ224+AP225-ROUND(AO$6+IF(AO$5=$C225,$E$5+$E225,0),2),2)&lt;=AR225,ROUND(AQ224+AP225-ROUND(AO$6+IF(AO$5=$C225,$E$5+$E225,0),2),2)*10&lt;=ROUND(AO$6+IF(AO$5=$C225,$E$5+$E225,0),2)),ROUND(AQ224+AP225,2),MIN(ROUND(AO$6+IF(AO$5=$C225,$E$5+$E225,0),2),ROUND(AQ224+AP225,2))),0)</f>
        <v>0</v>
      </c>
      <c r="AP225" s="24">
        <f>IF(AQ224&gt;0,ROUND(ROUND(AQ224*100,0)*ROUND(AO$7*10000,0)/12000000,0)/100,0)</f>
        <v>0</v>
      </c>
      <c r="AQ225" s="24">
        <f>IF(AQ224&gt;0,ROUND(AQ224+AP225-AO225,2),0)</f>
        <v>0</v>
      </c>
      <c r="AR225" s="24">
        <f>IF(AQ224&gt;0,ROUND(AR224+ROUND(ROUND(AR224*100,0)*ROUND(AO$7*10000,0)/12000000,0)/100+0.02,2),0)</f>
        <v>0</v>
      </c>
      <c r="AS225" s="24">
        <f>IF(AU224&gt;0,IF(AND(ROUND(AU224+AT225-ROUND(AS$6+IF(AS$5=$C225,$E$5+$E225,0),2),2)&gt;0,ROUND(AU224+AT225-ROUND(AS$6+IF(AS$5=$C225,$E$5+$E225,0),2),2)&lt;=AV225,ROUND(AU224+AT225-ROUND(AS$6+IF(AS$5=$C225,$E$5+$E225,0),2),2)*10&lt;=ROUND(AS$6+IF(AS$5=$C225,$E$5+$E225,0),2)),ROUND(AU224+AT225,2),MIN(ROUND(AS$6+IF(AS$5=$C225,$E$5+$E225,0),2),ROUND(AU224+AT225,2))),0)</f>
        <v>0</v>
      </c>
      <c r="AT225" s="24">
        <f>IF(AU224&gt;0,ROUND(ROUND(AU224*100,0)*ROUND(AS$7*10000,0)/12000000,0)/100,0)</f>
        <v>0</v>
      </c>
      <c r="AU225" s="24">
        <f>IF(AU224&gt;0,ROUND(AU224+AT225-AS225,2),0)</f>
        <v>0</v>
      </c>
      <c r="AV225" s="24">
        <f>IF(AU224&gt;0,ROUND(AV224+ROUND(ROUND(AV224*100,0)*ROUND(AS$7*10000,0)/12000000,0)/100+0.02,2),0)</f>
        <v>0</v>
      </c>
    </row>
    <row r="226" spans="1:48" x14ac:dyDescent="0.25">
      <c r="A226" s="17" t="str">
        <f>IF(F226&gt;0,216,"")</f>
        <v/>
      </c>
      <c r="B226" s="18" t="str">
        <f>IF(F226&gt;0,EDATE($E$6,216),"")</f>
        <v/>
      </c>
      <c r="C226" s="21">
        <f>IF(H225&gt;0,MIN(IF(K225&gt;0,I$5,99),IF(O225&gt;0,M$5,99),IF(S225&gt;0,Q$5,99),IF(W225&gt;0,U$5,99),IF(AA225&gt;0,Y$5,99),IF(AE225&gt;0,AC$5,99),IF(AI225&gt;0,AG$5,99),IF(AM225&gt;0,AK$5,99),IF(AQ225&gt;0,AO$5,99),IF(AU225&gt;0,AS$5,99)),0)</f>
        <v>0</v>
      </c>
      <c r="D226" t="str">
        <f>IF(C226&gt;0,INDEX($I$4:$AV$4,1,MATCH(C226,$I$5:$AV$5,0)),"")</f>
        <v/>
      </c>
      <c r="E226" s="24">
        <f>ROUND(IF(AND(I$8&gt;0,K225=0),I$6,0)+IF(AND(M$8&gt;0,O225=0),M$6,0)+IF(AND(Q$8&gt;0,S225=0),Q$6,0)+IF(AND(U$8&gt;0,W225=0),U$6,0)+IF(AND(Y$8&gt;0,AA225=0),Y$6,0)+IF(AND(AC$8&gt;0,AE225=0),AC$6,0)+IF(AND(AG$8&gt;0,AI225=0),AG$6,0)+IF(AND(AK$8&gt;0,AM225=0),AK$6,0)+IF(AND(AO$8&gt;0,AQ225=0),AO$6,0)+IF(AND(AS$8&gt;0,AU225=0),AS$6,0),2)</f>
        <v>325</v>
      </c>
      <c r="F226" s="24">
        <f>ROUND(I226+M226+Q226+U226+Y226+AC226+AG226+AK226+AO226+AS226,2)</f>
        <v>0</v>
      </c>
      <c r="G226" s="24">
        <f>ROUND(J226+N226+R226+V226+Z226+AD226+AH226+AL226+AP226+AT226,2)</f>
        <v>0</v>
      </c>
      <c r="H226" s="24">
        <f>ROUND(K226+O226+S226+W226+AA226+AE226+AI226+AM226+AQ226+AU226,2)</f>
        <v>0</v>
      </c>
      <c r="I226" s="24">
        <f>IF(K225&gt;0,IF(AND(ROUND(K225+J226-ROUND(I$6+IF(I$5=$C226,$E$5+$E226,0),2),2)&gt;0,ROUND(K225+J226-ROUND(I$6+IF(I$5=$C226,$E$5+$E226,0),2),2)&lt;=L226,ROUND(K225+J226-ROUND(I$6+IF(I$5=$C226,$E$5+$E226,0),2),2)*10&lt;=ROUND(I$6+IF(I$5=$C226,$E$5+$E226,0),2)),ROUND(K225+J226,2),MIN(ROUND(I$6+IF(I$5=$C226,$E$5+$E226,0),2),ROUND(K225+J226,2))),0)</f>
        <v>0</v>
      </c>
      <c r="J226" s="24">
        <f>IF(K225&gt;0,ROUND(ROUND(K225*100,0)*ROUND(I$7*10000,0)/12000000,0)/100,0)</f>
        <v>0</v>
      </c>
      <c r="K226" s="24">
        <f>IF(K225&gt;0,ROUND(K225+J226-I226,2),0)</f>
        <v>0</v>
      </c>
      <c r="L226" s="24">
        <f>IF(K225&gt;0,ROUND(L225+ROUND(ROUND(L225*100,0)*ROUND(I$7*10000,0)/12000000,0)/100+0.02,2),0)</f>
        <v>0</v>
      </c>
      <c r="M226" s="24">
        <f>IF(O225&gt;0,IF(AND(ROUND(O225+N226-ROUND(M$6+IF(M$5=$C226,$E$5+$E226,0),2),2)&gt;0,ROUND(O225+N226-ROUND(M$6+IF(M$5=$C226,$E$5+$E226,0),2),2)&lt;=P226,ROUND(O225+N226-ROUND(M$6+IF(M$5=$C226,$E$5+$E226,0),2),2)*10&lt;=ROUND(M$6+IF(M$5=$C226,$E$5+$E226,0),2)),ROUND(O225+N226,2),MIN(ROUND(M$6+IF(M$5=$C226,$E$5+$E226,0),2),ROUND(O225+N226,2))),0)</f>
        <v>0</v>
      </c>
      <c r="N226" s="24">
        <f>IF(O225&gt;0,ROUND(ROUND(O225*100,0)*ROUND(M$7*10000,0)/12000000,0)/100,0)</f>
        <v>0</v>
      </c>
      <c r="O226" s="24">
        <f>IF(O225&gt;0,ROUND(O225+N226-M226,2),0)</f>
        <v>0</v>
      </c>
      <c r="P226" s="24">
        <f>IF(O225&gt;0,ROUND(P225+ROUND(ROUND(P225*100,0)*ROUND(M$7*10000,0)/12000000,0)/100+0.02,2),0)</f>
        <v>0</v>
      </c>
      <c r="Q226" s="24">
        <f>IF(S225&gt;0,IF(AND(ROUND(S225+R226-ROUND(Q$6+IF(Q$5=$C226,$E$5+$E226,0),2),2)&gt;0,ROUND(S225+R226-ROUND(Q$6+IF(Q$5=$C226,$E$5+$E226,0),2),2)&lt;=T226,ROUND(S225+R226-ROUND(Q$6+IF(Q$5=$C226,$E$5+$E226,0),2),2)*10&lt;=ROUND(Q$6+IF(Q$5=$C226,$E$5+$E226,0),2)),ROUND(S225+R226,2),MIN(ROUND(Q$6+IF(Q$5=$C226,$E$5+$E226,0),2),ROUND(S225+R226,2))),0)</f>
        <v>0</v>
      </c>
      <c r="R226" s="24">
        <f>IF(S225&gt;0,ROUND(ROUND(S225*100,0)*ROUND(Q$7*10000,0)/12000000,0)/100,0)</f>
        <v>0</v>
      </c>
      <c r="S226" s="24">
        <f>IF(S225&gt;0,ROUND(S225+R226-Q226,2),0)</f>
        <v>0</v>
      </c>
      <c r="T226" s="24">
        <f>IF(S225&gt;0,ROUND(T225+ROUND(ROUND(T225*100,0)*ROUND(Q$7*10000,0)/12000000,0)/100+0.02,2),0)</f>
        <v>0</v>
      </c>
      <c r="U226" s="24">
        <f>IF(W225&gt;0,IF(AND(ROUND(W225+V226-ROUND(U$6+IF(U$5=$C226,$E$5+$E226,0),2),2)&gt;0,ROUND(W225+V226-ROUND(U$6+IF(U$5=$C226,$E$5+$E226,0),2),2)&lt;=X226,ROUND(W225+V226-ROUND(U$6+IF(U$5=$C226,$E$5+$E226,0),2),2)*10&lt;=ROUND(U$6+IF(U$5=$C226,$E$5+$E226,0),2)),ROUND(W225+V226,2),MIN(ROUND(U$6+IF(U$5=$C226,$E$5+$E226,0),2),ROUND(W225+V226,2))),0)</f>
        <v>0</v>
      </c>
      <c r="V226" s="24">
        <f>IF(W225&gt;0,ROUND(ROUND(W225*100,0)*ROUND(U$7*10000,0)/12000000,0)/100,0)</f>
        <v>0</v>
      </c>
      <c r="W226" s="24">
        <f>IF(W225&gt;0,ROUND(W225+V226-U226,2),0)</f>
        <v>0</v>
      </c>
      <c r="X226" s="24">
        <f>IF(W225&gt;0,ROUND(X225+ROUND(ROUND(X225*100,0)*ROUND(U$7*10000,0)/12000000,0)/100+0.02,2),0)</f>
        <v>0</v>
      </c>
      <c r="Y226" s="24">
        <f>IF(AA225&gt;0,IF(AND(ROUND(AA225+Z226-ROUND(Y$6+IF(Y$5=$C226,$E$5+$E226,0),2),2)&gt;0,ROUND(AA225+Z226-ROUND(Y$6+IF(Y$5=$C226,$E$5+$E226,0),2),2)&lt;=AB226,ROUND(AA225+Z226-ROUND(Y$6+IF(Y$5=$C226,$E$5+$E226,0),2),2)*10&lt;=ROUND(Y$6+IF(Y$5=$C226,$E$5+$E226,0),2)),ROUND(AA225+Z226,2),MIN(ROUND(Y$6+IF(Y$5=$C226,$E$5+$E226,0),2),ROUND(AA225+Z226,2))),0)</f>
        <v>0</v>
      </c>
      <c r="Z226" s="24">
        <f>IF(AA225&gt;0,ROUND(ROUND(AA225*100,0)*ROUND(Y$7*10000,0)/12000000,0)/100,0)</f>
        <v>0</v>
      </c>
      <c r="AA226" s="24">
        <f>IF(AA225&gt;0,ROUND(AA225+Z226-Y226,2),0)</f>
        <v>0</v>
      </c>
      <c r="AB226" s="24">
        <f>IF(AA225&gt;0,ROUND(AB225+ROUND(ROUND(AB225*100,0)*ROUND(Y$7*10000,0)/12000000,0)/100+0.02,2),0)</f>
        <v>0</v>
      </c>
      <c r="AC226" s="24">
        <f>IF(AE225&gt;0,IF(AND(ROUND(AE225+AD226-ROUND(AC$6+IF(AC$5=$C226,$E$5+$E226,0),2),2)&gt;0,ROUND(AE225+AD226-ROUND(AC$6+IF(AC$5=$C226,$E$5+$E226,0),2),2)&lt;=AF226,ROUND(AE225+AD226-ROUND(AC$6+IF(AC$5=$C226,$E$5+$E226,0),2),2)*10&lt;=ROUND(AC$6+IF(AC$5=$C226,$E$5+$E226,0),2)),ROUND(AE225+AD226,2),MIN(ROUND(AC$6+IF(AC$5=$C226,$E$5+$E226,0),2),ROUND(AE225+AD226,2))),0)</f>
        <v>0</v>
      </c>
      <c r="AD226" s="24">
        <f>IF(AE225&gt;0,ROUND(ROUND(AE225*100,0)*ROUND(AC$7*10000,0)/12000000,0)/100,0)</f>
        <v>0</v>
      </c>
      <c r="AE226" s="24">
        <f>IF(AE225&gt;0,ROUND(AE225+AD226-AC226,2),0)</f>
        <v>0</v>
      </c>
      <c r="AF226" s="24">
        <f>IF(AE225&gt;0,ROUND(AF225+ROUND(ROUND(AF225*100,0)*ROUND(AC$7*10000,0)/12000000,0)/100+0.02,2),0)</f>
        <v>0</v>
      </c>
      <c r="AG226" s="24">
        <f>IF(AI225&gt;0,IF(AND(ROUND(AI225+AH226-ROUND(AG$6+IF(AG$5=$C226,$E$5+$E226,0),2),2)&gt;0,ROUND(AI225+AH226-ROUND(AG$6+IF(AG$5=$C226,$E$5+$E226,0),2),2)&lt;=AJ226,ROUND(AI225+AH226-ROUND(AG$6+IF(AG$5=$C226,$E$5+$E226,0),2),2)*10&lt;=ROUND(AG$6+IF(AG$5=$C226,$E$5+$E226,0),2)),ROUND(AI225+AH226,2),MIN(ROUND(AG$6+IF(AG$5=$C226,$E$5+$E226,0),2),ROUND(AI225+AH226,2))),0)</f>
        <v>0</v>
      </c>
      <c r="AH226" s="24">
        <f>IF(AI225&gt;0,ROUND(ROUND(AI225*100,0)*ROUND(AG$7*10000,0)/12000000,0)/100,0)</f>
        <v>0</v>
      </c>
      <c r="AI226" s="24">
        <f>IF(AI225&gt;0,ROUND(AI225+AH226-AG226,2),0)</f>
        <v>0</v>
      </c>
      <c r="AJ226" s="24">
        <f>IF(AI225&gt;0,ROUND(AJ225+ROUND(ROUND(AJ225*100,0)*ROUND(AG$7*10000,0)/12000000,0)/100+0.02,2),0)</f>
        <v>0</v>
      </c>
      <c r="AK226" s="24">
        <f>IF(AM225&gt;0,IF(AND(ROUND(AM225+AL226-ROUND(AK$6+IF(AK$5=$C226,$E$5+$E226,0),2),2)&gt;0,ROUND(AM225+AL226-ROUND(AK$6+IF(AK$5=$C226,$E$5+$E226,0),2),2)&lt;=AN226,ROUND(AM225+AL226-ROUND(AK$6+IF(AK$5=$C226,$E$5+$E226,0),2),2)*10&lt;=ROUND(AK$6+IF(AK$5=$C226,$E$5+$E226,0),2)),ROUND(AM225+AL226,2),MIN(ROUND(AK$6+IF(AK$5=$C226,$E$5+$E226,0),2),ROUND(AM225+AL226,2))),0)</f>
        <v>0</v>
      </c>
      <c r="AL226" s="24">
        <f>IF(AM225&gt;0,ROUND(ROUND(AM225*100,0)*ROUND(AK$7*10000,0)/12000000,0)/100,0)</f>
        <v>0</v>
      </c>
      <c r="AM226" s="24">
        <f>IF(AM225&gt;0,ROUND(AM225+AL226-AK226,2),0)</f>
        <v>0</v>
      </c>
      <c r="AN226" s="24">
        <f>IF(AM225&gt;0,ROUND(AN225+ROUND(ROUND(AN225*100,0)*ROUND(AK$7*10000,0)/12000000,0)/100+0.02,2),0)</f>
        <v>0</v>
      </c>
      <c r="AO226" s="24">
        <f>IF(AQ225&gt;0,IF(AND(ROUND(AQ225+AP226-ROUND(AO$6+IF(AO$5=$C226,$E$5+$E226,0),2),2)&gt;0,ROUND(AQ225+AP226-ROUND(AO$6+IF(AO$5=$C226,$E$5+$E226,0),2),2)&lt;=AR226,ROUND(AQ225+AP226-ROUND(AO$6+IF(AO$5=$C226,$E$5+$E226,0),2),2)*10&lt;=ROUND(AO$6+IF(AO$5=$C226,$E$5+$E226,0),2)),ROUND(AQ225+AP226,2),MIN(ROUND(AO$6+IF(AO$5=$C226,$E$5+$E226,0),2),ROUND(AQ225+AP226,2))),0)</f>
        <v>0</v>
      </c>
      <c r="AP226" s="24">
        <f>IF(AQ225&gt;0,ROUND(ROUND(AQ225*100,0)*ROUND(AO$7*10000,0)/12000000,0)/100,0)</f>
        <v>0</v>
      </c>
      <c r="AQ226" s="24">
        <f>IF(AQ225&gt;0,ROUND(AQ225+AP226-AO226,2),0)</f>
        <v>0</v>
      </c>
      <c r="AR226" s="24">
        <f>IF(AQ225&gt;0,ROUND(AR225+ROUND(ROUND(AR225*100,0)*ROUND(AO$7*10000,0)/12000000,0)/100+0.02,2),0)</f>
        <v>0</v>
      </c>
      <c r="AS226" s="24">
        <f>IF(AU225&gt;0,IF(AND(ROUND(AU225+AT226-ROUND(AS$6+IF(AS$5=$C226,$E$5+$E226,0),2),2)&gt;0,ROUND(AU225+AT226-ROUND(AS$6+IF(AS$5=$C226,$E$5+$E226,0),2),2)&lt;=AV226,ROUND(AU225+AT226-ROUND(AS$6+IF(AS$5=$C226,$E$5+$E226,0),2),2)*10&lt;=ROUND(AS$6+IF(AS$5=$C226,$E$5+$E226,0),2)),ROUND(AU225+AT226,2),MIN(ROUND(AS$6+IF(AS$5=$C226,$E$5+$E226,0),2),ROUND(AU225+AT226,2))),0)</f>
        <v>0</v>
      </c>
      <c r="AT226" s="24">
        <f>IF(AU225&gt;0,ROUND(ROUND(AU225*100,0)*ROUND(AS$7*10000,0)/12000000,0)/100,0)</f>
        <v>0</v>
      </c>
      <c r="AU226" s="24">
        <f>IF(AU225&gt;0,ROUND(AU225+AT226-AS226,2),0)</f>
        <v>0</v>
      </c>
      <c r="AV226" s="24">
        <f>IF(AU225&gt;0,ROUND(AV225+ROUND(ROUND(AV225*100,0)*ROUND(AS$7*10000,0)/12000000,0)/100+0.02,2),0)</f>
        <v>0</v>
      </c>
    </row>
    <row r="227" spans="1:48" x14ac:dyDescent="0.25">
      <c r="A227" s="17" t="str">
        <f>IF(F227&gt;0,217,"")</f>
        <v/>
      </c>
      <c r="B227" s="18" t="str">
        <f>IF(F227&gt;0,EDATE($E$6,217),"")</f>
        <v/>
      </c>
      <c r="C227" s="21">
        <f>IF(H226&gt;0,MIN(IF(K226&gt;0,I$5,99),IF(O226&gt;0,M$5,99),IF(S226&gt;0,Q$5,99),IF(W226&gt;0,U$5,99),IF(AA226&gt;0,Y$5,99),IF(AE226&gt;0,AC$5,99),IF(AI226&gt;0,AG$5,99),IF(AM226&gt;0,AK$5,99),IF(AQ226&gt;0,AO$5,99),IF(AU226&gt;0,AS$5,99)),0)</f>
        <v>0</v>
      </c>
      <c r="D227" t="str">
        <f>IF(C227&gt;0,INDEX($I$4:$AV$4,1,MATCH(C227,$I$5:$AV$5,0)),"")</f>
        <v/>
      </c>
      <c r="E227" s="24">
        <f>ROUND(IF(AND(I$8&gt;0,K226=0),I$6,0)+IF(AND(M$8&gt;0,O226=0),M$6,0)+IF(AND(Q$8&gt;0,S226=0),Q$6,0)+IF(AND(U$8&gt;0,W226=0),U$6,0)+IF(AND(Y$8&gt;0,AA226=0),Y$6,0)+IF(AND(AC$8&gt;0,AE226=0),AC$6,0)+IF(AND(AG$8&gt;0,AI226=0),AG$6,0)+IF(AND(AK$8&gt;0,AM226=0),AK$6,0)+IF(AND(AO$8&gt;0,AQ226=0),AO$6,0)+IF(AND(AS$8&gt;0,AU226=0),AS$6,0),2)</f>
        <v>325</v>
      </c>
      <c r="F227" s="24">
        <f>ROUND(I227+M227+Q227+U227+Y227+AC227+AG227+AK227+AO227+AS227,2)</f>
        <v>0</v>
      </c>
      <c r="G227" s="24">
        <f>ROUND(J227+N227+R227+V227+Z227+AD227+AH227+AL227+AP227+AT227,2)</f>
        <v>0</v>
      </c>
      <c r="H227" s="24">
        <f>ROUND(K227+O227+S227+W227+AA227+AE227+AI227+AM227+AQ227+AU227,2)</f>
        <v>0</v>
      </c>
      <c r="I227" s="24">
        <f>IF(K226&gt;0,IF(AND(ROUND(K226+J227-ROUND(I$6+IF(I$5=$C227,$E$5+$E227,0),2),2)&gt;0,ROUND(K226+J227-ROUND(I$6+IF(I$5=$C227,$E$5+$E227,0),2),2)&lt;=L227,ROUND(K226+J227-ROUND(I$6+IF(I$5=$C227,$E$5+$E227,0),2),2)*10&lt;=ROUND(I$6+IF(I$5=$C227,$E$5+$E227,0),2)),ROUND(K226+J227,2),MIN(ROUND(I$6+IF(I$5=$C227,$E$5+$E227,0),2),ROUND(K226+J227,2))),0)</f>
        <v>0</v>
      </c>
      <c r="J227" s="24">
        <f>IF(K226&gt;0,ROUND(ROUND(K226*100,0)*ROUND(I$7*10000,0)/12000000,0)/100,0)</f>
        <v>0</v>
      </c>
      <c r="K227" s="24">
        <f>IF(K226&gt;0,ROUND(K226+J227-I227,2),0)</f>
        <v>0</v>
      </c>
      <c r="L227" s="24">
        <f>IF(K226&gt;0,ROUND(L226+ROUND(ROUND(L226*100,0)*ROUND(I$7*10000,0)/12000000,0)/100+0.02,2),0)</f>
        <v>0</v>
      </c>
      <c r="M227" s="24">
        <f>IF(O226&gt;0,IF(AND(ROUND(O226+N227-ROUND(M$6+IF(M$5=$C227,$E$5+$E227,0),2),2)&gt;0,ROUND(O226+N227-ROUND(M$6+IF(M$5=$C227,$E$5+$E227,0),2),2)&lt;=P227,ROUND(O226+N227-ROUND(M$6+IF(M$5=$C227,$E$5+$E227,0),2),2)*10&lt;=ROUND(M$6+IF(M$5=$C227,$E$5+$E227,0),2)),ROUND(O226+N227,2),MIN(ROUND(M$6+IF(M$5=$C227,$E$5+$E227,0),2),ROUND(O226+N227,2))),0)</f>
        <v>0</v>
      </c>
      <c r="N227" s="24">
        <f>IF(O226&gt;0,ROUND(ROUND(O226*100,0)*ROUND(M$7*10000,0)/12000000,0)/100,0)</f>
        <v>0</v>
      </c>
      <c r="O227" s="24">
        <f>IF(O226&gt;0,ROUND(O226+N227-M227,2),0)</f>
        <v>0</v>
      </c>
      <c r="P227" s="24">
        <f>IF(O226&gt;0,ROUND(P226+ROUND(ROUND(P226*100,0)*ROUND(M$7*10000,0)/12000000,0)/100+0.02,2),0)</f>
        <v>0</v>
      </c>
      <c r="Q227" s="24">
        <f>IF(S226&gt;0,IF(AND(ROUND(S226+R227-ROUND(Q$6+IF(Q$5=$C227,$E$5+$E227,0),2),2)&gt;0,ROUND(S226+R227-ROUND(Q$6+IF(Q$5=$C227,$E$5+$E227,0),2),2)&lt;=T227,ROUND(S226+R227-ROUND(Q$6+IF(Q$5=$C227,$E$5+$E227,0),2),2)*10&lt;=ROUND(Q$6+IF(Q$5=$C227,$E$5+$E227,0),2)),ROUND(S226+R227,2),MIN(ROUND(Q$6+IF(Q$5=$C227,$E$5+$E227,0),2),ROUND(S226+R227,2))),0)</f>
        <v>0</v>
      </c>
      <c r="R227" s="24">
        <f>IF(S226&gt;0,ROUND(ROUND(S226*100,0)*ROUND(Q$7*10000,0)/12000000,0)/100,0)</f>
        <v>0</v>
      </c>
      <c r="S227" s="24">
        <f>IF(S226&gt;0,ROUND(S226+R227-Q227,2),0)</f>
        <v>0</v>
      </c>
      <c r="T227" s="24">
        <f>IF(S226&gt;0,ROUND(T226+ROUND(ROUND(T226*100,0)*ROUND(Q$7*10000,0)/12000000,0)/100+0.02,2),0)</f>
        <v>0</v>
      </c>
      <c r="U227" s="24">
        <f>IF(W226&gt;0,IF(AND(ROUND(W226+V227-ROUND(U$6+IF(U$5=$C227,$E$5+$E227,0),2),2)&gt;0,ROUND(W226+V227-ROUND(U$6+IF(U$5=$C227,$E$5+$E227,0),2),2)&lt;=X227,ROUND(W226+V227-ROUND(U$6+IF(U$5=$C227,$E$5+$E227,0),2),2)*10&lt;=ROUND(U$6+IF(U$5=$C227,$E$5+$E227,0),2)),ROUND(W226+V227,2),MIN(ROUND(U$6+IF(U$5=$C227,$E$5+$E227,0),2),ROUND(W226+V227,2))),0)</f>
        <v>0</v>
      </c>
      <c r="V227" s="24">
        <f>IF(W226&gt;0,ROUND(ROUND(W226*100,0)*ROUND(U$7*10000,0)/12000000,0)/100,0)</f>
        <v>0</v>
      </c>
      <c r="W227" s="24">
        <f>IF(W226&gt;0,ROUND(W226+V227-U227,2),0)</f>
        <v>0</v>
      </c>
      <c r="X227" s="24">
        <f>IF(W226&gt;0,ROUND(X226+ROUND(ROUND(X226*100,0)*ROUND(U$7*10000,0)/12000000,0)/100+0.02,2),0)</f>
        <v>0</v>
      </c>
      <c r="Y227" s="24">
        <f>IF(AA226&gt;0,IF(AND(ROUND(AA226+Z227-ROUND(Y$6+IF(Y$5=$C227,$E$5+$E227,0),2),2)&gt;0,ROUND(AA226+Z227-ROUND(Y$6+IF(Y$5=$C227,$E$5+$E227,0),2),2)&lt;=AB227,ROUND(AA226+Z227-ROUND(Y$6+IF(Y$5=$C227,$E$5+$E227,0),2),2)*10&lt;=ROUND(Y$6+IF(Y$5=$C227,$E$5+$E227,0),2)),ROUND(AA226+Z227,2),MIN(ROUND(Y$6+IF(Y$5=$C227,$E$5+$E227,0),2),ROUND(AA226+Z227,2))),0)</f>
        <v>0</v>
      </c>
      <c r="Z227" s="24">
        <f>IF(AA226&gt;0,ROUND(ROUND(AA226*100,0)*ROUND(Y$7*10000,0)/12000000,0)/100,0)</f>
        <v>0</v>
      </c>
      <c r="AA227" s="24">
        <f>IF(AA226&gt;0,ROUND(AA226+Z227-Y227,2),0)</f>
        <v>0</v>
      </c>
      <c r="AB227" s="24">
        <f>IF(AA226&gt;0,ROUND(AB226+ROUND(ROUND(AB226*100,0)*ROUND(Y$7*10000,0)/12000000,0)/100+0.02,2),0)</f>
        <v>0</v>
      </c>
      <c r="AC227" s="24">
        <f>IF(AE226&gt;0,IF(AND(ROUND(AE226+AD227-ROUND(AC$6+IF(AC$5=$C227,$E$5+$E227,0),2),2)&gt;0,ROUND(AE226+AD227-ROUND(AC$6+IF(AC$5=$C227,$E$5+$E227,0),2),2)&lt;=AF227,ROUND(AE226+AD227-ROUND(AC$6+IF(AC$5=$C227,$E$5+$E227,0),2),2)*10&lt;=ROUND(AC$6+IF(AC$5=$C227,$E$5+$E227,0),2)),ROUND(AE226+AD227,2),MIN(ROUND(AC$6+IF(AC$5=$C227,$E$5+$E227,0),2),ROUND(AE226+AD227,2))),0)</f>
        <v>0</v>
      </c>
      <c r="AD227" s="24">
        <f>IF(AE226&gt;0,ROUND(ROUND(AE226*100,0)*ROUND(AC$7*10000,0)/12000000,0)/100,0)</f>
        <v>0</v>
      </c>
      <c r="AE227" s="24">
        <f>IF(AE226&gt;0,ROUND(AE226+AD227-AC227,2),0)</f>
        <v>0</v>
      </c>
      <c r="AF227" s="24">
        <f>IF(AE226&gt;0,ROUND(AF226+ROUND(ROUND(AF226*100,0)*ROUND(AC$7*10000,0)/12000000,0)/100+0.02,2),0)</f>
        <v>0</v>
      </c>
      <c r="AG227" s="24">
        <f>IF(AI226&gt;0,IF(AND(ROUND(AI226+AH227-ROUND(AG$6+IF(AG$5=$C227,$E$5+$E227,0),2),2)&gt;0,ROUND(AI226+AH227-ROUND(AG$6+IF(AG$5=$C227,$E$5+$E227,0),2),2)&lt;=AJ227,ROUND(AI226+AH227-ROUND(AG$6+IF(AG$5=$C227,$E$5+$E227,0),2),2)*10&lt;=ROUND(AG$6+IF(AG$5=$C227,$E$5+$E227,0),2)),ROUND(AI226+AH227,2),MIN(ROUND(AG$6+IF(AG$5=$C227,$E$5+$E227,0),2),ROUND(AI226+AH227,2))),0)</f>
        <v>0</v>
      </c>
      <c r="AH227" s="24">
        <f>IF(AI226&gt;0,ROUND(ROUND(AI226*100,0)*ROUND(AG$7*10000,0)/12000000,0)/100,0)</f>
        <v>0</v>
      </c>
      <c r="AI227" s="24">
        <f>IF(AI226&gt;0,ROUND(AI226+AH227-AG227,2),0)</f>
        <v>0</v>
      </c>
      <c r="AJ227" s="24">
        <f>IF(AI226&gt;0,ROUND(AJ226+ROUND(ROUND(AJ226*100,0)*ROUND(AG$7*10000,0)/12000000,0)/100+0.02,2),0)</f>
        <v>0</v>
      </c>
      <c r="AK227" s="24">
        <f>IF(AM226&gt;0,IF(AND(ROUND(AM226+AL227-ROUND(AK$6+IF(AK$5=$C227,$E$5+$E227,0),2),2)&gt;0,ROUND(AM226+AL227-ROUND(AK$6+IF(AK$5=$C227,$E$5+$E227,0),2),2)&lt;=AN227,ROUND(AM226+AL227-ROUND(AK$6+IF(AK$5=$C227,$E$5+$E227,0),2),2)*10&lt;=ROUND(AK$6+IF(AK$5=$C227,$E$5+$E227,0),2)),ROUND(AM226+AL227,2),MIN(ROUND(AK$6+IF(AK$5=$C227,$E$5+$E227,0),2),ROUND(AM226+AL227,2))),0)</f>
        <v>0</v>
      </c>
      <c r="AL227" s="24">
        <f>IF(AM226&gt;0,ROUND(ROUND(AM226*100,0)*ROUND(AK$7*10000,0)/12000000,0)/100,0)</f>
        <v>0</v>
      </c>
      <c r="AM227" s="24">
        <f>IF(AM226&gt;0,ROUND(AM226+AL227-AK227,2),0)</f>
        <v>0</v>
      </c>
      <c r="AN227" s="24">
        <f>IF(AM226&gt;0,ROUND(AN226+ROUND(ROUND(AN226*100,0)*ROUND(AK$7*10000,0)/12000000,0)/100+0.02,2),0)</f>
        <v>0</v>
      </c>
      <c r="AO227" s="24">
        <f>IF(AQ226&gt;0,IF(AND(ROUND(AQ226+AP227-ROUND(AO$6+IF(AO$5=$C227,$E$5+$E227,0),2),2)&gt;0,ROUND(AQ226+AP227-ROUND(AO$6+IF(AO$5=$C227,$E$5+$E227,0),2),2)&lt;=AR227,ROUND(AQ226+AP227-ROUND(AO$6+IF(AO$5=$C227,$E$5+$E227,0),2),2)*10&lt;=ROUND(AO$6+IF(AO$5=$C227,$E$5+$E227,0),2)),ROUND(AQ226+AP227,2),MIN(ROUND(AO$6+IF(AO$5=$C227,$E$5+$E227,0),2),ROUND(AQ226+AP227,2))),0)</f>
        <v>0</v>
      </c>
      <c r="AP227" s="24">
        <f>IF(AQ226&gt;0,ROUND(ROUND(AQ226*100,0)*ROUND(AO$7*10000,0)/12000000,0)/100,0)</f>
        <v>0</v>
      </c>
      <c r="AQ227" s="24">
        <f>IF(AQ226&gt;0,ROUND(AQ226+AP227-AO227,2),0)</f>
        <v>0</v>
      </c>
      <c r="AR227" s="24">
        <f>IF(AQ226&gt;0,ROUND(AR226+ROUND(ROUND(AR226*100,0)*ROUND(AO$7*10000,0)/12000000,0)/100+0.02,2),0)</f>
        <v>0</v>
      </c>
      <c r="AS227" s="24">
        <f>IF(AU226&gt;0,IF(AND(ROUND(AU226+AT227-ROUND(AS$6+IF(AS$5=$C227,$E$5+$E227,0),2),2)&gt;0,ROUND(AU226+AT227-ROUND(AS$6+IF(AS$5=$C227,$E$5+$E227,0),2),2)&lt;=AV227,ROUND(AU226+AT227-ROUND(AS$6+IF(AS$5=$C227,$E$5+$E227,0),2),2)*10&lt;=ROUND(AS$6+IF(AS$5=$C227,$E$5+$E227,0),2)),ROUND(AU226+AT227,2),MIN(ROUND(AS$6+IF(AS$5=$C227,$E$5+$E227,0),2),ROUND(AU226+AT227,2))),0)</f>
        <v>0</v>
      </c>
      <c r="AT227" s="24">
        <f>IF(AU226&gt;0,ROUND(ROUND(AU226*100,0)*ROUND(AS$7*10000,0)/12000000,0)/100,0)</f>
        <v>0</v>
      </c>
      <c r="AU227" s="24">
        <f>IF(AU226&gt;0,ROUND(AU226+AT227-AS227,2),0)</f>
        <v>0</v>
      </c>
      <c r="AV227" s="24">
        <f>IF(AU226&gt;0,ROUND(AV226+ROUND(ROUND(AV226*100,0)*ROUND(AS$7*10000,0)/12000000,0)/100+0.02,2),0)</f>
        <v>0</v>
      </c>
    </row>
    <row r="228" spans="1:48" x14ac:dyDescent="0.25">
      <c r="A228" s="17" t="str">
        <f>IF(F228&gt;0,218,"")</f>
        <v/>
      </c>
      <c r="B228" s="18" t="str">
        <f>IF(F228&gt;0,EDATE($E$6,218),"")</f>
        <v/>
      </c>
      <c r="C228" s="21">
        <f>IF(H227&gt;0,MIN(IF(K227&gt;0,I$5,99),IF(O227&gt;0,M$5,99),IF(S227&gt;0,Q$5,99),IF(W227&gt;0,U$5,99),IF(AA227&gt;0,Y$5,99),IF(AE227&gt;0,AC$5,99),IF(AI227&gt;0,AG$5,99),IF(AM227&gt;0,AK$5,99),IF(AQ227&gt;0,AO$5,99),IF(AU227&gt;0,AS$5,99)),0)</f>
        <v>0</v>
      </c>
      <c r="D228" t="str">
        <f>IF(C228&gt;0,INDEX($I$4:$AV$4,1,MATCH(C228,$I$5:$AV$5,0)),"")</f>
        <v/>
      </c>
      <c r="E228" s="24">
        <f>ROUND(IF(AND(I$8&gt;0,K227=0),I$6,0)+IF(AND(M$8&gt;0,O227=0),M$6,0)+IF(AND(Q$8&gt;0,S227=0),Q$6,0)+IF(AND(U$8&gt;0,W227=0),U$6,0)+IF(AND(Y$8&gt;0,AA227=0),Y$6,0)+IF(AND(AC$8&gt;0,AE227=0),AC$6,0)+IF(AND(AG$8&gt;0,AI227=0),AG$6,0)+IF(AND(AK$8&gt;0,AM227=0),AK$6,0)+IF(AND(AO$8&gt;0,AQ227=0),AO$6,0)+IF(AND(AS$8&gt;0,AU227=0),AS$6,0),2)</f>
        <v>325</v>
      </c>
      <c r="F228" s="24">
        <f>ROUND(I228+M228+Q228+U228+Y228+AC228+AG228+AK228+AO228+AS228,2)</f>
        <v>0</v>
      </c>
      <c r="G228" s="24">
        <f>ROUND(J228+N228+R228+V228+Z228+AD228+AH228+AL228+AP228+AT228,2)</f>
        <v>0</v>
      </c>
      <c r="H228" s="24">
        <f>ROUND(K228+O228+S228+W228+AA228+AE228+AI228+AM228+AQ228+AU228,2)</f>
        <v>0</v>
      </c>
      <c r="I228" s="24">
        <f>IF(K227&gt;0,IF(AND(ROUND(K227+J228-ROUND(I$6+IF(I$5=$C228,$E$5+$E228,0),2),2)&gt;0,ROUND(K227+J228-ROUND(I$6+IF(I$5=$C228,$E$5+$E228,0),2),2)&lt;=L228,ROUND(K227+J228-ROUND(I$6+IF(I$5=$C228,$E$5+$E228,0),2),2)*10&lt;=ROUND(I$6+IF(I$5=$C228,$E$5+$E228,0),2)),ROUND(K227+J228,2),MIN(ROUND(I$6+IF(I$5=$C228,$E$5+$E228,0),2),ROUND(K227+J228,2))),0)</f>
        <v>0</v>
      </c>
      <c r="J228" s="24">
        <f>IF(K227&gt;0,ROUND(ROUND(K227*100,0)*ROUND(I$7*10000,0)/12000000,0)/100,0)</f>
        <v>0</v>
      </c>
      <c r="K228" s="24">
        <f>IF(K227&gt;0,ROUND(K227+J228-I228,2),0)</f>
        <v>0</v>
      </c>
      <c r="L228" s="24">
        <f>IF(K227&gt;0,ROUND(L227+ROUND(ROUND(L227*100,0)*ROUND(I$7*10000,0)/12000000,0)/100+0.02,2),0)</f>
        <v>0</v>
      </c>
      <c r="M228" s="24">
        <f>IF(O227&gt;0,IF(AND(ROUND(O227+N228-ROUND(M$6+IF(M$5=$C228,$E$5+$E228,0),2),2)&gt;0,ROUND(O227+N228-ROUND(M$6+IF(M$5=$C228,$E$5+$E228,0),2),2)&lt;=P228,ROUND(O227+N228-ROUND(M$6+IF(M$5=$C228,$E$5+$E228,0),2),2)*10&lt;=ROUND(M$6+IF(M$5=$C228,$E$5+$E228,0),2)),ROUND(O227+N228,2),MIN(ROUND(M$6+IF(M$5=$C228,$E$5+$E228,0),2),ROUND(O227+N228,2))),0)</f>
        <v>0</v>
      </c>
      <c r="N228" s="24">
        <f>IF(O227&gt;0,ROUND(ROUND(O227*100,0)*ROUND(M$7*10000,0)/12000000,0)/100,0)</f>
        <v>0</v>
      </c>
      <c r="O228" s="24">
        <f>IF(O227&gt;0,ROUND(O227+N228-M228,2),0)</f>
        <v>0</v>
      </c>
      <c r="P228" s="24">
        <f>IF(O227&gt;0,ROUND(P227+ROUND(ROUND(P227*100,0)*ROUND(M$7*10000,0)/12000000,0)/100+0.02,2),0)</f>
        <v>0</v>
      </c>
      <c r="Q228" s="24">
        <f>IF(S227&gt;0,IF(AND(ROUND(S227+R228-ROUND(Q$6+IF(Q$5=$C228,$E$5+$E228,0),2),2)&gt;0,ROUND(S227+R228-ROUND(Q$6+IF(Q$5=$C228,$E$5+$E228,0),2),2)&lt;=T228,ROUND(S227+R228-ROUND(Q$6+IF(Q$5=$C228,$E$5+$E228,0),2),2)*10&lt;=ROUND(Q$6+IF(Q$5=$C228,$E$5+$E228,0),2)),ROUND(S227+R228,2),MIN(ROUND(Q$6+IF(Q$5=$C228,$E$5+$E228,0),2),ROUND(S227+R228,2))),0)</f>
        <v>0</v>
      </c>
      <c r="R228" s="24">
        <f>IF(S227&gt;0,ROUND(ROUND(S227*100,0)*ROUND(Q$7*10000,0)/12000000,0)/100,0)</f>
        <v>0</v>
      </c>
      <c r="S228" s="24">
        <f>IF(S227&gt;0,ROUND(S227+R228-Q228,2),0)</f>
        <v>0</v>
      </c>
      <c r="T228" s="24">
        <f>IF(S227&gt;0,ROUND(T227+ROUND(ROUND(T227*100,0)*ROUND(Q$7*10000,0)/12000000,0)/100+0.02,2),0)</f>
        <v>0</v>
      </c>
      <c r="U228" s="24">
        <f>IF(W227&gt;0,IF(AND(ROUND(W227+V228-ROUND(U$6+IF(U$5=$C228,$E$5+$E228,0),2),2)&gt;0,ROUND(W227+V228-ROUND(U$6+IF(U$5=$C228,$E$5+$E228,0),2),2)&lt;=X228,ROUND(W227+V228-ROUND(U$6+IF(U$5=$C228,$E$5+$E228,0),2),2)*10&lt;=ROUND(U$6+IF(U$5=$C228,$E$5+$E228,0),2)),ROUND(W227+V228,2),MIN(ROUND(U$6+IF(U$5=$C228,$E$5+$E228,0),2),ROUND(W227+V228,2))),0)</f>
        <v>0</v>
      </c>
      <c r="V228" s="24">
        <f>IF(W227&gt;0,ROUND(ROUND(W227*100,0)*ROUND(U$7*10000,0)/12000000,0)/100,0)</f>
        <v>0</v>
      </c>
      <c r="W228" s="24">
        <f>IF(W227&gt;0,ROUND(W227+V228-U228,2),0)</f>
        <v>0</v>
      </c>
      <c r="X228" s="24">
        <f>IF(W227&gt;0,ROUND(X227+ROUND(ROUND(X227*100,0)*ROUND(U$7*10000,0)/12000000,0)/100+0.02,2),0)</f>
        <v>0</v>
      </c>
      <c r="Y228" s="24">
        <f>IF(AA227&gt;0,IF(AND(ROUND(AA227+Z228-ROUND(Y$6+IF(Y$5=$C228,$E$5+$E228,0),2),2)&gt;0,ROUND(AA227+Z228-ROUND(Y$6+IF(Y$5=$C228,$E$5+$E228,0),2),2)&lt;=AB228,ROUND(AA227+Z228-ROUND(Y$6+IF(Y$5=$C228,$E$5+$E228,0),2),2)*10&lt;=ROUND(Y$6+IF(Y$5=$C228,$E$5+$E228,0),2)),ROUND(AA227+Z228,2),MIN(ROUND(Y$6+IF(Y$5=$C228,$E$5+$E228,0),2),ROUND(AA227+Z228,2))),0)</f>
        <v>0</v>
      </c>
      <c r="Z228" s="24">
        <f>IF(AA227&gt;0,ROUND(ROUND(AA227*100,0)*ROUND(Y$7*10000,0)/12000000,0)/100,0)</f>
        <v>0</v>
      </c>
      <c r="AA228" s="24">
        <f>IF(AA227&gt;0,ROUND(AA227+Z228-Y228,2),0)</f>
        <v>0</v>
      </c>
      <c r="AB228" s="24">
        <f>IF(AA227&gt;0,ROUND(AB227+ROUND(ROUND(AB227*100,0)*ROUND(Y$7*10000,0)/12000000,0)/100+0.02,2),0)</f>
        <v>0</v>
      </c>
      <c r="AC228" s="24">
        <f>IF(AE227&gt;0,IF(AND(ROUND(AE227+AD228-ROUND(AC$6+IF(AC$5=$C228,$E$5+$E228,0),2),2)&gt;0,ROUND(AE227+AD228-ROUND(AC$6+IF(AC$5=$C228,$E$5+$E228,0),2),2)&lt;=AF228,ROUND(AE227+AD228-ROUND(AC$6+IF(AC$5=$C228,$E$5+$E228,0),2),2)*10&lt;=ROUND(AC$6+IF(AC$5=$C228,$E$5+$E228,0),2)),ROUND(AE227+AD228,2),MIN(ROUND(AC$6+IF(AC$5=$C228,$E$5+$E228,0),2),ROUND(AE227+AD228,2))),0)</f>
        <v>0</v>
      </c>
      <c r="AD228" s="24">
        <f>IF(AE227&gt;0,ROUND(ROUND(AE227*100,0)*ROUND(AC$7*10000,0)/12000000,0)/100,0)</f>
        <v>0</v>
      </c>
      <c r="AE228" s="24">
        <f>IF(AE227&gt;0,ROUND(AE227+AD228-AC228,2),0)</f>
        <v>0</v>
      </c>
      <c r="AF228" s="24">
        <f>IF(AE227&gt;0,ROUND(AF227+ROUND(ROUND(AF227*100,0)*ROUND(AC$7*10000,0)/12000000,0)/100+0.02,2),0)</f>
        <v>0</v>
      </c>
      <c r="AG228" s="24">
        <f>IF(AI227&gt;0,IF(AND(ROUND(AI227+AH228-ROUND(AG$6+IF(AG$5=$C228,$E$5+$E228,0),2),2)&gt;0,ROUND(AI227+AH228-ROUND(AG$6+IF(AG$5=$C228,$E$5+$E228,0),2),2)&lt;=AJ228,ROUND(AI227+AH228-ROUND(AG$6+IF(AG$5=$C228,$E$5+$E228,0),2),2)*10&lt;=ROUND(AG$6+IF(AG$5=$C228,$E$5+$E228,0),2)),ROUND(AI227+AH228,2),MIN(ROUND(AG$6+IF(AG$5=$C228,$E$5+$E228,0),2),ROUND(AI227+AH228,2))),0)</f>
        <v>0</v>
      </c>
      <c r="AH228" s="24">
        <f>IF(AI227&gt;0,ROUND(ROUND(AI227*100,0)*ROUND(AG$7*10000,0)/12000000,0)/100,0)</f>
        <v>0</v>
      </c>
      <c r="AI228" s="24">
        <f>IF(AI227&gt;0,ROUND(AI227+AH228-AG228,2),0)</f>
        <v>0</v>
      </c>
      <c r="AJ228" s="24">
        <f>IF(AI227&gt;0,ROUND(AJ227+ROUND(ROUND(AJ227*100,0)*ROUND(AG$7*10000,0)/12000000,0)/100+0.02,2),0)</f>
        <v>0</v>
      </c>
      <c r="AK228" s="24">
        <f>IF(AM227&gt;0,IF(AND(ROUND(AM227+AL228-ROUND(AK$6+IF(AK$5=$C228,$E$5+$E228,0),2),2)&gt;0,ROUND(AM227+AL228-ROUND(AK$6+IF(AK$5=$C228,$E$5+$E228,0),2),2)&lt;=AN228,ROUND(AM227+AL228-ROUND(AK$6+IF(AK$5=$C228,$E$5+$E228,0),2),2)*10&lt;=ROUND(AK$6+IF(AK$5=$C228,$E$5+$E228,0),2)),ROUND(AM227+AL228,2),MIN(ROUND(AK$6+IF(AK$5=$C228,$E$5+$E228,0),2),ROUND(AM227+AL228,2))),0)</f>
        <v>0</v>
      </c>
      <c r="AL228" s="24">
        <f>IF(AM227&gt;0,ROUND(ROUND(AM227*100,0)*ROUND(AK$7*10000,0)/12000000,0)/100,0)</f>
        <v>0</v>
      </c>
      <c r="AM228" s="24">
        <f>IF(AM227&gt;0,ROUND(AM227+AL228-AK228,2),0)</f>
        <v>0</v>
      </c>
      <c r="AN228" s="24">
        <f>IF(AM227&gt;0,ROUND(AN227+ROUND(ROUND(AN227*100,0)*ROUND(AK$7*10000,0)/12000000,0)/100+0.02,2),0)</f>
        <v>0</v>
      </c>
      <c r="AO228" s="24">
        <f>IF(AQ227&gt;0,IF(AND(ROUND(AQ227+AP228-ROUND(AO$6+IF(AO$5=$C228,$E$5+$E228,0),2),2)&gt;0,ROUND(AQ227+AP228-ROUND(AO$6+IF(AO$5=$C228,$E$5+$E228,0),2),2)&lt;=AR228,ROUND(AQ227+AP228-ROUND(AO$6+IF(AO$5=$C228,$E$5+$E228,0),2),2)*10&lt;=ROUND(AO$6+IF(AO$5=$C228,$E$5+$E228,0),2)),ROUND(AQ227+AP228,2),MIN(ROUND(AO$6+IF(AO$5=$C228,$E$5+$E228,0),2),ROUND(AQ227+AP228,2))),0)</f>
        <v>0</v>
      </c>
      <c r="AP228" s="24">
        <f>IF(AQ227&gt;0,ROUND(ROUND(AQ227*100,0)*ROUND(AO$7*10000,0)/12000000,0)/100,0)</f>
        <v>0</v>
      </c>
      <c r="AQ228" s="24">
        <f>IF(AQ227&gt;0,ROUND(AQ227+AP228-AO228,2),0)</f>
        <v>0</v>
      </c>
      <c r="AR228" s="24">
        <f>IF(AQ227&gt;0,ROUND(AR227+ROUND(ROUND(AR227*100,0)*ROUND(AO$7*10000,0)/12000000,0)/100+0.02,2),0)</f>
        <v>0</v>
      </c>
      <c r="AS228" s="24">
        <f>IF(AU227&gt;0,IF(AND(ROUND(AU227+AT228-ROUND(AS$6+IF(AS$5=$C228,$E$5+$E228,0),2),2)&gt;0,ROUND(AU227+AT228-ROUND(AS$6+IF(AS$5=$C228,$E$5+$E228,0),2),2)&lt;=AV228,ROUND(AU227+AT228-ROUND(AS$6+IF(AS$5=$C228,$E$5+$E228,0),2),2)*10&lt;=ROUND(AS$6+IF(AS$5=$C228,$E$5+$E228,0),2)),ROUND(AU227+AT228,2),MIN(ROUND(AS$6+IF(AS$5=$C228,$E$5+$E228,0),2),ROUND(AU227+AT228,2))),0)</f>
        <v>0</v>
      </c>
      <c r="AT228" s="24">
        <f>IF(AU227&gt;0,ROUND(ROUND(AU227*100,0)*ROUND(AS$7*10000,0)/12000000,0)/100,0)</f>
        <v>0</v>
      </c>
      <c r="AU228" s="24">
        <f>IF(AU227&gt;0,ROUND(AU227+AT228-AS228,2),0)</f>
        <v>0</v>
      </c>
      <c r="AV228" s="24">
        <f>IF(AU227&gt;0,ROUND(AV227+ROUND(ROUND(AV227*100,0)*ROUND(AS$7*10000,0)/12000000,0)/100+0.02,2),0)</f>
        <v>0</v>
      </c>
    </row>
    <row r="229" spans="1:48" x14ac:dyDescent="0.25">
      <c r="A229" s="17" t="str">
        <f>IF(F229&gt;0,219,"")</f>
        <v/>
      </c>
      <c r="B229" s="18" t="str">
        <f>IF(F229&gt;0,EDATE($E$6,219),"")</f>
        <v/>
      </c>
      <c r="C229" s="21">
        <f>IF(H228&gt;0,MIN(IF(K228&gt;0,I$5,99),IF(O228&gt;0,M$5,99),IF(S228&gt;0,Q$5,99),IF(W228&gt;0,U$5,99),IF(AA228&gt;0,Y$5,99),IF(AE228&gt;0,AC$5,99),IF(AI228&gt;0,AG$5,99),IF(AM228&gt;0,AK$5,99),IF(AQ228&gt;0,AO$5,99),IF(AU228&gt;0,AS$5,99)),0)</f>
        <v>0</v>
      </c>
      <c r="D229" t="str">
        <f>IF(C229&gt;0,INDEX($I$4:$AV$4,1,MATCH(C229,$I$5:$AV$5,0)),"")</f>
        <v/>
      </c>
      <c r="E229" s="24">
        <f>ROUND(IF(AND(I$8&gt;0,K228=0),I$6,0)+IF(AND(M$8&gt;0,O228=0),M$6,0)+IF(AND(Q$8&gt;0,S228=0),Q$6,0)+IF(AND(U$8&gt;0,W228=0),U$6,0)+IF(AND(Y$8&gt;0,AA228=0),Y$6,0)+IF(AND(AC$8&gt;0,AE228=0),AC$6,0)+IF(AND(AG$8&gt;0,AI228=0),AG$6,0)+IF(AND(AK$8&gt;0,AM228=0),AK$6,0)+IF(AND(AO$8&gt;0,AQ228=0),AO$6,0)+IF(AND(AS$8&gt;0,AU228=0),AS$6,0),2)</f>
        <v>325</v>
      </c>
      <c r="F229" s="24">
        <f>ROUND(I229+M229+Q229+U229+Y229+AC229+AG229+AK229+AO229+AS229,2)</f>
        <v>0</v>
      </c>
      <c r="G229" s="24">
        <f>ROUND(J229+N229+R229+V229+Z229+AD229+AH229+AL229+AP229+AT229,2)</f>
        <v>0</v>
      </c>
      <c r="H229" s="24">
        <f>ROUND(K229+O229+S229+W229+AA229+AE229+AI229+AM229+AQ229+AU229,2)</f>
        <v>0</v>
      </c>
      <c r="I229" s="24">
        <f>IF(K228&gt;0,IF(AND(ROUND(K228+J229-ROUND(I$6+IF(I$5=$C229,$E$5+$E229,0),2),2)&gt;0,ROUND(K228+J229-ROUND(I$6+IF(I$5=$C229,$E$5+$E229,0),2),2)&lt;=L229,ROUND(K228+J229-ROUND(I$6+IF(I$5=$C229,$E$5+$E229,0),2),2)*10&lt;=ROUND(I$6+IF(I$5=$C229,$E$5+$E229,0),2)),ROUND(K228+J229,2),MIN(ROUND(I$6+IF(I$5=$C229,$E$5+$E229,0),2),ROUND(K228+J229,2))),0)</f>
        <v>0</v>
      </c>
      <c r="J229" s="24">
        <f>IF(K228&gt;0,ROUND(ROUND(K228*100,0)*ROUND(I$7*10000,0)/12000000,0)/100,0)</f>
        <v>0</v>
      </c>
      <c r="K229" s="24">
        <f>IF(K228&gt;0,ROUND(K228+J229-I229,2),0)</f>
        <v>0</v>
      </c>
      <c r="L229" s="24">
        <f>IF(K228&gt;0,ROUND(L228+ROUND(ROUND(L228*100,0)*ROUND(I$7*10000,0)/12000000,0)/100+0.02,2),0)</f>
        <v>0</v>
      </c>
      <c r="M229" s="24">
        <f>IF(O228&gt;0,IF(AND(ROUND(O228+N229-ROUND(M$6+IF(M$5=$C229,$E$5+$E229,0),2),2)&gt;0,ROUND(O228+N229-ROUND(M$6+IF(M$5=$C229,$E$5+$E229,0),2),2)&lt;=P229,ROUND(O228+N229-ROUND(M$6+IF(M$5=$C229,$E$5+$E229,0),2),2)*10&lt;=ROUND(M$6+IF(M$5=$C229,$E$5+$E229,0),2)),ROUND(O228+N229,2),MIN(ROUND(M$6+IF(M$5=$C229,$E$5+$E229,0),2),ROUND(O228+N229,2))),0)</f>
        <v>0</v>
      </c>
      <c r="N229" s="24">
        <f>IF(O228&gt;0,ROUND(ROUND(O228*100,0)*ROUND(M$7*10000,0)/12000000,0)/100,0)</f>
        <v>0</v>
      </c>
      <c r="O229" s="24">
        <f>IF(O228&gt;0,ROUND(O228+N229-M229,2),0)</f>
        <v>0</v>
      </c>
      <c r="P229" s="24">
        <f>IF(O228&gt;0,ROUND(P228+ROUND(ROUND(P228*100,0)*ROUND(M$7*10000,0)/12000000,0)/100+0.02,2),0)</f>
        <v>0</v>
      </c>
      <c r="Q229" s="24">
        <f>IF(S228&gt;0,IF(AND(ROUND(S228+R229-ROUND(Q$6+IF(Q$5=$C229,$E$5+$E229,0),2),2)&gt;0,ROUND(S228+R229-ROUND(Q$6+IF(Q$5=$C229,$E$5+$E229,0),2),2)&lt;=T229,ROUND(S228+R229-ROUND(Q$6+IF(Q$5=$C229,$E$5+$E229,0),2),2)*10&lt;=ROUND(Q$6+IF(Q$5=$C229,$E$5+$E229,0),2)),ROUND(S228+R229,2),MIN(ROUND(Q$6+IF(Q$5=$C229,$E$5+$E229,0),2),ROUND(S228+R229,2))),0)</f>
        <v>0</v>
      </c>
      <c r="R229" s="24">
        <f>IF(S228&gt;0,ROUND(ROUND(S228*100,0)*ROUND(Q$7*10000,0)/12000000,0)/100,0)</f>
        <v>0</v>
      </c>
      <c r="S229" s="24">
        <f>IF(S228&gt;0,ROUND(S228+R229-Q229,2),0)</f>
        <v>0</v>
      </c>
      <c r="T229" s="24">
        <f>IF(S228&gt;0,ROUND(T228+ROUND(ROUND(T228*100,0)*ROUND(Q$7*10000,0)/12000000,0)/100+0.02,2),0)</f>
        <v>0</v>
      </c>
      <c r="U229" s="24">
        <f>IF(W228&gt;0,IF(AND(ROUND(W228+V229-ROUND(U$6+IF(U$5=$C229,$E$5+$E229,0),2),2)&gt;0,ROUND(W228+V229-ROUND(U$6+IF(U$5=$C229,$E$5+$E229,0),2),2)&lt;=X229,ROUND(W228+V229-ROUND(U$6+IF(U$5=$C229,$E$5+$E229,0),2),2)*10&lt;=ROUND(U$6+IF(U$5=$C229,$E$5+$E229,0),2)),ROUND(W228+V229,2),MIN(ROUND(U$6+IF(U$5=$C229,$E$5+$E229,0),2),ROUND(W228+V229,2))),0)</f>
        <v>0</v>
      </c>
      <c r="V229" s="24">
        <f>IF(W228&gt;0,ROUND(ROUND(W228*100,0)*ROUND(U$7*10000,0)/12000000,0)/100,0)</f>
        <v>0</v>
      </c>
      <c r="W229" s="24">
        <f>IF(W228&gt;0,ROUND(W228+V229-U229,2),0)</f>
        <v>0</v>
      </c>
      <c r="X229" s="24">
        <f>IF(W228&gt;0,ROUND(X228+ROUND(ROUND(X228*100,0)*ROUND(U$7*10000,0)/12000000,0)/100+0.02,2),0)</f>
        <v>0</v>
      </c>
      <c r="Y229" s="24">
        <f>IF(AA228&gt;0,IF(AND(ROUND(AA228+Z229-ROUND(Y$6+IF(Y$5=$C229,$E$5+$E229,0),2),2)&gt;0,ROUND(AA228+Z229-ROUND(Y$6+IF(Y$5=$C229,$E$5+$E229,0),2),2)&lt;=AB229,ROUND(AA228+Z229-ROUND(Y$6+IF(Y$5=$C229,$E$5+$E229,0),2),2)*10&lt;=ROUND(Y$6+IF(Y$5=$C229,$E$5+$E229,0),2)),ROUND(AA228+Z229,2),MIN(ROUND(Y$6+IF(Y$5=$C229,$E$5+$E229,0),2),ROUND(AA228+Z229,2))),0)</f>
        <v>0</v>
      </c>
      <c r="Z229" s="24">
        <f>IF(AA228&gt;0,ROUND(ROUND(AA228*100,0)*ROUND(Y$7*10000,0)/12000000,0)/100,0)</f>
        <v>0</v>
      </c>
      <c r="AA229" s="24">
        <f>IF(AA228&gt;0,ROUND(AA228+Z229-Y229,2),0)</f>
        <v>0</v>
      </c>
      <c r="AB229" s="24">
        <f>IF(AA228&gt;0,ROUND(AB228+ROUND(ROUND(AB228*100,0)*ROUND(Y$7*10000,0)/12000000,0)/100+0.02,2),0)</f>
        <v>0</v>
      </c>
      <c r="AC229" s="24">
        <f>IF(AE228&gt;0,IF(AND(ROUND(AE228+AD229-ROUND(AC$6+IF(AC$5=$C229,$E$5+$E229,0),2),2)&gt;0,ROUND(AE228+AD229-ROUND(AC$6+IF(AC$5=$C229,$E$5+$E229,0),2),2)&lt;=AF229,ROUND(AE228+AD229-ROUND(AC$6+IF(AC$5=$C229,$E$5+$E229,0),2),2)*10&lt;=ROUND(AC$6+IF(AC$5=$C229,$E$5+$E229,0),2)),ROUND(AE228+AD229,2),MIN(ROUND(AC$6+IF(AC$5=$C229,$E$5+$E229,0),2),ROUND(AE228+AD229,2))),0)</f>
        <v>0</v>
      </c>
      <c r="AD229" s="24">
        <f>IF(AE228&gt;0,ROUND(ROUND(AE228*100,0)*ROUND(AC$7*10000,0)/12000000,0)/100,0)</f>
        <v>0</v>
      </c>
      <c r="AE229" s="24">
        <f>IF(AE228&gt;0,ROUND(AE228+AD229-AC229,2),0)</f>
        <v>0</v>
      </c>
      <c r="AF229" s="24">
        <f>IF(AE228&gt;0,ROUND(AF228+ROUND(ROUND(AF228*100,0)*ROUND(AC$7*10000,0)/12000000,0)/100+0.02,2),0)</f>
        <v>0</v>
      </c>
      <c r="AG229" s="24">
        <f>IF(AI228&gt;0,IF(AND(ROUND(AI228+AH229-ROUND(AG$6+IF(AG$5=$C229,$E$5+$E229,0),2),2)&gt;0,ROUND(AI228+AH229-ROUND(AG$6+IF(AG$5=$C229,$E$5+$E229,0),2),2)&lt;=AJ229,ROUND(AI228+AH229-ROUND(AG$6+IF(AG$5=$C229,$E$5+$E229,0),2),2)*10&lt;=ROUND(AG$6+IF(AG$5=$C229,$E$5+$E229,0),2)),ROUND(AI228+AH229,2),MIN(ROUND(AG$6+IF(AG$5=$C229,$E$5+$E229,0),2),ROUND(AI228+AH229,2))),0)</f>
        <v>0</v>
      </c>
      <c r="AH229" s="24">
        <f>IF(AI228&gt;0,ROUND(ROUND(AI228*100,0)*ROUND(AG$7*10000,0)/12000000,0)/100,0)</f>
        <v>0</v>
      </c>
      <c r="AI229" s="24">
        <f>IF(AI228&gt;0,ROUND(AI228+AH229-AG229,2),0)</f>
        <v>0</v>
      </c>
      <c r="AJ229" s="24">
        <f>IF(AI228&gt;0,ROUND(AJ228+ROUND(ROUND(AJ228*100,0)*ROUND(AG$7*10000,0)/12000000,0)/100+0.02,2),0)</f>
        <v>0</v>
      </c>
      <c r="AK229" s="24">
        <f>IF(AM228&gt;0,IF(AND(ROUND(AM228+AL229-ROUND(AK$6+IF(AK$5=$C229,$E$5+$E229,0),2),2)&gt;0,ROUND(AM228+AL229-ROUND(AK$6+IF(AK$5=$C229,$E$5+$E229,0),2),2)&lt;=AN229,ROUND(AM228+AL229-ROUND(AK$6+IF(AK$5=$C229,$E$5+$E229,0),2),2)*10&lt;=ROUND(AK$6+IF(AK$5=$C229,$E$5+$E229,0),2)),ROUND(AM228+AL229,2),MIN(ROUND(AK$6+IF(AK$5=$C229,$E$5+$E229,0),2),ROUND(AM228+AL229,2))),0)</f>
        <v>0</v>
      </c>
      <c r="AL229" s="24">
        <f>IF(AM228&gt;0,ROUND(ROUND(AM228*100,0)*ROUND(AK$7*10000,0)/12000000,0)/100,0)</f>
        <v>0</v>
      </c>
      <c r="AM229" s="24">
        <f>IF(AM228&gt;0,ROUND(AM228+AL229-AK229,2),0)</f>
        <v>0</v>
      </c>
      <c r="AN229" s="24">
        <f>IF(AM228&gt;0,ROUND(AN228+ROUND(ROUND(AN228*100,0)*ROUND(AK$7*10000,0)/12000000,0)/100+0.02,2),0)</f>
        <v>0</v>
      </c>
      <c r="AO229" s="24">
        <f>IF(AQ228&gt;0,IF(AND(ROUND(AQ228+AP229-ROUND(AO$6+IF(AO$5=$C229,$E$5+$E229,0),2),2)&gt;0,ROUND(AQ228+AP229-ROUND(AO$6+IF(AO$5=$C229,$E$5+$E229,0),2),2)&lt;=AR229,ROUND(AQ228+AP229-ROUND(AO$6+IF(AO$5=$C229,$E$5+$E229,0),2),2)*10&lt;=ROUND(AO$6+IF(AO$5=$C229,$E$5+$E229,0),2)),ROUND(AQ228+AP229,2),MIN(ROUND(AO$6+IF(AO$5=$C229,$E$5+$E229,0),2),ROUND(AQ228+AP229,2))),0)</f>
        <v>0</v>
      </c>
      <c r="AP229" s="24">
        <f>IF(AQ228&gt;0,ROUND(ROUND(AQ228*100,0)*ROUND(AO$7*10000,0)/12000000,0)/100,0)</f>
        <v>0</v>
      </c>
      <c r="AQ229" s="24">
        <f>IF(AQ228&gt;0,ROUND(AQ228+AP229-AO229,2),0)</f>
        <v>0</v>
      </c>
      <c r="AR229" s="24">
        <f>IF(AQ228&gt;0,ROUND(AR228+ROUND(ROUND(AR228*100,0)*ROUND(AO$7*10000,0)/12000000,0)/100+0.02,2),0)</f>
        <v>0</v>
      </c>
      <c r="AS229" s="24">
        <f>IF(AU228&gt;0,IF(AND(ROUND(AU228+AT229-ROUND(AS$6+IF(AS$5=$C229,$E$5+$E229,0),2),2)&gt;0,ROUND(AU228+AT229-ROUND(AS$6+IF(AS$5=$C229,$E$5+$E229,0),2),2)&lt;=AV229,ROUND(AU228+AT229-ROUND(AS$6+IF(AS$5=$C229,$E$5+$E229,0),2),2)*10&lt;=ROUND(AS$6+IF(AS$5=$C229,$E$5+$E229,0),2)),ROUND(AU228+AT229,2),MIN(ROUND(AS$6+IF(AS$5=$C229,$E$5+$E229,0),2),ROUND(AU228+AT229,2))),0)</f>
        <v>0</v>
      </c>
      <c r="AT229" s="24">
        <f>IF(AU228&gt;0,ROUND(ROUND(AU228*100,0)*ROUND(AS$7*10000,0)/12000000,0)/100,0)</f>
        <v>0</v>
      </c>
      <c r="AU229" s="24">
        <f>IF(AU228&gt;0,ROUND(AU228+AT229-AS229,2),0)</f>
        <v>0</v>
      </c>
      <c r="AV229" s="24">
        <f>IF(AU228&gt;0,ROUND(AV228+ROUND(ROUND(AV228*100,0)*ROUND(AS$7*10000,0)/12000000,0)/100+0.02,2),0)</f>
        <v>0</v>
      </c>
    </row>
    <row r="230" spans="1:48" x14ac:dyDescent="0.25">
      <c r="A230" s="17" t="str">
        <f>IF(F230&gt;0,220,"")</f>
        <v/>
      </c>
      <c r="B230" s="18" t="str">
        <f>IF(F230&gt;0,EDATE($E$6,220),"")</f>
        <v/>
      </c>
      <c r="C230" s="21">
        <f>IF(H229&gt;0,MIN(IF(K229&gt;0,I$5,99),IF(O229&gt;0,M$5,99),IF(S229&gt;0,Q$5,99),IF(W229&gt;0,U$5,99),IF(AA229&gt;0,Y$5,99),IF(AE229&gt;0,AC$5,99),IF(AI229&gt;0,AG$5,99),IF(AM229&gt;0,AK$5,99),IF(AQ229&gt;0,AO$5,99),IF(AU229&gt;0,AS$5,99)),0)</f>
        <v>0</v>
      </c>
      <c r="D230" t="str">
        <f>IF(C230&gt;0,INDEX($I$4:$AV$4,1,MATCH(C230,$I$5:$AV$5,0)),"")</f>
        <v/>
      </c>
      <c r="E230" s="24">
        <f>ROUND(IF(AND(I$8&gt;0,K229=0),I$6,0)+IF(AND(M$8&gt;0,O229=0),M$6,0)+IF(AND(Q$8&gt;0,S229=0),Q$6,0)+IF(AND(U$8&gt;0,W229=0),U$6,0)+IF(AND(Y$8&gt;0,AA229=0),Y$6,0)+IF(AND(AC$8&gt;0,AE229=0),AC$6,0)+IF(AND(AG$8&gt;0,AI229=0),AG$6,0)+IF(AND(AK$8&gt;0,AM229=0),AK$6,0)+IF(AND(AO$8&gt;0,AQ229=0),AO$6,0)+IF(AND(AS$8&gt;0,AU229=0),AS$6,0),2)</f>
        <v>325</v>
      </c>
      <c r="F230" s="24">
        <f>ROUND(I230+M230+Q230+U230+Y230+AC230+AG230+AK230+AO230+AS230,2)</f>
        <v>0</v>
      </c>
      <c r="G230" s="24">
        <f>ROUND(J230+N230+R230+V230+Z230+AD230+AH230+AL230+AP230+AT230,2)</f>
        <v>0</v>
      </c>
      <c r="H230" s="24">
        <f>ROUND(K230+O230+S230+W230+AA230+AE230+AI230+AM230+AQ230+AU230,2)</f>
        <v>0</v>
      </c>
      <c r="I230" s="24">
        <f>IF(K229&gt;0,IF(AND(ROUND(K229+J230-ROUND(I$6+IF(I$5=$C230,$E$5+$E230,0),2),2)&gt;0,ROUND(K229+J230-ROUND(I$6+IF(I$5=$C230,$E$5+$E230,0),2),2)&lt;=L230,ROUND(K229+J230-ROUND(I$6+IF(I$5=$C230,$E$5+$E230,0),2),2)*10&lt;=ROUND(I$6+IF(I$5=$C230,$E$5+$E230,0),2)),ROUND(K229+J230,2),MIN(ROUND(I$6+IF(I$5=$C230,$E$5+$E230,0),2),ROUND(K229+J230,2))),0)</f>
        <v>0</v>
      </c>
      <c r="J230" s="24">
        <f>IF(K229&gt;0,ROUND(ROUND(K229*100,0)*ROUND(I$7*10000,0)/12000000,0)/100,0)</f>
        <v>0</v>
      </c>
      <c r="K230" s="24">
        <f>IF(K229&gt;0,ROUND(K229+J230-I230,2),0)</f>
        <v>0</v>
      </c>
      <c r="L230" s="24">
        <f>IF(K229&gt;0,ROUND(L229+ROUND(ROUND(L229*100,0)*ROUND(I$7*10000,0)/12000000,0)/100+0.02,2),0)</f>
        <v>0</v>
      </c>
      <c r="M230" s="24">
        <f>IF(O229&gt;0,IF(AND(ROUND(O229+N230-ROUND(M$6+IF(M$5=$C230,$E$5+$E230,0),2),2)&gt;0,ROUND(O229+N230-ROUND(M$6+IF(M$5=$C230,$E$5+$E230,0),2),2)&lt;=P230,ROUND(O229+N230-ROUND(M$6+IF(M$5=$C230,$E$5+$E230,0),2),2)*10&lt;=ROUND(M$6+IF(M$5=$C230,$E$5+$E230,0),2)),ROUND(O229+N230,2),MIN(ROUND(M$6+IF(M$5=$C230,$E$5+$E230,0),2),ROUND(O229+N230,2))),0)</f>
        <v>0</v>
      </c>
      <c r="N230" s="24">
        <f>IF(O229&gt;0,ROUND(ROUND(O229*100,0)*ROUND(M$7*10000,0)/12000000,0)/100,0)</f>
        <v>0</v>
      </c>
      <c r="O230" s="24">
        <f>IF(O229&gt;0,ROUND(O229+N230-M230,2),0)</f>
        <v>0</v>
      </c>
      <c r="P230" s="24">
        <f>IF(O229&gt;0,ROUND(P229+ROUND(ROUND(P229*100,0)*ROUND(M$7*10000,0)/12000000,0)/100+0.02,2),0)</f>
        <v>0</v>
      </c>
      <c r="Q230" s="24">
        <f>IF(S229&gt;0,IF(AND(ROUND(S229+R230-ROUND(Q$6+IF(Q$5=$C230,$E$5+$E230,0),2),2)&gt;0,ROUND(S229+R230-ROUND(Q$6+IF(Q$5=$C230,$E$5+$E230,0),2),2)&lt;=T230,ROUND(S229+R230-ROUND(Q$6+IF(Q$5=$C230,$E$5+$E230,0),2),2)*10&lt;=ROUND(Q$6+IF(Q$5=$C230,$E$5+$E230,0),2)),ROUND(S229+R230,2),MIN(ROUND(Q$6+IF(Q$5=$C230,$E$5+$E230,0),2),ROUND(S229+R230,2))),0)</f>
        <v>0</v>
      </c>
      <c r="R230" s="24">
        <f>IF(S229&gt;0,ROUND(ROUND(S229*100,0)*ROUND(Q$7*10000,0)/12000000,0)/100,0)</f>
        <v>0</v>
      </c>
      <c r="S230" s="24">
        <f>IF(S229&gt;0,ROUND(S229+R230-Q230,2),0)</f>
        <v>0</v>
      </c>
      <c r="T230" s="24">
        <f>IF(S229&gt;0,ROUND(T229+ROUND(ROUND(T229*100,0)*ROUND(Q$7*10000,0)/12000000,0)/100+0.02,2),0)</f>
        <v>0</v>
      </c>
      <c r="U230" s="24">
        <f>IF(W229&gt;0,IF(AND(ROUND(W229+V230-ROUND(U$6+IF(U$5=$C230,$E$5+$E230,0),2),2)&gt;0,ROUND(W229+V230-ROUND(U$6+IF(U$5=$C230,$E$5+$E230,0),2),2)&lt;=X230,ROUND(W229+V230-ROUND(U$6+IF(U$5=$C230,$E$5+$E230,0),2),2)*10&lt;=ROUND(U$6+IF(U$5=$C230,$E$5+$E230,0),2)),ROUND(W229+V230,2),MIN(ROUND(U$6+IF(U$5=$C230,$E$5+$E230,0),2),ROUND(W229+V230,2))),0)</f>
        <v>0</v>
      </c>
      <c r="V230" s="24">
        <f>IF(W229&gt;0,ROUND(ROUND(W229*100,0)*ROUND(U$7*10000,0)/12000000,0)/100,0)</f>
        <v>0</v>
      </c>
      <c r="W230" s="24">
        <f>IF(W229&gt;0,ROUND(W229+V230-U230,2),0)</f>
        <v>0</v>
      </c>
      <c r="X230" s="24">
        <f>IF(W229&gt;0,ROUND(X229+ROUND(ROUND(X229*100,0)*ROUND(U$7*10000,0)/12000000,0)/100+0.02,2),0)</f>
        <v>0</v>
      </c>
      <c r="Y230" s="24">
        <f>IF(AA229&gt;0,IF(AND(ROUND(AA229+Z230-ROUND(Y$6+IF(Y$5=$C230,$E$5+$E230,0),2),2)&gt;0,ROUND(AA229+Z230-ROUND(Y$6+IF(Y$5=$C230,$E$5+$E230,0),2),2)&lt;=AB230,ROUND(AA229+Z230-ROUND(Y$6+IF(Y$5=$C230,$E$5+$E230,0),2),2)*10&lt;=ROUND(Y$6+IF(Y$5=$C230,$E$5+$E230,0),2)),ROUND(AA229+Z230,2),MIN(ROUND(Y$6+IF(Y$5=$C230,$E$5+$E230,0),2),ROUND(AA229+Z230,2))),0)</f>
        <v>0</v>
      </c>
      <c r="Z230" s="24">
        <f>IF(AA229&gt;0,ROUND(ROUND(AA229*100,0)*ROUND(Y$7*10000,0)/12000000,0)/100,0)</f>
        <v>0</v>
      </c>
      <c r="AA230" s="24">
        <f>IF(AA229&gt;0,ROUND(AA229+Z230-Y230,2),0)</f>
        <v>0</v>
      </c>
      <c r="AB230" s="24">
        <f>IF(AA229&gt;0,ROUND(AB229+ROUND(ROUND(AB229*100,0)*ROUND(Y$7*10000,0)/12000000,0)/100+0.02,2),0)</f>
        <v>0</v>
      </c>
      <c r="AC230" s="24">
        <f>IF(AE229&gt;0,IF(AND(ROUND(AE229+AD230-ROUND(AC$6+IF(AC$5=$C230,$E$5+$E230,0),2),2)&gt;0,ROUND(AE229+AD230-ROUND(AC$6+IF(AC$5=$C230,$E$5+$E230,0),2),2)&lt;=AF230,ROUND(AE229+AD230-ROUND(AC$6+IF(AC$5=$C230,$E$5+$E230,0),2),2)*10&lt;=ROUND(AC$6+IF(AC$5=$C230,$E$5+$E230,0),2)),ROUND(AE229+AD230,2),MIN(ROUND(AC$6+IF(AC$5=$C230,$E$5+$E230,0),2),ROUND(AE229+AD230,2))),0)</f>
        <v>0</v>
      </c>
      <c r="AD230" s="24">
        <f>IF(AE229&gt;0,ROUND(ROUND(AE229*100,0)*ROUND(AC$7*10000,0)/12000000,0)/100,0)</f>
        <v>0</v>
      </c>
      <c r="AE230" s="24">
        <f>IF(AE229&gt;0,ROUND(AE229+AD230-AC230,2),0)</f>
        <v>0</v>
      </c>
      <c r="AF230" s="24">
        <f>IF(AE229&gt;0,ROUND(AF229+ROUND(ROUND(AF229*100,0)*ROUND(AC$7*10000,0)/12000000,0)/100+0.02,2),0)</f>
        <v>0</v>
      </c>
      <c r="AG230" s="24">
        <f>IF(AI229&gt;0,IF(AND(ROUND(AI229+AH230-ROUND(AG$6+IF(AG$5=$C230,$E$5+$E230,0),2),2)&gt;0,ROUND(AI229+AH230-ROUND(AG$6+IF(AG$5=$C230,$E$5+$E230,0),2),2)&lt;=AJ230,ROUND(AI229+AH230-ROUND(AG$6+IF(AG$5=$C230,$E$5+$E230,0),2),2)*10&lt;=ROUND(AG$6+IF(AG$5=$C230,$E$5+$E230,0),2)),ROUND(AI229+AH230,2),MIN(ROUND(AG$6+IF(AG$5=$C230,$E$5+$E230,0),2),ROUND(AI229+AH230,2))),0)</f>
        <v>0</v>
      </c>
      <c r="AH230" s="24">
        <f>IF(AI229&gt;0,ROUND(ROUND(AI229*100,0)*ROUND(AG$7*10000,0)/12000000,0)/100,0)</f>
        <v>0</v>
      </c>
      <c r="AI230" s="24">
        <f>IF(AI229&gt;0,ROUND(AI229+AH230-AG230,2),0)</f>
        <v>0</v>
      </c>
      <c r="AJ230" s="24">
        <f>IF(AI229&gt;0,ROUND(AJ229+ROUND(ROUND(AJ229*100,0)*ROUND(AG$7*10000,0)/12000000,0)/100+0.02,2),0)</f>
        <v>0</v>
      </c>
      <c r="AK230" s="24">
        <f>IF(AM229&gt;0,IF(AND(ROUND(AM229+AL230-ROUND(AK$6+IF(AK$5=$C230,$E$5+$E230,0),2),2)&gt;0,ROUND(AM229+AL230-ROUND(AK$6+IF(AK$5=$C230,$E$5+$E230,0),2),2)&lt;=AN230,ROUND(AM229+AL230-ROUND(AK$6+IF(AK$5=$C230,$E$5+$E230,0),2),2)*10&lt;=ROUND(AK$6+IF(AK$5=$C230,$E$5+$E230,0),2)),ROUND(AM229+AL230,2),MIN(ROUND(AK$6+IF(AK$5=$C230,$E$5+$E230,0),2),ROUND(AM229+AL230,2))),0)</f>
        <v>0</v>
      </c>
      <c r="AL230" s="24">
        <f>IF(AM229&gt;0,ROUND(ROUND(AM229*100,0)*ROUND(AK$7*10000,0)/12000000,0)/100,0)</f>
        <v>0</v>
      </c>
      <c r="AM230" s="24">
        <f>IF(AM229&gt;0,ROUND(AM229+AL230-AK230,2),0)</f>
        <v>0</v>
      </c>
      <c r="AN230" s="24">
        <f>IF(AM229&gt;0,ROUND(AN229+ROUND(ROUND(AN229*100,0)*ROUND(AK$7*10000,0)/12000000,0)/100+0.02,2),0)</f>
        <v>0</v>
      </c>
      <c r="AO230" s="24">
        <f>IF(AQ229&gt;0,IF(AND(ROUND(AQ229+AP230-ROUND(AO$6+IF(AO$5=$C230,$E$5+$E230,0),2),2)&gt;0,ROUND(AQ229+AP230-ROUND(AO$6+IF(AO$5=$C230,$E$5+$E230,0),2),2)&lt;=AR230,ROUND(AQ229+AP230-ROUND(AO$6+IF(AO$5=$C230,$E$5+$E230,0),2),2)*10&lt;=ROUND(AO$6+IF(AO$5=$C230,$E$5+$E230,0),2)),ROUND(AQ229+AP230,2),MIN(ROUND(AO$6+IF(AO$5=$C230,$E$5+$E230,0),2),ROUND(AQ229+AP230,2))),0)</f>
        <v>0</v>
      </c>
      <c r="AP230" s="24">
        <f>IF(AQ229&gt;0,ROUND(ROUND(AQ229*100,0)*ROUND(AO$7*10000,0)/12000000,0)/100,0)</f>
        <v>0</v>
      </c>
      <c r="AQ230" s="24">
        <f>IF(AQ229&gt;0,ROUND(AQ229+AP230-AO230,2),0)</f>
        <v>0</v>
      </c>
      <c r="AR230" s="24">
        <f>IF(AQ229&gt;0,ROUND(AR229+ROUND(ROUND(AR229*100,0)*ROUND(AO$7*10000,0)/12000000,0)/100+0.02,2),0)</f>
        <v>0</v>
      </c>
      <c r="AS230" s="24">
        <f>IF(AU229&gt;0,IF(AND(ROUND(AU229+AT230-ROUND(AS$6+IF(AS$5=$C230,$E$5+$E230,0),2),2)&gt;0,ROUND(AU229+AT230-ROUND(AS$6+IF(AS$5=$C230,$E$5+$E230,0),2),2)&lt;=AV230,ROUND(AU229+AT230-ROUND(AS$6+IF(AS$5=$C230,$E$5+$E230,0),2),2)*10&lt;=ROUND(AS$6+IF(AS$5=$C230,$E$5+$E230,0),2)),ROUND(AU229+AT230,2),MIN(ROUND(AS$6+IF(AS$5=$C230,$E$5+$E230,0),2),ROUND(AU229+AT230,2))),0)</f>
        <v>0</v>
      </c>
      <c r="AT230" s="24">
        <f>IF(AU229&gt;0,ROUND(ROUND(AU229*100,0)*ROUND(AS$7*10000,0)/12000000,0)/100,0)</f>
        <v>0</v>
      </c>
      <c r="AU230" s="24">
        <f>IF(AU229&gt;0,ROUND(AU229+AT230-AS230,2),0)</f>
        <v>0</v>
      </c>
      <c r="AV230" s="24">
        <f>IF(AU229&gt;0,ROUND(AV229+ROUND(ROUND(AV229*100,0)*ROUND(AS$7*10000,0)/12000000,0)/100+0.02,2),0)</f>
        <v>0</v>
      </c>
    </row>
    <row r="231" spans="1:48" x14ac:dyDescent="0.25">
      <c r="A231" s="17" t="str">
        <f>IF(F231&gt;0,221,"")</f>
        <v/>
      </c>
      <c r="B231" s="18" t="str">
        <f>IF(F231&gt;0,EDATE($E$6,221),"")</f>
        <v/>
      </c>
      <c r="C231" s="21">
        <f>IF(H230&gt;0,MIN(IF(K230&gt;0,I$5,99),IF(O230&gt;0,M$5,99),IF(S230&gt;0,Q$5,99),IF(W230&gt;0,U$5,99),IF(AA230&gt;0,Y$5,99),IF(AE230&gt;0,AC$5,99),IF(AI230&gt;0,AG$5,99),IF(AM230&gt;0,AK$5,99),IF(AQ230&gt;0,AO$5,99),IF(AU230&gt;0,AS$5,99)),0)</f>
        <v>0</v>
      </c>
      <c r="D231" t="str">
        <f>IF(C231&gt;0,INDEX($I$4:$AV$4,1,MATCH(C231,$I$5:$AV$5,0)),"")</f>
        <v/>
      </c>
      <c r="E231" s="24">
        <f>ROUND(IF(AND(I$8&gt;0,K230=0),I$6,0)+IF(AND(M$8&gt;0,O230=0),M$6,0)+IF(AND(Q$8&gt;0,S230=0),Q$6,0)+IF(AND(U$8&gt;0,W230=0),U$6,0)+IF(AND(Y$8&gt;0,AA230=0),Y$6,0)+IF(AND(AC$8&gt;0,AE230=0),AC$6,0)+IF(AND(AG$8&gt;0,AI230=0),AG$6,0)+IF(AND(AK$8&gt;0,AM230=0),AK$6,0)+IF(AND(AO$8&gt;0,AQ230=0),AO$6,0)+IF(AND(AS$8&gt;0,AU230=0),AS$6,0),2)</f>
        <v>325</v>
      </c>
      <c r="F231" s="24">
        <f>ROUND(I231+M231+Q231+U231+Y231+AC231+AG231+AK231+AO231+AS231,2)</f>
        <v>0</v>
      </c>
      <c r="G231" s="24">
        <f>ROUND(J231+N231+R231+V231+Z231+AD231+AH231+AL231+AP231+AT231,2)</f>
        <v>0</v>
      </c>
      <c r="H231" s="24">
        <f>ROUND(K231+O231+S231+W231+AA231+AE231+AI231+AM231+AQ231+AU231,2)</f>
        <v>0</v>
      </c>
      <c r="I231" s="24">
        <f>IF(K230&gt;0,IF(AND(ROUND(K230+J231-ROUND(I$6+IF(I$5=$C231,$E$5+$E231,0),2),2)&gt;0,ROUND(K230+J231-ROUND(I$6+IF(I$5=$C231,$E$5+$E231,0),2),2)&lt;=L231,ROUND(K230+J231-ROUND(I$6+IF(I$5=$C231,$E$5+$E231,0),2),2)*10&lt;=ROUND(I$6+IF(I$5=$C231,$E$5+$E231,0),2)),ROUND(K230+J231,2),MIN(ROUND(I$6+IF(I$5=$C231,$E$5+$E231,0),2),ROUND(K230+J231,2))),0)</f>
        <v>0</v>
      </c>
      <c r="J231" s="24">
        <f>IF(K230&gt;0,ROUND(ROUND(K230*100,0)*ROUND(I$7*10000,0)/12000000,0)/100,0)</f>
        <v>0</v>
      </c>
      <c r="K231" s="24">
        <f>IF(K230&gt;0,ROUND(K230+J231-I231,2),0)</f>
        <v>0</v>
      </c>
      <c r="L231" s="24">
        <f>IF(K230&gt;0,ROUND(L230+ROUND(ROUND(L230*100,0)*ROUND(I$7*10000,0)/12000000,0)/100+0.02,2),0)</f>
        <v>0</v>
      </c>
      <c r="M231" s="24">
        <f>IF(O230&gt;0,IF(AND(ROUND(O230+N231-ROUND(M$6+IF(M$5=$C231,$E$5+$E231,0),2),2)&gt;0,ROUND(O230+N231-ROUND(M$6+IF(M$5=$C231,$E$5+$E231,0),2),2)&lt;=P231,ROUND(O230+N231-ROUND(M$6+IF(M$5=$C231,$E$5+$E231,0),2),2)*10&lt;=ROUND(M$6+IF(M$5=$C231,$E$5+$E231,0),2)),ROUND(O230+N231,2),MIN(ROUND(M$6+IF(M$5=$C231,$E$5+$E231,0),2),ROUND(O230+N231,2))),0)</f>
        <v>0</v>
      </c>
      <c r="N231" s="24">
        <f>IF(O230&gt;0,ROUND(ROUND(O230*100,0)*ROUND(M$7*10000,0)/12000000,0)/100,0)</f>
        <v>0</v>
      </c>
      <c r="O231" s="24">
        <f>IF(O230&gt;0,ROUND(O230+N231-M231,2),0)</f>
        <v>0</v>
      </c>
      <c r="P231" s="24">
        <f>IF(O230&gt;0,ROUND(P230+ROUND(ROUND(P230*100,0)*ROUND(M$7*10000,0)/12000000,0)/100+0.02,2),0)</f>
        <v>0</v>
      </c>
      <c r="Q231" s="24">
        <f>IF(S230&gt;0,IF(AND(ROUND(S230+R231-ROUND(Q$6+IF(Q$5=$C231,$E$5+$E231,0),2),2)&gt;0,ROUND(S230+R231-ROUND(Q$6+IF(Q$5=$C231,$E$5+$E231,0),2),2)&lt;=T231,ROUND(S230+R231-ROUND(Q$6+IF(Q$5=$C231,$E$5+$E231,0),2),2)*10&lt;=ROUND(Q$6+IF(Q$5=$C231,$E$5+$E231,0),2)),ROUND(S230+R231,2),MIN(ROUND(Q$6+IF(Q$5=$C231,$E$5+$E231,0),2),ROUND(S230+R231,2))),0)</f>
        <v>0</v>
      </c>
      <c r="R231" s="24">
        <f>IF(S230&gt;0,ROUND(ROUND(S230*100,0)*ROUND(Q$7*10000,0)/12000000,0)/100,0)</f>
        <v>0</v>
      </c>
      <c r="S231" s="24">
        <f>IF(S230&gt;0,ROUND(S230+R231-Q231,2),0)</f>
        <v>0</v>
      </c>
      <c r="T231" s="24">
        <f>IF(S230&gt;0,ROUND(T230+ROUND(ROUND(T230*100,0)*ROUND(Q$7*10000,0)/12000000,0)/100+0.02,2),0)</f>
        <v>0</v>
      </c>
      <c r="U231" s="24">
        <f>IF(W230&gt;0,IF(AND(ROUND(W230+V231-ROUND(U$6+IF(U$5=$C231,$E$5+$E231,0),2),2)&gt;0,ROUND(W230+V231-ROUND(U$6+IF(U$5=$C231,$E$5+$E231,0),2),2)&lt;=X231,ROUND(W230+V231-ROUND(U$6+IF(U$5=$C231,$E$5+$E231,0),2),2)*10&lt;=ROUND(U$6+IF(U$5=$C231,$E$5+$E231,0),2)),ROUND(W230+V231,2),MIN(ROUND(U$6+IF(U$5=$C231,$E$5+$E231,0),2),ROUND(W230+V231,2))),0)</f>
        <v>0</v>
      </c>
      <c r="V231" s="24">
        <f>IF(W230&gt;0,ROUND(ROUND(W230*100,0)*ROUND(U$7*10000,0)/12000000,0)/100,0)</f>
        <v>0</v>
      </c>
      <c r="W231" s="24">
        <f>IF(W230&gt;0,ROUND(W230+V231-U231,2),0)</f>
        <v>0</v>
      </c>
      <c r="X231" s="24">
        <f>IF(W230&gt;0,ROUND(X230+ROUND(ROUND(X230*100,0)*ROUND(U$7*10000,0)/12000000,0)/100+0.02,2),0)</f>
        <v>0</v>
      </c>
      <c r="Y231" s="24">
        <f>IF(AA230&gt;0,IF(AND(ROUND(AA230+Z231-ROUND(Y$6+IF(Y$5=$C231,$E$5+$E231,0),2),2)&gt;0,ROUND(AA230+Z231-ROUND(Y$6+IF(Y$5=$C231,$E$5+$E231,0),2),2)&lt;=AB231,ROUND(AA230+Z231-ROUND(Y$6+IF(Y$5=$C231,$E$5+$E231,0),2),2)*10&lt;=ROUND(Y$6+IF(Y$5=$C231,$E$5+$E231,0),2)),ROUND(AA230+Z231,2),MIN(ROUND(Y$6+IF(Y$5=$C231,$E$5+$E231,0),2),ROUND(AA230+Z231,2))),0)</f>
        <v>0</v>
      </c>
      <c r="Z231" s="24">
        <f>IF(AA230&gt;0,ROUND(ROUND(AA230*100,0)*ROUND(Y$7*10000,0)/12000000,0)/100,0)</f>
        <v>0</v>
      </c>
      <c r="AA231" s="24">
        <f>IF(AA230&gt;0,ROUND(AA230+Z231-Y231,2),0)</f>
        <v>0</v>
      </c>
      <c r="AB231" s="24">
        <f>IF(AA230&gt;0,ROUND(AB230+ROUND(ROUND(AB230*100,0)*ROUND(Y$7*10000,0)/12000000,0)/100+0.02,2),0)</f>
        <v>0</v>
      </c>
      <c r="AC231" s="24">
        <f>IF(AE230&gt;0,IF(AND(ROUND(AE230+AD231-ROUND(AC$6+IF(AC$5=$C231,$E$5+$E231,0),2),2)&gt;0,ROUND(AE230+AD231-ROUND(AC$6+IF(AC$5=$C231,$E$5+$E231,0),2),2)&lt;=AF231,ROUND(AE230+AD231-ROUND(AC$6+IF(AC$5=$C231,$E$5+$E231,0),2),2)*10&lt;=ROUND(AC$6+IF(AC$5=$C231,$E$5+$E231,0),2)),ROUND(AE230+AD231,2),MIN(ROUND(AC$6+IF(AC$5=$C231,$E$5+$E231,0),2),ROUND(AE230+AD231,2))),0)</f>
        <v>0</v>
      </c>
      <c r="AD231" s="24">
        <f>IF(AE230&gt;0,ROUND(ROUND(AE230*100,0)*ROUND(AC$7*10000,0)/12000000,0)/100,0)</f>
        <v>0</v>
      </c>
      <c r="AE231" s="24">
        <f>IF(AE230&gt;0,ROUND(AE230+AD231-AC231,2),0)</f>
        <v>0</v>
      </c>
      <c r="AF231" s="24">
        <f>IF(AE230&gt;0,ROUND(AF230+ROUND(ROUND(AF230*100,0)*ROUND(AC$7*10000,0)/12000000,0)/100+0.02,2),0)</f>
        <v>0</v>
      </c>
      <c r="AG231" s="24">
        <f>IF(AI230&gt;0,IF(AND(ROUND(AI230+AH231-ROUND(AG$6+IF(AG$5=$C231,$E$5+$E231,0),2),2)&gt;0,ROUND(AI230+AH231-ROUND(AG$6+IF(AG$5=$C231,$E$5+$E231,0),2),2)&lt;=AJ231,ROUND(AI230+AH231-ROUND(AG$6+IF(AG$5=$C231,$E$5+$E231,0),2),2)*10&lt;=ROUND(AG$6+IF(AG$5=$C231,$E$5+$E231,0),2)),ROUND(AI230+AH231,2),MIN(ROUND(AG$6+IF(AG$5=$C231,$E$5+$E231,0),2),ROUND(AI230+AH231,2))),0)</f>
        <v>0</v>
      </c>
      <c r="AH231" s="24">
        <f>IF(AI230&gt;0,ROUND(ROUND(AI230*100,0)*ROUND(AG$7*10000,0)/12000000,0)/100,0)</f>
        <v>0</v>
      </c>
      <c r="AI231" s="24">
        <f>IF(AI230&gt;0,ROUND(AI230+AH231-AG231,2),0)</f>
        <v>0</v>
      </c>
      <c r="AJ231" s="24">
        <f>IF(AI230&gt;0,ROUND(AJ230+ROUND(ROUND(AJ230*100,0)*ROUND(AG$7*10000,0)/12000000,0)/100+0.02,2),0)</f>
        <v>0</v>
      </c>
      <c r="AK231" s="24">
        <f>IF(AM230&gt;0,IF(AND(ROUND(AM230+AL231-ROUND(AK$6+IF(AK$5=$C231,$E$5+$E231,0),2),2)&gt;0,ROUND(AM230+AL231-ROUND(AK$6+IF(AK$5=$C231,$E$5+$E231,0),2),2)&lt;=AN231,ROUND(AM230+AL231-ROUND(AK$6+IF(AK$5=$C231,$E$5+$E231,0),2),2)*10&lt;=ROUND(AK$6+IF(AK$5=$C231,$E$5+$E231,0),2)),ROUND(AM230+AL231,2),MIN(ROUND(AK$6+IF(AK$5=$C231,$E$5+$E231,0),2),ROUND(AM230+AL231,2))),0)</f>
        <v>0</v>
      </c>
      <c r="AL231" s="24">
        <f>IF(AM230&gt;0,ROUND(ROUND(AM230*100,0)*ROUND(AK$7*10000,0)/12000000,0)/100,0)</f>
        <v>0</v>
      </c>
      <c r="AM231" s="24">
        <f>IF(AM230&gt;0,ROUND(AM230+AL231-AK231,2),0)</f>
        <v>0</v>
      </c>
      <c r="AN231" s="24">
        <f>IF(AM230&gt;0,ROUND(AN230+ROUND(ROUND(AN230*100,0)*ROUND(AK$7*10000,0)/12000000,0)/100+0.02,2),0)</f>
        <v>0</v>
      </c>
      <c r="AO231" s="24">
        <f>IF(AQ230&gt;0,IF(AND(ROUND(AQ230+AP231-ROUND(AO$6+IF(AO$5=$C231,$E$5+$E231,0),2),2)&gt;0,ROUND(AQ230+AP231-ROUND(AO$6+IF(AO$5=$C231,$E$5+$E231,0),2),2)&lt;=AR231,ROUND(AQ230+AP231-ROUND(AO$6+IF(AO$5=$C231,$E$5+$E231,0),2),2)*10&lt;=ROUND(AO$6+IF(AO$5=$C231,$E$5+$E231,0),2)),ROUND(AQ230+AP231,2),MIN(ROUND(AO$6+IF(AO$5=$C231,$E$5+$E231,0),2),ROUND(AQ230+AP231,2))),0)</f>
        <v>0</v>
      </c>
      <c r="AP231" s="24">
        <f>IF(AQ230&gt;0,ROUND(ROUND(AQ230*100,0)*ROUND(AO$7*10000,0)/12000000,0)/100,0)</f>
        <v>0</v>
      </c>
      <c r="AQ231" s="24">
        <f>IF(AQ230&gt;0,ROUND(AQ230+AP231-AO231,2),0)</f>
        <v>0</v>
      </c>
      <c r="AR231" s="24">
        <f>IF(AQ230&gt;0,ROUND(AR230+ROUND(ROUND(AR230*100,0)*ROUND(AO$7*10000,0)/12000000,0)/100+0.02,2),0)</f>
        <v>0</v>
      </c>
      <c r="AS231" s="24">
        <f>IF(AU230&gt;0,IF(AND(ROUND(AU230+AT231-ROUND(AS$6+IF(AS$5=$C231,$E$5+$E231,0),2),2)&gt;0,ROUND(AU230+AT231-ROUND(AS$6+IF(AS$5=$C231,$E$5+$E231,0),2),2)&lt;=AV231,ROUND(AU230+AT231-ROUND(AS$6+IF(AS$5=$C231,$E$5+$E231,0),2),2)*10&lt;=ROUND(AS$6+IF(AS$5=$C231,$E$5+$E231,0),2)),ROUND(AU230+AT231,2),MIN(ROUND(AS$6+IF(AS$5=$C231,$E$5+$E231,0),2),ROUND(AU230+AT231,2))),0)</f>
        <v>0</v>
      </c>
      <c r="AT231" s="24">
        <f>IF(AU230&gt;0,ROUND(ROUND(AU230*100,0)*ROUND(AS$7*10000,0)/12000000,0)/100,0)</f>
        <v>0</v>
      </c>
      <c r="AU231" s="24">
        <f>IF(AU230&gt;0,ROUND(AU230+AT231-AS231,2),0)</f>
        <v>0</v>
      </c>
      <c r="AV231" s="24">
        <f>IF(AU230&gt;0,ROUND(AV230+ROUND(ROUND(AV230*100,0)*ROUND(AS$7*10000,0)/12000000,0)/100+0.02,2),0)</f>
        <v>0</v>
      </c>
    </row>
    <row r="232" spans="1:48" x14ac:dyDescent="0.25">
      <c r="A232" s="17" t="str">
        <f>IF(F232&gt;0,222,"")</f>
        <v/>
      </c>
      <c r="B232" s="18" t="str">
        <f>IF(F232&gt;0,EDATE($E$6,222),"")</f>
        <v/>
      </c>
      <c r="C232" s="21">
        <f>IF(H231&gt;0,MIN(IF(K231&gt;0,I$5,99),IF(O231&gt;0,M$5,99),IF(S231&gt;0,Q$5,99),IF(W231&gt;0,U$5,99),IF(AA231&gt;0,Y$5,99),IF(AE231&gt;0,AC$5,99),IF(AI231&gt;0,AG$5,99),IF(AM231&gt;0,AK$5,99),IF(AQ231&gt;0,AO$5,99),IF(AU231&gt;0,AS$5,99)),0)</f>
        <v>0</v>
      </c>
      <c r="D232" t="str">
        <f>IF(C232&gt;0,INDEX($I$4:$AV$4,1,MATCH(C232,$I$5:$AV$5,0)),"")</f>
        <v/>
      </c>
      <c r="E232" s="24">
        <f>ROUND(IF(AND(I$8&gt;0,K231=0),I$6,0)+IF(AND(M$8&gt;0,O231=0),M$6,0)+IF(AND(Q$8&gt;0,S231=0),Q$6,0)+IF(AND(U$8&gt;0,W231=0),U$6,0)+IF(AND(Y$8&gt;0,AA231=0),Y$6,0)+IF(AND(AC$8&gt;0,AE231=0),AC$6,0)+IF(AND(AG$8&gt;0,AI231=0),AG$6,0)+IF(AND(AK$8&gt;0,AM231=0),AK$6,0)+IF(AND(AO$8&gt;0,AQ231=0),AO$6,0)+IF(AND(AS$8&gt;0,AU231=0),AS$6,0),2)</f>
        <v>325</v>
      </c>
      <c r="F232" s="24">
        <f>ROUND(I232+M232+Q232+U232+Y232+AC232+AG232+AK232+AO232+AS232,2)</f>
        <v>0</v>
      </c>
      <c r="G232" s="24">
        <f>ROUND(J232+N232+R232+V232+Z232+AD232+AH232+AL232+AP232+AT232,2)</f>
        <v>0</v>
      </c>
      <c r="H232" s="24">
        <f>ROUND(K232+O232+S232+W232+AA232+AE232+AI232+AM232+AQ232+AU232,2)</f>
        <v>0</v>
      </c>
      <c r="I232" s="24">
        <f>IF(K231&gt;0,IF(AND(ROUND(K231+J232-ROUND(I$6+IF(I$5=$C232,$E$5+$E232,0),2),2)&gt;0,ROUND(K231+J232-ROUND(I$6+IF(I$5=$C232,$E$5+$E232,0),2),2)&lt;=L232,ROUND(K231+J232-ROUND(I$6+IF(I$5=$C232,$E$5+$E232,0),2),2)*10&lt;=ROUND(I$6+IF(I$5=$C232,$E$5+$E232,0),2)),ROUND(K231+J232,2),MIN(ROUND(I$6+IF(I$5=$C232,$E$5+$E232,0),2),ROUND(K231+J232,2))),0)</f>
        <v>0</v>
      </c>
      <c r="J232" s="24">
        <f>IF(K231&gt;0,ROUND(ROUND(K231*100,0)*ROUND(I$7*10000,0)/12000000,0)/100,0)</f>
        <v>0</v>
      </c>
      <c r="K232" s="24">
        <f>IF(K231&gt;0,ROUND(K231+J232-I232,2),0)</f>
        <v>0</v>
      </c>
      <c r="L232" s="24">
        <f>IF(K231&gt;0,ROUND(L231+ROUND(ROUND(L231*100,0)*ROUND(I$7*10000,0)/12000000,0)/100+0.02,2),0)</f>
        <v>0</v>
      </c>
      <c r="M232" s="24">
        <f>IF(O231&gt;0,IF(AND(ROUND(O231+N232-ROUND(M$6+IF(M$5=$C232,$E$5+$E232,0),2),2)&gt;0,ROUND(O231+N232-ROUND(M$6+IF(M$5=$C232,$E$5+$E232,0),2),2)&lt;=P232,ROUND(O231+N232-ROUND(M$6+IF(M$5=$C232,$E$5+$E232,0),2),2)*10&lt;=ROUND(M$6+IF(M$5=$C232,$E$5+$E232,0),2)),ROUND(O231+N232,2),MIN(ROUND(M$6+IF(M$5=$C232,$E$5+$E232,0),2),ROUND(O231+N232,2))),0)</f>
        <v>0</v>
      </c>
      <c r="N232" s="24">
        <f>IF(O231&gt;0,ROUND(ROUND(O231*100,0)*ROUND(M$7*10000,0)/12000000,0)/100,0)</f>
        <v>0</v>
      </c>
      <c r="O232" s="24">
        <f>IF(O231&gt;0,ROUND(O231+N232-M232,2),0)</f>
        <v>0</v>
      </c>
      <c r="P232" s="24">
        <f>IF(O231&gt;0,ROUND(P231+ROUND(ROUND(P231*100,0)*ROUND(M$7*10000,0)/12000000,0)/100+0.02,2),0)</f>
        <v>0</v>
      </c>
      <c r="Q232" s="24">
        <f>IF(S231&gt;0,IF(AND(ROUND(S231+R232-ROUND(Q$6+IF(Q$5=$C232,$E$5+$E232,0),2),2)&gt;0,ROUND(S231+R232-ROUND(Q$6+IF(Q$5=$C232,$E$5+$E232,0),2),2)&lt;=T232,ROUND(S231+R232-ROUND(Q$6+IF(Q$5=$C232,$E$5+$E232,0),2),2)*10&lt;=ROUND(Q$6+IF(Q$5=$C232,$E$5+$E232,0),2)),ROUND(S231+R232,2),MIN(ROUND(Q$6+IF(Q$5=$C232,$E$5+$E232,0),2),ROUND(S231+R232,2))),0)</f>
        <v>0</v>
      </c>
      <c r="R232" s="24">
        <f>IF(S231&gt;0,ROUND(ROUND(S231*100,0)*ROUND(Q$7*10000,0)/12000000,0)/100,0)</f>
        <v>0</v>
      </c>
      <c r="S232" s="24">
        <f>IF(S231&gt;0,ROUND(S231+R232-Q232,2),0)</f>
        <v>0</v>
      </c>
      <c r="T232" s="24">
        <f>IF(S231&gt;0,ROUND(T231+ROUND(ROUND(T231*100,0)*ROUND(Q$7*10000,0)/12000000,0)/100+0.02,2),0)</f>
        <v>0</v>
      </c>
      <c r="U232" s="24">
        <f>IF(W231&gt;0,IF(AND(ROUND(W231+V232-ROUND(U$6+IF(U$5=$C232,$E$5+$E232,0),2),2)&gt;0,ROUND(W231+V232-ROUND(U$6+IF(U$5=$C232,$E$5+$E232,0),2),2)&lt;=X232,ROUND(W231+V232-ROUND(U$6+IF(U$5=$C232,$E$5+$E232,0),2),2)*10&lt;=ROUND(U$6+IF(U$5=$C232,$E$5+$E232,0),2)),ROUND(W231+V232,2),MIN(ROUND(U$6+IF(U$5=$C232,$E$5+$E232,0),2),ROUND(W231+V232,2))),0)</f>
        <v>0</v>
      </c>
      <c r="V232" s="24">
        <f>IF(W231&gt;0,ROUND(ROUND(W231*100,0)*ROUND(U$7*10000,0)/12000000,0)/100,0)</f>
        <v>0</v>
      </c>
      <c r="W232" s="24">
        <f>IF(W231&gt;0,ROUND(W231+V232-U232,2),0)</f>
        <v>0</v>
      </c>
      <c r="X232" s="24">
        <f>IF(W231&gt;0,ROUND(X231+ROUND(ROUND(X231*100,0)*ROUND(U$7*10000,0)/12000000,0)/100+0.02,2),0)</f>
        <v>0</v>
      </c>
      <c r="Y232" s="24">
        <f>IF(AA231&gt;0,IF(AND(ROUND(AA231+Z232-ROUND(Y$6+IF(Y$5=$C232,$E$5+$E232,0),2),2)&gt;0,ROUND(AA231+Z232-ROUND(Y$6+IF(Y$5=$C232,$E$5+$E232,0),2),2)&lt;=AB232,ROUND(AA231+Z232-ROUND(Y$6+IF(Y$5=$C232,$E$5+$E232,0),2),2)*10&lt;=ROUND(Y$6+IF(Y$5=$C232,$E$5+$E232,0),2)),ROUND(AA231+Z232,2),MIN(ROUND(Y$6+IF(Y$5=$C232,$E$5+$E232,0),2),ROUND(AA231+Z232,2))),0)</f>
        <v>0</v>
      </c>
      <c r="Z232" s="24">
        <f>IF(AA231&gt;0,ROUND(ROUND(AA231*100,0)*ROUND(Y$7*10000,0)/12000000,0)/100,0)</f>
        <v>0</v>
      </c>
      <c r="AA232" s="24">
        <f>IF(AA231&gt;0,ROUND(AA231+Z232-Y232,2),0)</f>
        <v>0</v>
      </c>
      <c r="AB232" s="24">
        <f>IF(AA231&gt;0,ROUND(AB231+ROUND(ROUND(AB231*100,0)*ROUND(Y$7*10000,0)/12000000,0)/100+0.02,2),0)</f>
        <v>0</v>
      </c>
      <c r="AC232" s="24">
        <f>IF(AE231&gt;0,IF(AND(ROUND(AE231+AD232-ROUND(AC$6+IF(AC$5=$C232,$E$5+$E232,0),2),2)&gt;0,ROUND(AE231+AD232-ROUND(AC$6+IF(AC$5=$C232,$E$5+$E232,0),2),2)&lt;=AF232,ROUND(AE231+AD232-ROUND(AC$6+IF(AC$5=$C232,$E$5+$E232,0),2),2)*10&lt;=ROUND(AC$6+IF(AC$5=$C232,$E$5+$E232,0),2)),ROUND(AE231+AD232,2),MIN(ROUND(AC$6+IF(AC$5=$C232,$E$5+$E232,0),2),ROUND(AE231+AD232,2))),0)</f>
        <v>0</v>
      </c>
      <c r="AD232" s="24">
        <f>IF(AE231&gt;0,ROUND(ROUND(AE231*100,0)*ROUND(AC$7*10000,0)/12000000,0)/100,0)</f>
        <v>0</v>
      </c>
      <c r="AE232" s="24">
        <f>IF(AE231&gt;0,ROUND(AE231+AD232-AC232,2),0)</f>
        <v>0</v>
      </c>
      <c r="AF232" s="24">
        <f>IF(AE231&gt;0,ROUND(AF231+ROUND(ROUND(AF231*100,0)*ROUND(AC$7*10000,0)/12000000,0)/100+0.02,2),0)</f>
        <v>0</v>
      </c>
      <c r="AG232" s="24">
        <f>IF(AI231&gt;0,IF(AND(ROUND(AI231+AH232-ROUND(AG$6+IF(AG$5=$C232,$E$5+$E232,0),2),2)&gt;0,ROUND(AI231+AH232-ROUND(AG$6+IF(AG$5=$C232,$E$5+$E232,0),2),2)&lt;=AJ232,ROUND(AI231+AH232-ROUND(AG$6+IF(AG$5=$C232,$E$5+$E232,0),2),2)*10&lt;=ROUND(AG$6+IF(AG$5=$C232,$E$5+$E232,0),2)),ROUND(AI231+AH232,2),MIN(ROUND(AG$6+IF(AG$5=$C232,$E$5+$E232,0),2),ROUND(AI231+AH232,2))),0)</f>
        <v>0</v>
      </c>
      <c r="AH232" s="24">
        <f>IF(AI231&gt;0,ROUND(ROUND(AI231*100,0)*ROUND(AG$7*10000,0)/12000000,0)/100,0)</f>
        <v>0</v>
      </c>
      <c r="AI232" s="24">
        <f>IF(AI231&gt;0,ROUND(AI231+AH232-AG232,2),0)</f>
        <v>0</v>
      </c>
      <c r="AJ232" s="24">
        <f>IF(AI231&gt;0,ROUND(AJ231+ROUND(ROUND(AJ231*100,0)*ROUND(AG$7*10000,0)/12000000,0)/100+0.02,2),0)</f>
        <v>0</v>
      </c>
      <c r="AK232" s="24">
        <f>IF(AM231&gt;0,IF(AND(ROUND(AM231+AL232-ROUND(AK$6+IF(AK$5=$C232,$E$5+$E232,0),2),2)&gt;0,ROUND(AM231+AL232-ROUND(AK$6+IF(AK$5=$C232,$E$5+$E232,0),2),2)&lt;=AN232,ROUND(AM231+AL232-ROUND(AK$6+IF(AK$5=$C232,$E$5+$E232,0),2),2)*10&lt;=ROUND(AK$6+IF(AK$5=$C232,$E$5+$E232,0),2)),ROUND(AM231+AL232,2),MIN(ROUND(AK$6+IF(AK$5=$C232,$E$5+$E232,0),2),ROUND(AM231+AL232,2))),0)</f>
        <v>0</v>
      </c>
      <c r="AL232" s="24">
        <f>IF(AM231&gt;0,ROUND(ROUND(AM231*100,0)*ROUND(AK$7*10000,0)/12000000,0)/100,0)</f>
        <v>0</v>
      </c>
      <c r="AM232" s="24">
        <f>IF(AM231&gt;0,ROUND(AM231+AL232-AK232,2),0)</f>
        <v>0</v>
      </c>
      <c r="AN232" s="24">
        <f>IF(AM231&gt;0,ROUND(AN231+ROUND(ROUND(AN231*100,0)*ROUND(AK$7*10000,0)/12000000,0)/100+0.02,2),0)</f>
        <v>0</v>
      </c>
      <c r="AO232" s="24">
        <f>IF(AQ231&gt;0,IF(AND(ROUND(AQ231+AP232-ROUND(AO$6+IF(AO$5=$C232,$E$5+$E232,0),2),2)&gt;0,ROUND(AQ231+AP232-ROUND(AO$6+IF(AO$5=$C232,$E$5+$E232,0),2),2)&lt;=AR232,ROUND(AQ231+AP232-ROUND(AO$6+IF(AO$5=$C232,$E$5+$E232,0),2),2)*10&lt;=ROUND(AO$6+IF(AO$5=$C232,$E$5+$E232,0),2)),ROUND(AQ231+AP232,2),MIN(ROUND(AO$6+IF(AO$5=$C232,$E$5+$E232,0),2),ROUND(AQ231+AP232,2))),0)</f>
        <v>0</v>
      </c>
      <c r="AP232" s="24">
        <f>IF(AQ231&gt;0,ROUND(ROUND(AQ231*100,0)*ROUND(AO$7*10000,0)/12000000,0)/100,0)</f>
        <v>0</v>
      </c>
      <c r="AQ232" s="24">
        <f>IF(AQ231&gt;0,ROUND(AQ231+AP232-AO232,2),0)</f>
        <v>0</v>
      </c>
      <c r="AR232" s="24">
        <f>IF(AQ231&gt;0,ROUND(AR231+ROUND(ROUND(AR231*100,0)*ROUND(AO$7*10000,0)/12000000,0)/100+0.02,2),0)</f>
        <v>0</v>
      </c>
      <c r="AS232" s="24">
        <f>IF(AU231&gt;0,IF(AND(ROUND(AU231+AT232-ROUND(AS$6+IF(AS$5=$C232,$E$5+$E232,0),2),2)&gt;0,ROUND(AU231+AT232-ROUND(AS$6+IF(AS$5=$C232,$E$5+$E232,0),2),2)&lt;=AV232,ROUND(AU231+AT232-ROUND(AS$6+IF(AS$5=$C232,$E$5+$E232,0),2),2)*10&lt;=ROUND(AS$6+IF(AS$5=$C232,$E$5+$E232,0),2)),ROUND(AU231+AT232,2),MIN(ROUND(AS$6+IF(AS$5=$C232,$E$5+$E232,0),2),ROUND(AU231+AT232,2))),0)</f>
        <v>0</v>
      </c>
      <c r="AT232" s="24">
        <f>IF(AU231&gt;0,ROUND(ROUND(AU231*100,0)*ROUND(AS$7*10000,0)/12000000,0)/100,0)</f>
        <v>0</v>
      </c>
      <c r="AU232" s="24">
        <f>IF(AU231&gt;0,ROUND(AU231+AT232-AS232,2),0)</f>
        <v>0</v>
      </c>
      <c r="AV232" s="24">
        <f>IF(AU231&gt;0,ROUND(AV231+ROUND(ROUND(AV231*100,0)*ROUND(AS$7*10000,0)/12000000,0)/100+0.02,2),0)</f>
        <v>0</v>
      </c>
    </row>
    <row r="233" spans="1:48" x14ac:dyDescent="0.25">
      <c r="A233" s="17" t="str">
        <f>IF(F233&gt;0,223,"")</f>
        <v/>
      </c>
      <c r="B233" s="18" t="str">
        <f>IF(F233&gt;0,EDATE($E$6,223),"")</f>
        <v/>
      </c>
      <c r="C233" s="21">
        <f>IF(H232&gt;0,MIN(IF(K232&gt;0,I$5,99),IF(O232&gt;0,M$5,99),IF(S232&gt;0,Q$5,99),IF(W232&gt;0,U$5,99),IF(AA232&gt;0,Y$5,99),IF(AE232&gt;0,AC$5,99),IF(AI232&gt;0,AG$5,99),IF(AM232&gt;0,AK$5,99),IF(AQ232&gt;0,AO$5,99),IF(AU232&gt;0,AS$5,99)),0)</f>
        <v>0</v>
      </c>
      <c r="D233" t="str">
        <f>IF(C233&gt;0,INDEX($I$4:$AV$4,1,MATCH(C233,$I$5:$AV$5,0)),"")</f>
        <v/>
      </c>
      <c r="E233" s="24">
        <f>ROUND(IF(AND(I$8&gt;0,K232=0),I$6,0)+IF(AND(M$8&gt;0,O232=0),M$6,0)+IF(AND(Q$8&gt;0,S232=0),Q$6,0)+IF(AND(U$8&gt;0,W232=0),U$6,0)+IF(AND(Y$8&gt;0,AA232=0),Y$6,0)+IF(AND(AC$8&gt;0,AE232=0),AC$6,0)+IF(AND(AG$8&gt;0,AI232=0),AG$6,0)+IF(AND(AK$8&gt;0,AM232=0),AK$6,0)+IF(AND(AO$8&gt;0,AQ232=0),AO$6,0)+IF(AND(AS$8&gt;0,AU232=0),AS$6,0),2)</f>
        <v>325</v>
      </c>
      <c r="F233" s="24">
        <f>ROUND(I233+M233+Q233+U233+Y233+AC233+AG233+AK233+AO233+AS233,2)</f>
        <v>0</v>
      </c>
      <c r="G233" s="24">
        <f>ROUND(J233+N233+R233+V233+Z233+AD233+AH233+AL233+AP233+AT233,2)</f>
        <v>0</v>
      </c>
      <c r="H233" s="24">
        <f>ROUND(K233+O233+S233+W233+AA233+AE233+AI233+AM233+AQ233+AU233,2)</f>
        <v>0</v>
      </c>
      <c r="I233" s="24">
        <f>IF(K232&gt;0,IF(AND(ROUND(K232+J233-ROUND(I$6+IF(I$5=$C233,$E$5+$E233,0),2),2)&gt;0,ROUND(K232+J233-ROUND(I$6+IF(I$5=$C233,$E$5+$E233,0),2),2)&lt;=L233,ROUND(K232+J233-ROUND(I$6+IF(I$5=$C233,$E$5+$E233,0),2),2)*10&lt;=ROUND(I$6+IF(I$5=$C233,$E$5+$E233,0),2)),ROUND(K232+J233,2),MIN(ROUND(I$6+IF(I$5=$C233,$E$5+$E233,0),2),ROUND(K232+J233,2))),0)</f>
        <v>0</v>
      </c>
      <c r="J233" s="24">
        <f>IF(K232&gt;0,ROUND(ROUND(K232*100,0)*ROUND(I$7*10000,0)/12000000,0)/100,0)</f>
        <v>0</v>
      </c>
      <c r="K233" s="24">
        <f>IF(K232&gt;0,ROUND(K232+J233-I233,2),0)</f>
        <v>0</v>
      </c>
      <c r="L233" s="24">
        <f>IF(K232&gt;0,ROUND(L232+ROUND(ROUND(L232*100,0)*ROUND(I$7*10000,0)/12000000,0)/100+0.02,2),0)</f>
        <v>0</v>
      </c>
      <c r="M233" s="24">
        <f>IF(O232&gt;0,IF(AND(ROUND(O232+N233-ROUND(M$6+IF(M$5=$C233,$E$5+$E233,0),2),2)&gt;0,ROUND(O232+N233-ROUND(M$6+IF(M$5=$C233,$E$5+$E233,0),2),2)&lt;=P233,ROUND(O232+N233-ROUND(M$6+IF(M$5=$C233,$E$5+$E233,0),2),2)*10&lt;=ROUND(M$6+IF(M$5=$C233,$E$5+$E233,0),2)),ROUND(O232+N233,2),MIN(ROUND(M$6+IF(M$5=$C233,$E$5+$E233,0),2),ROUND(O232+N233,2))),0)</f>
        <v>0</v>
      </c>
      <c r="N233" s="24">
        <f>IF(O232&gt;0,ROUND(ROUND(O232*100,0)*ROUND(M$7*10000,0)/12000000,0)/100,0)</f>
        <v>0</v>
      </c>
      <c r="O233" s="24">
        <f>IF(O232&gt;0,ROUND(O232+N233-M233,2),0)</f>
        <v>0</v>
      </c>
      <c r="P233" s="24">
        <f>IF(O232&gt;0,ROUND(P232+ROUND(ROUND(P232*100,0)*ROUND(M$7*10000,0)/12000000,0)/100+0.02,2),0)</f>
        <v>0</v>
      </c>
      <c r="Q233" s="24">
        <f>IF(S232&gt;0,IF(AND(ROUND(S232+R233-ROUND(Q$6+IF(Q$5=$C233,$E$5+$E233,0),2),2)&gt;0,ROUND(S232+R233-ROUND(Q$6+IF(Q$5=$C233,$E$5+$E233,0),2),2)&lt;=T233,ROUND(S232+R233-ROUND(Q$6+IF(Q$5=$C233,$E$5+$E233,0),2),2)*10&lt;=ROUND(Q$6+IF(Q$5=$C233,$E$5+$E233,0),2)),ROUND(S232+R233,2),MIN(ROUND(Q$6+IF(Q$5=$C233,$E$5+$E233,0),2),ROUND(S232+R233,2))),0)</f>
        <v>0</v>
      </c>
      <c r="R233" s="24">
        <f>IF(S232&gt;0,ROUND(ROUND(S232*100,0)*ROUND(Q$7*10000,0)/12000000,0)/100,0)</f>
        <v>0</v>
      </c>
      <c r="S233" s="24">
        <f>IF(S232&gt;0,ROUND(S232+R233-Q233,2),0)</f>
        <v>0</v>
      </c>
      <c r="T233" s="24">
        <f>IF(S232&gt;0,ROUND(T232+ROUND(ROUND(T232*100,0)*ROUND(Q$7*10000,0)/12000000,0)/100+0.02,2),0)</f>
        <v>0</v>
      </c>
      <c r="U233" s="24">
        <f>IF(W232&gt;0,IF(AND(ROUND(W232+V233-ROUND(U$6+IF(U$5=$C233,$E$5+$E233,0),2),2)&gt;0,ROUND(W232+V233-ROUND(U$6+IF(U$5=$C233,$E$5+$E233,0),2),2)&lt;=X233,ROUND(W232+V233-ROUND(U$6+IF(U$5=$C233,$E$5+$E233,0),2),2)*10&lt;=ROUND(U$6+IF(U$5=$C233,$E$5+$E233,0),2)),ROUND(W232+V233,2),MIN(ROUND(U$6+IF(U$5=$C233,$E$5+$E233,0),2),ROUND(W232+V233,2))),0)</f>
        <v>0</v>
      </c>
      <c r="V233" s="24">
        <f>IF(W232&gt;0,ROUND(ROUND(W232*100,0)*ROUND(U$7*10000,0)/12000000,0)/100,0)</f>
        <v>0</v>
      </c>
      <c r="W233" s="24">
        <f>IF(W232&gt;0,ROUND(W232+V233-U233,2),0)</f>
        <v>0</v>
      </c>
      <c r="X233" s="24">
        <f>IF(W232&gt;0,ROUND(X232+ROUND(ROUND(X232*100,0)*ROUND(U$7*10000,0)/12000000,0)/100+0.02,2),0)</f>
        <v>0</v>
      </c>
      <c r="Y233" s="24">
        <f>IF(AA232&gt;0,IF(AND(ROUND(AA232+Z233-ROUND(Y$6+IF(Y$5=$C233,$E$5+$E233,0),2),2)&gt;0,ROUND(AA232+Z233-ROUND(Y$6+IF(Y$5=$C233,$E$5+$E233,0),2),2)&lt;=AB233,ROUND(AA232+Z233-ROUND(Y$6+IF(Y$5=$C233,$E$5+$E233,0),2),2)*10&lt;=ROUND(Y$6+IF(Y$5=$C233,$E$5+$E233,0),2)),ROUND(AA232+Z233,2),MIN(ROUND(Y$6+IF(Y$5=$C233,$E$5+$E233,0),2),ROUND(AA232+Z233,2))),0)</f>
        <v>0</v>
      </c>
      <c r="Z233" s="24">
        <f>IF(AA232&gt;0,ROUND(ROUND(AA232*100,0)*ROUND(Y$7*10000,0)/12000000,0)/100,0)</f>
        <v>0</v>
      </c>
      <c r="AA233" s="24">
        <f>IF(AA232&gt;0,ROUND(AA232+Z233-Y233,2),0)</f>
        <v>0</v>
      </c>
      <c r="AB233" s="24">
        <f>IF(AA232&gt;0,ROUND(AB232+ROUND(ROUND(AB232*100,0)*ROUND(Y$7*10000,0)/12000000,0)/100+0.02,2),0)</f>
        <v>0</v>
      </c>
      <c r="AC233" s="24">
        <f>IF(AE232&gt;0,IF(AND(ROUND(AE232+AD233-ROUND(AC$6+IF(AC$5=$C233,$E$5+$E233,0),2),2)&gt;0,ROUND(AE232+AD233-ROUND(AC$6+IF(AC$5=$C233,$E$5+$E233,0),2),2)&lt;=AF233,ROUND(AE232+AD233-ROUND(AC$6+IF(AC$5=$C233,$E$5+$E233,0),2),2)*10&lt;=ROUND(AC$6+IF(AC$5=$C233,$E$5+$E233,0),2)),ROUND(AE232+AD233,2),MIN(ROUND(AC$6+IF(AC$5=$C233,$E$5+$E233,0),2),ROUND(AE232+AD233,2))),0)</f>
        <v>0</v>
      </c>
      <c r="AD233" s="24">
        <f>IF(AE232&gt;0,ROUND(ROUND(AE232*100,0)*ROUND(AC$7*10000,0)/12000000,0)/100,0)</f>
        <v>0</v>
      </c>
      <c r="AE233" s="24">
        <f>IF(AE232&gt;0,ROUND(AE232+AD233-AC233,2),0)</f>
        <v>0</v>
      </c>
      <c r="AF233" s="24">
        <f>IF(AE232&gt;0,ROUND(AF232+ROUND(ROUND(AF232*100,0)*ROUND(AC$7*10000,0)/12000000,0)/100+0.02,2),0)</f>
        <v>0</v>
      </c>
      <c r="AG233" s="24">
        <f>IF(AI232&gt;0,IF(AND(ROUND(AI232+AH233-ROUND(AG$6+IF(AG$5=$C233,$E$5+$E233,0),2),2)&gt;0,ROUND(AI232+AH233-ROUND(AG$6+IF(AG$5=$C233,$E$5+$E233,0),2),2)&lt;=AJ233,ROUND(AI232+AH233-ROUND(AG$6+IF(AG$5=$C233,$E$5+$E233,0),2),2)*10&lt;=ROUND(AG$6+IF(AG$5=$C233,$E$5+$E233,0),2)),ROUND(AI232+AH233,2),MIN(ROUND(AG$6+IF(AG$5=$C233,$E$5+$E233,0),2),ROUND(AI232+AH233,2))),0)</f>
        <v>0</v>
      </c>
      <c r="AH233" s="24">
        <f>IF(AI232&gt;0,ROUND(ROUND(AI232*100,0)*ROUND(AG$7*10000,0)/12000000,0)/100,0)</f>
        <v>0</v>
      </c>
      <c r="AI233" s="24">
        <f>IF(AI232&gt;0,ROUND(AI232+AH233-AG233,2),0)</f>
        <v>0</v>
      </c>
      <c r="AJ233" s="24">
        <f>IF(AI232&gt;0,ROUND(AJ232+ROUND(ROUND(AJ232*100,0)*ROUND(AG$7*10000,0)/12000000,0)/100+0.02,2),0)</f>
        <v>0</v>
      </c>
      <c r="AK233" s="24">
        <f>IF(AM232&gt;0,IF(AND(ROUND(AM232+AL233-ROUND(AK$6+IF(AK$5=$C233,$E$5+$E233,0),2),2)&gt;0,ROUND(AM232+AL233-ROUND(AK$6+IF(AK$5=$C233,$E$5+$E233,0),2),2)&lt;=AN233,ROUND(AM232+AL233-ROUND(AK$6+IF(AK$5=$C233,$E$5+$E233,0),2),2)*10&lt;=ROUND(AK$6+IF(AK$5=$C233,$E$5+$E233,0),2)),ROUND(AM232+AL233,2),MIN(ROUND(AK$6+IF(AK$5=$C233,$E$5+$E233,0),2),ROUND(AM232+AL233,2))),0)</f>
        <v>0</v>
      </c>
      <c r="AL233" s="24">
        <f>IF(AM232&gt;0,ROUND(ROUND(AM232*100,0)*ROUND(AK$7*10000,0)/12000000,0)/100,0)</f>
        <v>0</v>
      </c>
      <c r="AM233" s="24">
        <f>IF(AM232&gt;0,ROUND(AM232+AL233-AK233,2),0)</f>
        <v>0</v>
      </c>
      <c r="AN233" s="24">
        <f>IF(AM232&gt;0,ROUND(AN232+ROUND(ROUND(AN232*100,0)*ROUND(AK$7*10000,0)/12000000,0)/100+0.02,2),0)</f>
        <v>0</v>
      </c>
      <c r="AO233" s="24">
        <f>IF(AQ232&gt;0,IF(AND(ROUND(AQ232+AP233-ROUND(AO$6+IF(AO$5=$C233,$E$5+$E233,0),2),2)&gt;0,ROUND(AQ232+AP233-ROUND(AO$6+IF(AO$5=$C233,$E$5+$E233,0),2),2)&lt;=AR233,ROUND(AQ232+AP233-ROUND(AO$6+IF(AO$5=$C233,$E$5+$E233,0),2),2)*10&lt;=ROUND(AO$6+IF(AO$5=$C233,$E$5+$E233,0),2)),ROUND(AQ232+AP233,2),MIN(ROUND(AO$6+IF(AO$5=$C233,$E$5+$E233,0),2),ROUND(AQ232+AP233,2))),0)</f>
        <v>0</v>
      </c>
      <c r="AP233" s="24">
        <f>IF(AQ232&gt;0,ROUND(ROUND(AQ232*100,0)*ROUND(AO$7*10000,0)/12000000,0)/100,0)</f>
        <v>0</v>
      </c>
      <c r="AQ233" s="24">
        <f>IF(AQ232&gt;0,ROUND(AQ232+AP233-AO233,2),0)</f>
        <v>0</v>
      </c>
      <c r="AR233" s="24">
        <f>IF(AQ232&gt;0,ROUND(AR232+ROUND(ROUND(AR232*100,0)*ROUND(AO$7*10000,0)/12000000,0)/100+0.02,2),0)</f>
        <v>0</v>
      </c>
      <c r="AS233" s="24">
        <f>IF(AU232&gt;0,IF(AND(ROUND(AU232+AT233-ROUND(AS$6+IF(AS$5=$C233,$E$5+$E233,0),2),2)&gt;0,ROUND(AU232+AT233-ROUND(AS$6+IF(AS$5=$C233,$E$5+$E233,0),2),2)&lt;=AV233,ROUND(AU232+AT233-ROUND(AS$6+IF(AS$5=$C233,$E$5+$E233,0),2),2)*10&lt;=ROUND(AS$6+IF(AS$5=$C233,$E$5+$E233,0),2)),ROUND(AU232+AT233,2),MIN(ROUND(AS$6+IF(AS$5=$C233,$E$5+$E233,0),2),ROUND(AU232+AT233,2))),0)</f>
        <v>0</v>
      </c>
      <c r="AT233" s="24">
        <f>IF(AU232&gt;0,ROUND(ROUND(AU232*100,0)*ROUND(AS$7*10000,0)/12000000,0)/100,0)</f>
        <v>0</v>
      </c>
      <c r="AU233" s="24">
        <f>IF(AU232&gt;0,ROUND(AU232+AT233-AS233,2),0)</f>
        <v>0</v>
      </c>
      <c r="AV233" s="24">
        <f>IF(AU232&gt;0,ROUND(AV232+ROUND(ROUND(AV232*100,0)*ROUND(AS$7*10000,0)/12000000,0)/100+0.02,2),0)</f>
        <v>0</v>
      </c>
    </row>
    <row r="234" spans="1:48" x14ac:dyDescent="0.25">
      <c r="A234" s="17" t="str">
        <f>IF(F234&gt;0,224,"")</f>
        <v/>
      </c>
      <c r="B234" s="18" t="str">
        <f>IF(F234&gt;0,EDATE($E$6,224),"")</f>
        <v/>
      </c>
      <c r="C234" s="21">
        <f>IF(H233&gt;0,MIN(IF(K233&gt;0,I$5,99),IF(O233&gt;0,M$5,99),IF(S233&gt;0,Q$5,99),IF(W233&gt;0,U$5,99),IF(AA233&gt;0,Y$5,99),IF(AE233&gt;0,AC$5,99),IF(AI233&gt;0,AG$5,99),IF(AM233&gt;0,AK$5,99),IF(AQ233&gt;0,AO$5,99),IF(AU233&gt;0,AS$5,99)),0)</f>
        <v>0</v>
      </c>
      <c r="D234" t="str">
        <f>IF(C234&gt;0,INDEX($I$4:$AV$4,1,MATCH(C234,$I$5:$AV$5,0)),"")</f>
        <v/>
      </c>
      <c r="E234" s="24">
        <f>ROUND(IF(AND(I$8&gt;0,K233=0),I$6,0)+IF(AND(M$8&gt;0,O233=0),M$6,0)+IF(AND(Q$8&gt;0,S233=0),Q$6,0)+IF(AND(U$8&gt;0,W233=0),U$6,0)+IF(AND(Y$8&gt;0,AA233=0),Y$6,0)+IF(AND(AC$8&gt;0,AE233=0),AC$6,0)+IF(AND(AG$8&gt;0,AI233=0),AG$6,0)+IF(AND(AK$8&gt;0,AM233=0),AK$6,0)+IF(AND(AO$8&gt;0,AQ233=0),AO$6,0)+IF(AND(AS$8&gt;0,AU233=0),AS$6,0),2)</f>
        <v>325</v>
      </c>
      <c r="F234" s="24">
        <f>ROUND(I234+M234+Q234+U234+Y234+AC234+AG234+AK234+AO234+AS234,2)</f>
        <v>0</v>
      </c>
      <c r="G234" s="24">
        <f>ROUND(J234+N234+R234+V234+Z234+AD234+AH234+AL234+AP234+AT234,2)</f>
        <v>0</v>
      </c>
      <c r="H234" s="24">
        <f>ROUND(K234+O234+S234+W234+AA234+AE234+AI234+AM234+AQ234+AU234,2)</f>
        <v>0</v>
      </c>
      <c r="I234" s="24">
        <f>IF(K233&gt;0,IF(AND(ROUND(K233+J234-ROUND(I$6+IF(I$5=$C234,$E$5+$E234,0),2),2)&gt;0,ROUND(K233+J234-ROUND(I$6+IF(I$5=$C234,$E$5+$E234,0),2),2)&lt;=L234,ROUND(K233+J234-ROUND(I$6+IF(I$5=$C234,$E$5+$E234,0),2),2)*10&lt;=ROUND(I$6+IF(I$5=$C234,$E$5+$E234,0),2)),ROUND(K233+J234,2),MIN(ROUND(I$6+IF(I$5=$C234,$E$5+$E234,0),2),ROUND(K233+J234,2))),0)</f>
        <v>0</v>
      </c>
      <c r="J234" s="24">
        <f>IF(K233&gt;0,ROUND(ROUND(K233*100,0)*ROUND(I$7*10000,0)/12000000,0)/100,0)</f>
        <v>0</v>
      </c>
      <c r="K234" s="24">
        <f>IF(K233&gt;0,ROUND(K233+J234-I234,2),0)</f>
        <v>0</v>
      </c>
      <c r="L234" s="24">
        <f>IF(K233&gt;0,ROUND(L233+ROUND(ROUND(L233*100,0)*ROUND(I$7*10000,0)/12000000,0)/100+0.02,2),0)</f>
        <v>0</v>
      </c>
      <c r="M234" s="24">
        <f>IF(O233&gt;0,IF(AND(ROUND(O233+N234-ROUND(M$6+IF(M$5=$C234,$E$5+$E234,0),2),2)&gt;0,ROUND(O233+N234-ROUND(M$6+IF(M$5=$C234,$E$5+$E234,0),2),2)&lt;=P234,ROUND(O233+N234-ROUND(M$6+IF(M$5=$C234,$E$5+$E234,0),2),2)*10&lt;=ROUND(M$6+IF(M$5=$C234,$E$5+$E234,0),2)),ROUND(O233+N234,2),MIN(ROUND(M$6+IF(M$5=$C234,$E$5+$E234,0),2),ROUND(O233+N234,2))),0)</f>
        <v>0</v>
      </c>
      <c r="N234" s="24">
        <f>IF(O233&gt;0,ROUND(ROUND(O233*100,0)*ROUND(M$7*10000,0)/12000000,0)/100,0)</f>
        <v>0</v>
      </c>
      <c r="O234" s="24">
        <f>IF(O233&gt;0,ROUND(O233+N234-M234,2),0)</f>
        <v>0</v>
      </c>
      <c r="P234" s="24">
        <f>IF(O233&gt;0,ROUND(P233+ROUND(ROUND(P233*100,0)*ROUND(M$7*10000,0)/12000000,0)/100+0.02,2),0)</f>
        <v>0</v>
      </c>
      <c r="Q234" s="24">
        <f>IF(S233&gt;0,IF(AND(ROUND(S233+R234-ROUND(Q$6+IF(Q$5=$C234,$E$5+$E234,0),2),2)&gt;0,ROUND(S233+R234-ROUND(Q$6+IF(Q$5=$C234,$E$5+$E234,0),2),2)&lt;=T234,ROUND(S233+R234-ROUND(Q$6+IF(Q$5=$C234,$E$5+$E234,0),2),2)*10&lt;=ROUND(Q$6+IF(Q$5=$C234,$E$5+$E234,0),2)),ROUND(S233+R234,2),MIN(ROUND(Q$6+IF(Q$5=$C234,$E$5+$E234,0),2),ROUND(S233+R234,2))),0)</f>
        <v>0</v>
      </c>
      <c r="R234" s="24">
        <f>IF(S233&gt;0,ROUND(ROUND(S233*100,0)*ROUND(Q$7*10000,0)/12000000,0)/100,0)</f>
        <v>0</v>
      </c>
      <c r="S234" s="24">
        <f>IF(S233&gt;0,ROUND(S233+R234-Q234,2),0)</f>
        <v>0</v>
      </c>
      <c r="T234" s="24">
        <f>IF(S233&gt;0,ROUND(T233+ROUND(ROUND(T233*100,0)*ROUND(Q$7*10000,0)/12000000,0)/100+0.02,2),0)</f>
        <v>0</v>
      </c>
      <c r="U234" s="24">
        <f>IF(W233&gt;0,IF(AND(ROUND(W233+V234-ROUND(U$6+IF(U$5=$C234,$E$5+$E234,0),2),2)&gt;0,ROUND(W233+V234-ROUND(U$6+IF(U$5=$C234,$E$5+$E234,0),2),2)&lt;=X234,ROUND(W233+V234-ROUND(U$6+IF(U$5=$C234,$E$5+$E234,0),2),2)*10&lt;=ROUND(U$6+IF(U$5=$C234,$E$5+$E234,0),2)),ROUND(W233+V234,2),MIN(ROUND(U$6+IF(U$5=$C234,$E$5+$E234,0),2),ROUND(W233+V234,2))),0)</f>
        <v>0</v>
      </c>
      <c r="V234" s="24">
        <f>IF(W233&gt;0,ROUND(ROUND(W233*100,0)*ROUND(U$7*10000,0)/12000000,0)/100,0)</f>
        <v>0</v>
      </c>
      <c r="W234" s="24">
        <f>IF(W233&gt;0,ROUND(W233+V234-U234,2),0)</f>
        <v>0</v>
      </c>
      <c r="X234" s="24">
        <f>IF(W233&gt;0,ROUND(X233+ROUND(ROUND(X233*100,0)*ROUND(U$7*10000,0)/12000000,0)/100+0.02,2),0)</f>
        <v>0</v>
      </c>
      <c r="Y234" s="24">
        <f>IF(AA233&gt;0,IF(AND(ROUND(AA233+Z234-ROUND(Y$6+IF(Y$5=$C234,$E$5+$E234,0),2),2)&gt;0,ROUND(AA233+Z234-ROUND(Y$6+IF(Y$5=$C234,$E$5+$E234,0),2),2)&lt;=AB234,ROUND(AA233+Z234-ROUND(Y$6+IF(Y$5=$C234,$E$5+$E234,0),2),2)*10&lt;=ROUND(Y$6+IF(Y$5=$C234,$E$5+$E234,0),2)),ROUND(AA233+Z234,2),MIN(ROUND(Y$6+IF(Y$5=$C234,$E$5+$E234,0),2),ROUND(AA233+Z234,2))),0)</f>
        <v>0</v>
      </c>
      <c r="Z234" s="24">
        <f>IF(AA233&gt;0,ROUND(ROUND(AA233*100,0)*ROUND(Y$7*10000,0)/12000000,0)/100,0)</f>
        <v>0</v>
      </c>
      <c r="AA234" s="24">
        <f>IF(AA233&gt;0,ROUND(AA233+Z234-Y234,2),0)</f>
        <v>0</v>
      </c>
      <c r="AB234" s="24">
        <f>IF(AA233&gt;0,ROUND(AB233+ROUND(ROUND(AB233*100,0)*ROUND(Y$7*10000,0)/12000000,0)/100+0.02,2),0)</f>
        <v>0</v>
      </c>
      <c r="AC234" s="24">
        <f>IF(AE233&gt;0,IF(AND(ROUND(AE233+AD234-ROUND(AC$6+IF(AC$5=$C234,$E$5+$E234,0),2),2)&gt;0,ROUND(AE233+AD234-ROUND(AC$6+IF(AC$5=$C234,$E$5+$E234,0),2),2)&lt;=AF234,ROUND(AE233+AD234-ROUND(AC$6+IF(AC$5=$C234,$E$5+$E234,0),2),2)*10&lt;=ROUND(AC$6+IF(AC$5=$C234,$E$5+$E234,0),2)),ROUND(AE233+AD234,2),MIN(ROUND(AC$6+IF(AC$5=$C234,$E$5+$E234,0),2),ROUND(AE233+AD234,2))),0)</f>
        <v>0</v>
      </c>
      <c r="AD234" s="24">
        <f>IF(AE233&gt;0,ROUND(ROUND(AE233*100,0)*ROUND(AC$7*10000,0)/12000000,0)/100,0)</f>
        <v>0</v>
      </c>
      <c r="AE234" s="24">
        <f>IF(AE233&gt;0,ROUND(AE233+AD234-AC234,2),0)</f>
        <v>0</v>
      </c>
      <c r="AF234" s="24">
        <f>IF(AE233&gt;0,ROUND(AF233+ROUND(ROUND(AF233*100,0)*ROUND(AC$7*10000,0)/12000000,0)/100+0.02,2),0)</f>
        <v>0</v>
      </c>
      <c r="AG234" s="24">
        <f>IF(AI233&gt;0,IF(AND(ROUND(AI233+AH234-ROUND(AG$6+IF(AG$5=$C234,$E$5+$E234,0),2),2)&gt;0,ROUND(AI233+AH234-ROUND(AG$6+IF(AG$5=$C234,$E$5+$E234,0),2),2)&lt;=AJ234,ROUND(AI233+AH234-ROUND(AG$6+IF(AG$5=$C234,$E$5+$E234,0),2),2)*10&lt;=ROUND(AG$6+IF(AG$5=$C234,$E$5+$E234,0),2)),ROUND(AI233+AH234,2),MIN(ROUND(AG$6+IF(AG$5=$C234,$E$5+$E234,0),2),ROUND(AI233+AH234,2))),0)</f>
        <v>0</v>
      </c>
      <c r="AH234" s="24">
        <f>IF(AI233&gt;0,ROUND(ROUND(AI233*100,0)*ROUND(AG$7*10000,0)/12000000,0)/100,0)</f>
        <v>0</v>
      </c>
      <c r="AI234" s="24">
        <f>IF(AI233&gt;0,ROUND(AI233+AH234-AG234,2),0)</f>
        <v>0</v>
      </c>
      <c r="AJ234" s="24">
        <f>IF(AI233&gt;0,ROUND(AJ233+ROUND(ROUND(AJ233*100,0)*ROUND(AG$7*10000,0)/12000000,0)/100+0.02,2),0)</f>
        <v>0</v>
      </c>
      <c r="AK234" s="24">
        <f>IF(AM233&gt;0,IF(AND(ROUND(AM233+AL234-ROUND(AK$6+IF(AK$5=$C234,$E$5+$E234,0),2),2)&gt;0,ROUND(AM233+AL234-ROUND(AK$6+IF(AK$5=$C234,$E$5+$E234,0),2),2)&lt;=AN234,ROUND(AM233+AL234-ROUND(AK$6+IF(AK$5=$C234,$E$5+$E234,0),2),2)*10&lt;=ROUND(AK$6+IF(AK$5=$C234,$E$5+$E234,0),2)),ROUND(AM233+AL234,2),MIN(ROUND(AK$6+IF(AK$5=$C234,$E$5+$E234,0),2),ROUND(AM233+AL234,2))),0)</f>
        <v>0</v>
      </c>
      <c r="AL234" s="24">
        <f>IF(AM233&gt;0,ROUND(ROUND(AM233*100,0)*ROUND(AK$7*10000,0)/12000000,0)/100,0)</f>
        <v>0</v>
      </c>
      <c r="AM234" s="24">
        <f>IF(AM233&gt;0,ROUND(AM233+AL234-AK234,2),0)</f>
        <v>0</v>
      </c>
      <c r="AN234" s="24">
        <f>IF(AM233&gt;0,ROUND(AN233+ROUND(ROUND(AN233*100,0)*ROUND(AK$7*10000,0)/12000000,0)/100+0.02,2),0)</f>
        <v>0</v>
      </c>
      <c r="AO234" s="24">
        <f>IF(AQ233&gt;0,IF(AND(ROUND(AQ233+AP234-ROUND(AO$6+IF(AO$5=$C234,$E$5+$E234,0),2),2)&gt;0,ROUND(AQ233+AP234-ROUND(AO$6+IF(AO$5=$C234,$E$5+$E234,0),2),2)&lt;=AR234,ROUND(AQ233+AP234-ROUND(AO$6+IF(AO$5=$C234,$E$5+$E234,0),2),2)*10&lt;=ROUND(AO$6+IF(AO$5=$C234,$E$5+$E234,0),2)),ROUND(AQ233+AP234,2),MIN(ROUND(AO$6+IF(AO$5=$C234,$E$5+$E234,0),2),ROUND(AQ233+AP234,2))),0)</f>
        <v>0</v>
      </c>
      <c r="AP234" s="24">
        <f>IF(AQ233&gt;0,ROUND(ROUND(AQ233*100,0)*ROUND(AO$7*10000,0)/12000000,0)/100,0)</f>
        <v>0</v>
      </c>
      <c r="AQ234" s="24">
        <f>IF(AQ233&gt;0,ROUND(AQ233+AP234-AO234,2),0)</f>
        <v>0</v>
      </c>
      <c r="AR234" s="24">
        <f>IF(AQ233&gt;0,ROUND(AR233+ROUND(ROUND(AR233*100,0)*ROUND(AO$7*10000,0)/12000000,0)/100+0.02,2),0)</f>
        <v>0</v>
      </c>
      <c r="AS234" s="24">
        <f>IF(AU233&gt;0,IF(AND(ROUND(AU233+AT234-ROUND(AS$6+IF(AS$5=$C234,$E$5+$E234,0),2),2)&gt;0,ROUND(AU233+AT234-ROUND(AS$6+IF(AS$5=$C234,$E$5+$E234,0),2),2)&lt;=AV234,ROUND(AU233+AT234-ROUND(AS$6+IF(AS$5=$C234,$E$5+$E234,0),2),2)*10&lt;=ROUND(AS$6+IF(AS$5=$C234,$E$5+$E234,0),2)),ROUND(AU233+AT234,2),MIN(ROUND(AS$6+IF(AS$5=$C234,$E$5+$E234,0),2),ROUND(AU233+AT234,2))),0)</f>
        <v>0</v>
      </c>
      <c r="AT234" s="24">
        <f>IF(AU233&gt;0,ROUND(ROUND(AU233*100,0)*ROUND(AS$7*10000,0)/12000000,0)/100,0)</f>
        <v>0</v>
      </c>
      <c r="AU234" s="24">
        <f>IF(AU233&gt;0,ROUND(AU233+AT234-AS234,2),0)</f>
        <v>0</v>
      </c>
      <c r="AV234" s="24">
        <f>IF(AU233&gt;0,ROUND(AV233+ROUND(ROUND(AV233*100,0)*ROUND(AS$7*10000,0)/12000000,0)/100+0.02,2),0)</f>
        <v>0</v>
      </c>
    </row>
    <row r="235" spans="1:48" x14ac:dyDescent="0.25">
      <c r="A235" s="17" t="str">
        <f>IF(F235&gt;0,225,"")</f>
        <v/>
      </c>
      <c r="B235" s="18" t="str">
        <f>IF(F235&gt;0,EDATE($E$6,225),"")</f>
        <v/>
      </c>
      <c r="C235" s="21">
        <f>IF(H234&gt;0,MIN(IF(K234&gt;0,I$5,99),IF(O234&gt;0,M$5,99),IF(S234&gt;0,Q$5,99),IF(W234&gt;0,U$5,99),IF(AA234&gt;0,Y$5,99),IF(AE234&gt;0,AC$5,99),IF(AI234&gt;0,AG$5,99),IF(AM234&gt;0,AK$5,99),IF(AQ234&gt;0,AO$5,99),IF(AU234&gt;0,AS$5,99)),0)</f>
        <v>0</v>
      </c>
      <c r="D235" t="str">
        <f>IF(C235&gt;0,INDEX($I$4:$AV$4,1,MATCH(C235,$I$5:$AV$5,0)),"")</f>
        <v/>
      </c>
      <c r="E235" s="24">
        <f>ROUND(IF(AND(I$8&gt;0,K234=0),I$6,0)+IF(AND(M$8&gt;0,O234=0),M$6,0)+IF(AND(Q$8&gt;0,S234=0),Q$6,0)+IF(AND(U$8&gt;0,W234=0),U$6,0)+IF(AND(Y$8&gt;0,AA234=0),Y$6,0)+IF(AND(AC$8&gt;0,AE234=0),AC$6,0)+IF(AND(AG$8&gt;0,AI234=0),AG$6,0)+IF(AND(AK$8&gt;0,AM234=0),AK$6,0)+IF(AND(AO$8&gt;0,AQ234=0),AO$6,0)+IF(AND(AS$8&gt;0,AU234=0),AS$6,0),2)</f>
        <v>325</v>
      </c>
      <c r="F235" s="24">
        <f>ROUND(I235+M235+Q235+U235+Y235+AC235+AG235+AK235+AO235+AS235,2)</f>
        <v>0</v>
      </c>
      <c r="G235" s="24">
        <f>ROUND(J235+N235+R235+V235+Z235+AD235+AH235+AL235+AP235+AT235,2)</f>
        <v>0</v>
      </c>
      <c r="H235" s="24">
        <f>ROUND(K235+O235+S235+W235+AA235+AE235+AI235+AM235+AQ235+AU235,2)</f>
        <v>0</v>
      </c>
      <c r="I235" s="24">
        <f>IF(K234&gt;0,IF(AND(ROUND(K234+J235-ROUND(I$6+IF(I$5=$C235,$E$5+$E235,0),2),2)&gt;0,ROUND(K234+J235-ROUND(I$6+IF(I$5=$C235,$E$5+$E235,0),2),2)&lt;=L235,ROUND(K234+J235-ROUND(I$6+IF(I$5=$C235,$E$5+$E235,0),2),2)*10&lt;=ROUND(I$6+IF(I$5=$C235,$E$5+$E235,0),2)),ROUND(K234+J235,2),MIN(ROUND(I$6+IF(I$5=$C235,$E$5+$E235,0),2),ROUND(K234+J235,2))),0)</f>
        <v>0</v>
      </c>
      <c r="J235" s="24">
        <f>IF(K234&gt;0,ROUND(ROUND(K234*100,0)*ROUND(I$7*10000,0)/12000000,0)/100,0)</f>
        <v>0</v>
      </c>
      <c r="K235" s="24">
        <f>IF(K234&gt;0,ROUND(K234+J235-I235,2),0)</f>
        <v>0</v>
      </c>
      <c r="L235" s="24">
        <f>IF(K234&gt;0,ROUND(L234+ROUND(ROUND(L234*100,0)*ROUND(I$7*10000,0)/12000000,0)/100+0.02,2),0)</f>
        <v>0</v>
      </c>
      <c r="M235" s="24">
        <f>IF(O234&gt;0,IF(AND(ROUND(O234+N235-ROUND(M$6+IF(M$5=$C235,$E$5+$E235,0),2),2)&gt;0,ROUND(O234+N235-ROUND(M$6+IF(M$5=$C235,$E$5+$E235,0),2),2)&lt;=P235,ROUND(O234+N235-ROUND(M$6+IF(M$5=$C235,$E$5+$E235,0),2),2)*10&lt;=ROUND(M$6+IF(M$5=$C235,$E$5+$E235,0),2)),ROUND(O234+N235,2),MIN(ROUND(M$6+IF(M$5=$C235,$E$5+$E235,0),2),ROUND(O234+N235,2))),0)</f>
        <v>0</v>
      </c>
      <c r="N235" s="24">
        <f>IF(O234&gt;0,ROUND(ROUND(O234*100,0)*ROUND(M$7*10000,0)/12000000,0)/100,0)</f>
        <v>0</v>
      </c>
      <c r="O235" s="24">
        <f>IF(O234&gt;0,ROUND(O234+N235-M235,2),0)</f>
        <v>0</v>
      </c>
      <c r="P235" s="24">
        <f>IF(O234&gt;0,ROUND(P234+ROUND(ROUND(P234*100,0)*ROUND(M$7*10000,0)/12000000,0)/100+0.02,2),0)</f>
        <v>0</v>
      </c>
      <c r="Q235" s="24">
        <f>IF(S234&gt;0,IF(AND(ROUND(S234+R235-ROUND(Q$6+IF(Q$5=$C235,$E$5+$E235,0),2),2)&gt;0,ROUND(S234+R235-ROUND(Q$6+IF(Q$5=$C235,$E$5+$E235,0),2),2)&lt;=T235,ROUND(S234+R235-ROUND(Q$6+IF(Q$5=$C235,$E$5+$E235,0),2),2)*10&lt;=ROUND(Q$6+IF(Q$5=$C235,$E$5+$E235,0),2)),ROUND(S234+R235,2),MIN(ROUND(Q$6+IF(Q$5=$C235,$E$5+$E235,0),2),ROUND(S234+R235,2))),0)</f>
        <v>0</v>
      </c>
      <c r="R235" s="24">
        <f>IF(S234&gt;0,ROUND(ROUND(S234*100,0)*ROUND(Q$7*10000,0)/12000000,0)/100,0)</f>
        <v>0</v>
      </c>
      <c r="S235" s="24">
        <f>IF(S234&gt;0,ROUND(S234+R235-Q235,2),0)</f>
        <v>0</v>
      </c>
      <c r="T235" s="24">
        <f>IF(S234&gt;0,ROUND(T234+ROUND(ROUND(T234*100,0)*ROUND(Q$7*10000,0)/12000000,0)/100+0.02,2),0)</f>
        <v>0</v>
      </c>
      <c r="U235" s="24">
        <f>IF(W234&gt;0,IF(AND(ROUND(W234+V235-ROUND(U$6+IF(U$5=$C235,$E$5+$E235,0),2),2)&gt;0,ROUND(W234+V235-ROUND(U$6+IF(U$5=$C235,$E$5+$E235,0),2),2)&lt;=X235,ROUND(W234+V235-ROUND(U$6+IF(U$5=$C235,$E$5+$E235,0),2),2)*10&lt;=ROUND(U$6+IF(U$5=$C235,$E$5+$E235,0),2)),ROUND(W234+V235,2),MIN(ROUND(U$6+IF(U$5=$C235,$E$5+$E235,0),2),ROUND(W234+V235,2))),0)</f>
        <v>0</v>
      </c>
      <c r="V235" s="24">
        <f>IF(W234&gt;0,ROUND(ROUND(W234*100,0)*ROUND(U$7*10000,0)/12000000,0)/100,0)</f>
        <v>0</v>
      </c>
      <c r="W235" s="24">
        <f>IF(W234&gt;0,ROUND(W234+V235-U235,2),0)</f>
        <v>0</v>
      </c>
      <c r="X235" s="24">
        <f>IF(W234&gt;0,ROUND(X234+ROUND(ROUND(X234*100,0)*ROUND(U$7*10000,0)/12000000,0)/100+0.02,2),0)</f>
        <v>0</v>
      </c>
      <c r="Y235" s="24">
        <f>IF(AA234&gt;0,IF(AND(ROUND(AA234+Z235-ROUND(Y$6+IF(Y$5=$C235,$E$5+$E235,0),2),2)&gt;0,ROUND(AA234+Z235-ROUND(Y$6+IF(Y$5=$C235,$E$5+$E235,0),2),2)&lt;=AB235,ROUND(AA234+Z235-ROUND(Y$6+IF(Y$5=$C235,$E$5+$E235,0),2),2)*10&lt;=ROUND(Y$6+IF(Y$5=$C235,$E$5+$E235,0),2)),ROUND(AA234+Z235,2),MIN(ROUND(Y$6+IF(Y$5=$C235,$E$5+$E235,0),2),ROUND(AA234+Z235,2))),0)</f>
        <v>0</v>
      </c>
      <c r="Z235" s="24">
        <f>IF(AA234&gt;0,ROUND(ROUND(AA234*100,0)*ROUND(Y$7*10000,0)/12000000,0)/100,0)</f>
        <v>0</v>
      </c>
      <c r="AA235" s="24">
        <f>IF(AA234&gt;0,ROUND(AA234+Z235-Y235,2),0)</f>
        <v>0</v>
      </c>
      <c r="AB235" s="24">
        <f>IF(AA234&gt;0,ROUND(AB234+ROUND(ROUND(AB234*100,0)*ROUND(Y$7*10000,0)/12000000,0)/100+0.02,2),0)</f>
        <v>0</v>
      </c>
      <c r="AC235" s="24">
        <f>IF(AE234&gt;0,IF(AND(ROUND(AE234+AD235-ROUND(AC$6+IF(AC$5=$C235,$E$5+$E235,0),2),2)&gt;0,ROUND(AE234+AD235-ROUND(AC$6+IF(AC$5=$C235,$E$5+$E235,0),2),2)&lt;=AF235,ROUND(AE234+AD235-ROUND(AC$6+IF(AC$5=$C235,$E$5+$E235,0),2),2)*10&lt;=ROUND(AC$6+IF(AC$5=$C235,$E$5+$E235,0),2)),ROUND(AE234+AD235,2),MIN(ROUND(AC$6+IF(AC$5=$C235,$E$5+$E235,0),2),ROUND(AE234+AD235,2))),0)</f>
        <v>0</v>
      </c>
      <c r="AD235" s="24">
        <f>IF(AE234&gt;0,ROUND(ROUND(AE234*100,0)*ROUND(AC$7*10000,0)/12000000,0)/100,0)</f>
        <v>0</v>
      </c>
      <c r="AE235" s="24">
        <f>IF(AE234&gt;0,ROUND(AE234+AD235-AC235,2),0)</f>
        <v>0</v>
      </c>
      <c r="AF235" s="24">
        <f>IF(AE234&gt;0,ROUND(AF234+ROUND(ROUND(AF234*100,0)*ROUND(AC$7*10000,0)/12000000,0)/100+0.02,2),0)</f>
        <v>0</v>
      </c>
      <c r="AG235" s="24">
        <f>IF(AI234&gt;0,IF(AND(ROUND(AI234+AH235-ROUND(AG$6+IF(AG$5=$C235,$E$5+$E235,0),2),2)&gt;0,ROUND(AI234+AH235-ROUND(AG$6+IF(AG$5=$C235,$E$5+$E235,0),2),2)&lt;=AJ235,ROUND(AI234+AH235-ROUND(AG$6+IF(AG$5=$C235,$E$5+$E235,0),2),2)*10&lt;=ROUND(AG$6+IF(AG$5=$C235,$E$5+$E235,0),2)),ROUND(AI234+AH235,2),MIN(ROUND(AG$6+IF(AG$5=$C235,$E$5+$E235,0),2),ROUND(AI234+AH235,2))),0)</f>
        <v>0</v>
      </c>
      <c r="AH235" s="24">
        <f>IF(AI234&gt;0,ROUND(ROUND(AI234*100,0)*ROUND(AG$7*10000,0)/12000000,0)/100,0)</f>
        <v>0</v>
      </c>
      <c r="AI235" s="24">
        <f>IF(AI234&gt;0,ROUND(AI234+AH235-AG235,2),0)</f>
        <v>0</v>
      </c>
      <c r="AJ235" s="24">
        <f>IF(AI234&gt;0,ROUND(AJ234+ROUND(ROUND(AJ234*100,0)*ROUND(AG$7*10000,0)/12000000,0)/100+0.02,2),0)</f>
        <v>0</v>
      </c>
      <c r="AK235" s="24">
        <f>IF(AM234&gt;0,IF(AND(ROUND(AM234+AL235-ROUND(AK$6+IF(AK$5=$C235,$E$5+$E235,0),2),2)&gt;0,ROUND(AM234+AL235-ROUND(AK$6+IF(AK$5=$C235,$E$5+$E235,0),2),2)&lt;=AN235,ROUND(AM234+AL235-ROUND(AK$6+IF(AK$5=$C235,$E$5+$E235,0),2),2)*10&lt;=ROUND(AK$6+IF(AK$5=$C235,$E$5+$E235,0),2)),ROUND(AM234+AL235,2),MIN(ROUND(AK$6+IF(AK$5=$C235,$E$5+$E235,0),2),ROUND(AM234+AL235,2))),0)</f>
        <v>0</v>
      </c>
      <c r="AL235" s="24">
        <f>IF(AM234&gt;0,ROUND(ROUND(AM234*100,0)*ROUND(AK$7*10000,0)/12000000,0)/100,0)</f>
        <v>0</v>
      </c>
      <c r="AM235" s="24">
        <f>IF(AM234&gt;0,ROUND(AM234+AL235-AK235,2),0)</f>
        <v>0</v>
      </c>
      <c r="AN235" s="24">
        <f>IF(AM234&gt;0,ROUND(AN234+ROUND(ROUND(AN234*100,0)*ROUND(AK$7*10000,0)/12000000,0)/100+0.02,2),0)</f>
        <v>0</v>
      </c>
      <c r="AO235" s="24">
        <f>IF(AQ234&gt;0,IF(AND(ROUND(AQ234+AP235-ROUND(AO$6+IF(AO$5=$C235,$E$5+$E235,0),2),2)&gt;0,ROUND(AQ234+AP235-ROUND(AO$6+IF(AO$5=$C235,$E$5+$E235,0),2),2)&lt;=AR235,ROUND(AQ234+AP235-ROUND(AO$6+IF(AO$5=$C235,$E$5+$E235,0),2),2)*10&lt;=ROUND(AO$6+IF(AO$5=$C235,$E$5+$E235,0),2)),ROUND(AQ234+AP235,2),MIN(ROUND(AO$6+IF(AO$5=$C235,$E$5+$E235,0),2),ROUND(AQ234+AP235,2))),0)</f>
        <v>0</v>
      </c>
      <c r="AP235" s="24">
        <f>IF(AQ234&gt;0,ROUND(ROUND(AQ234*100,0)*ROUND(AO$7*10000,0)/12000000,0)/100,0)</f>
        <v>0</v>
      </c>
      <c r="AQ235" s="24">
        <f>IF(AQ234&gt;0,ROUND(AQ234+AP235-AO235,2),0)</f>
        <v>0</v>
      </c>
      <c r="AR235" s="24">
        <f>IF(AQ234&gt;0,ROUND(AR234+ROUND(ROUND(AR234*100,0)*ROUND(AO$7*10000,0)/12000000,0)/100+0.02,2),0)</f>
        <v>0</v>
      </c>
      <c r="AS235" s="24">
        <f>IF(AU234&gt;0,IF(AND(ROUND(AU234+AT235-ROUND(AS$6+IF(AS$5=$C235,$E$5+$E235,0),2),2)&gt;0,ROUND(AU234+AT235-ROUND(AS$6+IF(AS$5=$C235,$E$5+$E235,0),2),2)&lt;=AV235,ROUND(AU234+AT235-ROUND(AS$6+IF(AS$5=$C235,$E$5+$E235,0),2),2)*10&lt;=ROUND(AS$6+IF(AS$5=$C235,$E$5+$E235,0),2)),ROUND(AU234+AT235,2),MIN(ROUND(AS$6+IF(AS$5=$C235,$E$5+$E235,0),2),ROUND(AU234+AT235,2))),0)</f>
        <v>0</v>
      </c>
      <c r="AT235" s="24">
        <f>IF(AU234&gt;0,ROUND(ROUND(AU234*100,0)*ROUND(AS$7*10000,0)/12000000,0)/100,0)</f>
        <v>0</v>
      </c>
      <c r="AU235" s="24">
        <f>IF(AU234&gt;0,ROUND(AU234+AT235-AS235,2),0)</f>
        <v>0</v>
      </c>
      <c r="AV235" s="24">
        <f>IF(AU234&gt;0,ROUND(AV234+ROUND(ROUND(AV234*100,0)*ROUND(AS$7*10000,0)/12000000,0)/100+0.02,2),0)</f>
        <v>0</v>
      </c>
    </row>
    <row r="236" spans="1:48" x14ac:dyDescent="0.25">
      <c r="A236" s="17" t="str">
        <f>IF(F236&gt;0,226,"")</f>
        <v/>
      </c>
      <c r="B236" s="18" t="str">
        <f>IF(F236&gt;0,EDATE($E$6,226),"")</f>
        <v/>
      </c>
      <c r="C236" s="21">
        <f>IF(H235&gt;0,MIN(IF(K235&gt;0,I$5,99),IF(O235&gt;0,M$5,99),IF(S235&gt;0,Q$5,99),IF(W235&gt;0,U$5,99),IF(AA235&gt;0,Y$5,99),IF(AE235&gt;0,AC$5,99),IF(AI235&gt;0,AG$5,99),IF(AM235&gt;0,AK$5,99),IF(AQ235&gt;0,AO$5,99),IF(AU235&gt;0,AS$5,99)),0)</f>
        <v>0</v>
      </c>
      <c r="D236" t="str">
        <f>IF(C236&gt;0,INDEX($I$4:$AV$4,1,MATCH(C236,$I$5:$AV$5,0)),"")</f>
        <v/>
      </c>
      <c r="E236" s="24">
        <f>ROUND(IF(AND(I$8&gt;0,K235=0),I$6,0)+IF(AND(M$8&gt;0,O235=0),M$6,0)+IF(AND(Q$8&gt;0,S235=0),Q$6,0)+IF(AND(U$8&gt;0,W235=0),U$6,0)+IF(AND(Y$8&gt;0,AA235=0),Y$6,0)+IF(AND(AC$8&gt;0,AE235=0),AC$6,0)+IF(AND(AG$8&gt;0,AI235=0),AG$6,0)+IF(AND(AK$8&gt;0,AM235=0),AK$6,0)+IF(AND(AO$8&gt;0,AQ235=0),AO$6,0)+IF(AND(AS$8&gt;0,AU235=0),AS$6,0),2)</f>
        <v>325</v>
      </c>
      <c r="F236" s="24">
        <f>ROUND(I236+M236+Q236+U236+Y236+AC236+AG236+AK236+AO236+AS236,2)</f>
        <v>0</v>
      </c>
      <c r="G236" s="24">
        <f>ROUND(J236+N236+R236+V236+Z236+AD236+AH236+AL236+AP236+AT236,2)</f>
        <v>0</v>
      </c>
      <c r="H236" s="24">
        <f>ROUND(K236+O236+S236+W236+AA236+AE236+AI236+AM236+AQ236+AU236,2)</f>
        <v>0</v>
      </c>
      <c r="I236" s="24">
        <f>IF(K235&gt;0,IF(AND(ROUND(K235+J236-ROUND(I$6+IF(I$5=$C236,$E$5+$E236,0),2),2)&gt;0,ROUND(K235+J236-ROUND(I$6+IF(I$5=$C236,$E$5+$E236,0),2),2)&lt;=L236,ROUND(K235+J236-ROUND(I$6+IF(I$5=$C236,$E$5+$E236,0),2),2)*10&lt;=ROUND(I$6+IF(I$5=$C236,$E$5+$E236,0),2)),ROUND(K235+J236,2),MIN(ROUND(I$6+IF(I$5=$C236,$E$5+$E236,0),2),ROUND(K235+J236,2))),0)</f>
        <v>0</v>
      </c>
      <c r="J236" s="24">
        <f>IF(K235&gt;0,ROUND(ROUND(K235*100,0)*ROUND(I$7*10000,0)/12000000,0)/100,0)</f>
        <v>0</v>
      </c>
      <c r="K236" s="24">
        <f>IF(K235&gt;0,ROUND(K235+J236-I236,2),0)</f>
        <v>0</v>
      </c>
      <c r="L236" s="24">
        <f>IF(K235&gt;0,ROUND(L235+ROUND(ROUND(L235*100,0)*ROUND(I$7*10000,0)/12000000,0)/100+0.02,2),0)</f>
        <v>0</v>
      </c>
      <c r="M236" s="24">
        <f>IF(O235&gt;0,IF(AND(ROUND(O235+N236-ROUND(M$6+IF(M$5=$C236,$E$5+$E236,0),2),2)&gt;0,ROUND(O235+N236-ROUND(M$6+IF(M$5=$C236,$E$5+$E236,0),2),2)&lt;=P236,ROUND(O235+N236-ROUND(M$6+IF(M$5=$C236,$E$5+$E236,0),2),2)*10&lt;=ROUND(M$6+IF(M$5=$C236,$E$5+$E236,0),2)),ROUND(O235+N236,2),MIN(ROUND(M$6+IF(M$5=$C236,$E$5+$E236,0),2),ROUND(O235+N236,2))),0)</f>
        <v>0</v>
      </c>
      <c r="N236" s="24">
        <f>IF(O235&gt;0,ROUND(ROUND(O235*100,0)*ROUND(M$7*10000,0)/12000000,0)/100,0)</f>
        <v>0</v>
      </c>
      <c r="O236" s="24">
        <f>IF(O235&gt;0,ROUND(O235+N236-M236,2),0)</f>
        <v>0</v>
      </c>
      <c r="P236" s="24">
        <f>IF(O235&gt;0,ROUND(P235+ROUND(ROUND(P235*100,0)*ROUND(M$7*10000,0)/12000000,0)/100+0.02,2),0)</f>
        <v>0</v>
      </c>
      <c r="Q236" s="24">
        <f>IF(S235&gt;0,IF(AND(ROUND(S235+R236-ROUND(Q$6+IF(Q$5=$C236,$E$5+$E236,0),2),2)&gt;0,ROUND(S235+R236-ROUND(Q$6+IF(Q$5=$C236,$E$5+$E236,0),2),2)&lt;=T236,ROUND(S235+R236-ROUND(Q$6+IF(Q$5=$C236,$E$5+$E236,0),2),2)*10&lt;=ROUND(Q$6+IF(Q$5=$C236,$E$5+$E236,0),2)),ROUND(S235+R236,2),MIN(ROUND(Q$6+IF(Q$5=$C236,$E$5+$E236,0),2),ROUND(S235+R236,2))),0)</f>
        <v>0</v>
      </c>
      <c r="R236" s="24">
        <f>IF(S235&gt;0,ROUND(ROUND(S235*100,0)*ROUND(Q$7*10000,0)/12000000,0)/100,0)</f>
        <v>0</v>
      </c>
      <c r="S236" s="24">
        <f>IF(S235&gt;0,ROUND(S235+R236-Q236,2),0)</f>
        <v>0</v>
      </c>
      <c r="T236" s="24">
        <f>IF(S235&gt;0,ROUND(T235+ROUND(ROUND(T235*100,0)*ROUND(Q$7*10000,0)/12000000,0)/100+0.02,2),0)</f>
        <v>0</v>
      </c>
      <c r="U236" s="24">
        <f>IF(W235&gt;0,IF(AND(ROUND(W235+V236-ROUND(U$6+IF(U$5=$C236,$E$5+$E236,0),2),2)&gt;0,ROUND(W235+V236-ROUND(U$6+IF(U$5=$C236,$E$5+$E236,0),2),2)&lt;=X236,ROUND(W235+V236-ROUND(U$6+IF(U$5=$C236,$E$5+$E236,0),2),2)*10&lt;=ROUND(U$6+IF(U$5=$C236,$E$5+$E236,0),2)),ROUND(W235+V236,2),MIN(ROUND(U$6+IF(U$5=$C236,$E$5+$E236,0),2),ROUND(W235+V236,2))),0)</f>
        <v>0</v>
      </c>
      <c r="V236" s="24">
        <f>IF(W235&gt;0,ROUND(ROUND(W235*100,0)*ROUND(U$7*10000,0)/12000000,0)/100,0)</f>
        <v>0</v>
      </c>
      <c r="W236" s="24">
        <f>IF(W235&gt;0,ROUND(W235+V236-U236,2),0)</f>
        <v>0</v>
      </c>
      <c r="X236" s="24">
        <f>IF(W235&gt;0,ROUND(X235+ROUND(ROUND(X235*100,0)*ROUND(U$7*10000,0)/12000000,0)/100+0.02,2),0)</f>
        <v>0</v>
      </c>
      <c r="Y236" s="24">
        <f>IF(AA235&gt;0,IF(AND(ROUND(AA235+Z236-ROUND(Y$6+IF(Y$5=$C236,$E$5+$E236,0),2),2)&gt;0,ROUND(AA235+Z236-ROUND(Y$6+IF(Y$5=$C236,$E$5+$E236,0),2),2)&lt;=AB236,ROUND(AA235+Z236-ROUND(Y$6+IF(Y$5=$C236,$E$5+$E236,0),2),2)*10&lt;=ROUND(Y$6+IF(Y$5=$C236,$E$5+$E236,0),2)),ROUND(AA235+Z236,2),MIN(ROUND(Y$6+IF(Y$5=$C236,$E$5+$E236,0),2),ROUND(AA235+Z236,2))),0)</f>
        <v>0</v>
      </c>
      <c r="Z236" s="24">
        <f>IF(AA235&gt;0,ROUND(ROUND(AA235*100,0)*ROUND(Y$7*10000,0)/12000000,0)/100,0)</f>
        <v>0</v>
      </c>
      <c r="AA236" s="24">
        <f>IF(AA235&gt;0,ROUND(AA235+Z236-Y236,2),0)</f>
        <v>0</v>
      </c>
      <c r="AB236" s="24">
        <f>IF(AA235&gt;0,ROUND(AB235+ROUND(ROUND(AB235*100,0)*ROUND(Y$7*10000,0)/12000000,0)/100+0.02,2),0)</f>
        <v>0</v>
      </c>
      <c r="AC236" s="24">
        <f>IF(AE235&gt;0,IF(AND(ROUND(AE235+AD236-ROUND(AC$6+IF(AC$5=$C236,$E$5+$E236,0),2),2)&gt;0,ROUND(AE235+AD236-ROUND(AC$6+IF(AC$5=$C236,$E$5+$E236,0),2),2)&lt;=AF236,ROUND(AE235+AD236-ROUND(AC$6+IF(AC$5=$C236,$E$5+$E236,0),2),2)*10&lt;=ROUND(AC$6+IF(AC$5=$C236,$E$5+$E236,0),2)),ROUND(AE235+AD236,2),MIN(ROUND(AC$6+IF(AC$5=$C236,$E$5+$E236,0),2),ROUND(AE235+AD236,2))),0)</f>
        <v>0</v>
      </c>
      <c r="AD236" s="24">
        <f>IF(AE235&gt;0,ROUND(ROUND(AE235*100,0)*ROUND(AC$7*10000,0)/12000000,0)/100,0)</f>
        <v>0</v>
      </c>
      <c r="AE236" s="24">
        <f>IF(AE235&gt;0,ROUND(AE235+AD236-AC236,2),0)</f>
        <v>0</v>
      </c>
      <c r="AF236" s="24">
        <f>IF(AE235&gt;0,ROUND(AF235+ROUND(ROUND(AF235*100,0)*ROUND(AC$7*10000,0)/12000000,0)/100+0.02,2),0)</f>
        <v>0</v>
      </c>
      <c r="AG236" s="24">
        <f>IF(AI235&gt;0,IF(AND(ROUND(AI235+AH236-ROUND(AG$6+IF(AG$5=$C236,$E$5+$E236,0),2),2)&gt;0,ROUND(AI235+AH236-ROUND(AG$6+IF(AG$5=$C236,$E$5+$E236,0),2),2)&lt;=AJ236,ROUND(AI235+AH236-ROUND(AG$6+IF(AG$5=$C236,$E$5+$E236,0),2),2)*10&lt;=ROUND(AG$6+IF(AG$5=$C236,$E$5+$E236,0),2)),ROUND(AI235+AH236,2),MIN(ROUND(AG$6+IF(AG$5=$C236,$E$5+$E236,0),2),ROUND(AI235+AH236,2))),0)</f>
        <v>0</v>
      </c>
      <c r="AH236" s="24">
        <f>IF(AI235&gt;0,ROUND(ROUND(AI235*100,0)*ROUND(AG$7*10000,0)/12000000,0)/100,0)</f>
        <v>0</v>
      </c>
      <c r="AI236" s="24">
        <f>IF(AI235&gt;0,ROUND(AI235+AH236-AG236,2),0)</f>
        <v>0</v>
      </c>
      <c r="AJ236" s="24">
        <f>IF(AI235&gt;0,ROUND(AJ235+ROUND(ROUND(AJ235*100,0)*ROUND(AG$7*10000,0)/12000000,0)/100+0.02,2),0)</f>
        <v>0</v>
      </c>
      <c r="AK236" s="24">
        <f>IF(AM235&gt;0,IF(AND(ROUND(AM235+AL236-ROUND(AK$6+IF(AK$5=$C236,$E$5+$E236,0),2),2)&gt;0,ROUND(AM235+AL236-ROUND(AK$6+IF(AK$5=$C236,$E$5+$E236,0),2),2)&lt;=AN236,ROUND(AM235+AL236-ROUND(AK$6+IF(AK$5=$C236,$E$5+$E236,0),2),2)*10&lt;=ROUND(AK$6+IF(AK$5=$C236,$E$5+$E236,0),2)),ROUND(AM235+AL236,2),MIN(ROUND(AK$6+IF(AK$5=$C236,$E$5+$E236,0),2),ROUND(AM235+AL236,2))),0)</f>
        <v>0</v>
      </c>
      <c r="AL236" s="24">
        <f>IF(AM235&gt;0,ROUND(ROUND(AM235*100,0)*ROUND(AK$7*10000,0)/12000000,0)/100,0)</f>
        <v>0</v>
      </c>
      <c r="AM236" s="24">
        <f>IF(AM235&gt;0,ROUND(AM235+AL236-AK236,2),0)</f>
        <v>0</v>
      </c>
      <c r="AN236" s="24">
        <f>IF(AM235&gt;0,ROUND(AN235+ROUND(ROUND(AN235*100,0)*ROUND(AK$7*10000,0)/12000000,0)/100+0.02,2),0)</f>
        <v>0</v>
      </c>
      <c r="AO236" s="24">
        <f>IF(AQ235&gt;0,IF(AND(ROUND(AQ235+AP236-ROUND(AO$6+IF(AO$5=$C236,$E$5+$E236,0),2),2)&gt;0,ROUND(AQ235+AP236-ROUND(AO$6+IF(AO$5=$C236,$E$5+$E236,0),2),2)&lt;=AR236,ROUND(AQ235+AP236-ROUND(AO$6+IF(AO$5=$C236,$E$5+$E236,0),2),2)*10&lt;=ROUND(AO$6+IF(AO$5=$C236,$E$5+$E236,0),2)),ROUND(AQ235+AP236,2),MIN(ROUND(AO$6+IF(AO$5=$C236,$E$5+$E236,0),2),ROUND(AQ235+AP236,2))),0)</f>
        <v>0</v>
      </c>
      <c r="AP236" s="24">
        <f>IF(AQ235&gt;0,ROUND(ROUND(AQ235*100,0)*ROUND(AO$7*10000,0)/12000000,0)/100,0)</f>
        <v>0</v>
      </c>
      <c r="AQ236" s="24">
        <f>IF(AQ235&gt;0,ROUND(AQ235+AP236-AO236,2),0)</f>
        <v>0</v>
      </c>
      <c r="AR236" s="24">
        <f>IF(AQ235&gt;0,ROUND(AR235+ROUND(ROUND(AR235*100,0)*ROUND(AO$7*10000,0)/12000000,0)/100+0.02,2),0)</f>
        <v>0</v>
      </c>
      <c r="AS236" s="24">
        <f>IF(AU235&gt;0,IF(AND(ROUND(AU235+AT236-ROUND(AS$6+IF(AS$5=$C236,$E$5+$E236,0),2),2)&gt;0,ROUND(AU235+AT236-ROUND(AS$6+IF(AS$5=$C236,$E$5+$E236,0),2),2)&lt;=AV236,ROUND(AU235+AT236-ROUND(AS$6+IF(AS$5=$C236,$E$5+$E236,0),2),2)*10&lt;=ROUND(AS$6+IF(AS$5=$C236,$E$5+$E236,0),2)),ROUND(AU235+AT236,2),MIN(ROUND(AS$6+IF(AS$5=$C236,$E$5+$E236,0),2),ROUND(AU235+AT236,2))),0)</f>
        <v>0</v>
      </c>
      <c r="AT236" s="24">
        <f>IF(AU235&gt;0,ROUND(ROUND(AU235*100,0)*ROUND(AS$7*10000,0)/12000000,0)/100,0)</f>
        <v>0</v>
      </c>
      <c r="AU236" s="24">
        <f>IF(AU235&gt;0,ROUND(AU235+AT236-AS236,2),0)</f>
        <v>0</v>
      </c>
      <c r="AV236" s="24">
        <f>IF(AU235&gt;0,ROUND(AV235+ROUND(ROUND(AV235*100,0)*ROUND(AS$7*10000,0)/12000000,0)/100+0.02,2),0)</f>
        <v>0</v>
      </c>
    </row>
    <row r="237" spans="1:48" x14ac:dyDescent="0.25">
      <c r="A237" s="17" t="str">
        <f>IF(F237&gt;0,227,"")</f>
        <v/>
      </c>
      <c r="B237" s="18" t="str">
        <f>IF(F237&gt;0,EDATE($E$6,227),"")</f>
        <v/>
      </c>
      <c r="C237" s="21">
        <f>IF(H236&gt;0,MIN(IF(K236&gt;0,I$5,99),IF(O236&gt;0,M$5,99),IF(S236&gt;0,Q$5,99),IF(W236&gt;0,U$5,99),IF(AA236&gt;0,Y$5,99),IF(AE236&gt;0,AC$5,99),IF(AI236&gt;0,AG$5,99),IF(AM236&gt;0,AK$5,99),IF(AQ236&gt;0,AO$5,99),IF(AU236&gt;0,AS$5,99)),0)</f>
        <v>0</v>
      </c>
      <c r="D237" t="str">
        <f>IF(C237&gt;0,INDEX($I$4:$AV$4,1,MATCH(C237,$I$5:$AV$5,0)),"")</f>
        <v/>
      </c>
      <c r="E237" s="24">
        <f>ROUND(IF(AND(I$8&gt;0,K236=0),I$6,0)+IF(AND(M$8&gt;0,O236=0),M$6,0)+IF(AND(Q$8&gt;0,S236=0),Q$6,0)+IF(AND(U$8&gt;0,W236=0),U$6,0)+IF(AND(Y$8&gt;0,AA236=0),Y$6,0)+IF(AND(AC$8&gt;0,AE236=0),AC$6,0)+IF(AND(AG$8&gt;0,AI236=0),AG$6,0)+IF(AND(AK$8&gt;0,AM236=0),AK$6,0)+IF(AND(AO$8&gt;0,AQ236=0),AO$6,0)+IF(AND(AS$8&gt;0,AU236=0),AS$6,0),2)</f>
        <v>325</v>
      </c>
      <c r="F237" s="24">
        <f>ROUND(I237+M237+Q237+U237+Y237+AC237+AG237+AK237+AO237+AS237,2)</f>
        <v>0</v>
      </c>
      <c r="G237" s="24">
        <f>ROUND(J237+N237+R237+V237+Z237+AD237+AH237+AL237+AP237+AT237,2)</f>
        <v>0</v>
      </c>
      <c r="H237" s="24">
        <f>ROUND(K237+O237+S237+W237+AA237+AE237+AI237+AM237+AQ237+AU237,2)</f>
        <v>0</v>
      </c>
      <c r="I237" s="24">
        <f>IF(K236&gt;0,IF(AND(ROUND(K236+J237-ROUND(I$6+IF(I$5=$C237,$E$5+$E237,0),2),2)&gt;0,ROUND(K236+J237-ROUND(I$6+IF(I$5=$C237,$E$5+$E237,0),2),2)&lt;=L237,ROUND(K236+J237-ROUND(I$6+IF(I$5=$C237,$E$5+$E237,0),2),2)*10&lt;=ROUND(I$6+IF(I$5=$C237,$E$5+$E237,0),2)),ROUND(K236+J237,2),MIN(ROUND(I$6+IF(I$5=$C237,$E$5+$E237,0),2),ROUND(K236+J237,2))),0)</f>
        <v>0</v>
      </c>
      <c r="J237" s="24">
        <f>IF(K236&gt;0,ROUND(ROUND(K236*100,0)*ROUND(I$7*10000,0)/12000000,0)/100,0)</f>
        <v>0</v>
      </c>
      <c r="K237" s="24">
        <f>IF(K236&gt;0,ROUND(K236+J237-I237,2),0)</f>
        <v>0</v>
      </c>
      <c r="L237" s="24">
        <f>IF(K236&gt;0,ROUND(L236+ROUND(ROUND(L236*100,0)*ROUND(I$7*10000,0)/12000000,0)/100+0.02,2),0)</f>
        <v>0</v>
      </c>
      <c r="M237" s="24">
        <f>IF(O236&gt;0,IF(AND(ROUND(O236+N237-ROUND(M$6+IF(M$5=$C237,$E$5+$E237,0),2),2)&gt;0,ROUND(O236+N237-ROUND(M$6+IF(M$5=$C237,$E$5+$E237,0),2),2)&lt;=P237,ROUND(O236+N237-ROUND(M$6+IF(M$5=$C237,$E$5+$E237,0),2),2)*10&lt;=ROUND(M$6+IF(M$5=$C237,$E$5+$E237,0),2)),ROUND(O236+N237,2),MIN(ROUND(M$6+IF(M$5=$C237,$E$5+$E237,0),2),ROUND(O236+N237,2))),0)</f>
        <v>0</v>
      </c>
      <c r="N237" s="24">
        <f>IF(O236&gt;0,ROUND(ROUND(O236*100,0)*ROUND(M$7*10000,0)/12000000,0)/100,0)</f>
        <v>0</v>
      </c>
      <c r="O237" s="24">
        <f>IF(O236&gt;0,ROUND(O236+N237-M237,2),0)</f>
        <v>0</v>
      </c>
      <c r="P237" s="24">
        <f>IF(O236&gt;0,ROUND(P236+ROUND(ROUND(P236*100,0)*ROUND(M$7*10000,0)/12000000,0)/100+0.02,2),0)</f>
        <v>0</v>
      </c>
      <c r="Q237" s="24">
        <f>IF(S236&gt;0,IF(AND(ROUND(S236+R237-ROUND(Q$6+IF(Q$5=$C237,$E$5+$E237,0),2),2)&gt;0,ROUND(S236+R237-ROUND(Q$6+IF(Q$5=$C237,$E$5+$E237,0),2),2)&lt;=T237,ROUND(S236+R237-ROUND(Q$6+IF(Q$5=$C237,$E$5+$E237,0),2),2)*10&lt;=ROUND(Q$6+IF(Q$5=$C237,$E$5+$E237,0),2)),ROUND(S236+R237,2),MIN(ROUND(Q$6+IF(Q$5=$C237,$E$5+$E237,0),2),ROUND(S236+R237,2))),0)</f>
        <v>0</v>
      </c>
      <c r="R237" s="24">
        <f>IF(S236&gt;0,ROUND(ROUND(S236*100,0)*ROUND(Q$7*10000,0)/12000000,0)/100,0)</f>
        <v>0</v>
      </c>
      <c r="S237" s="24">
        <f>IF(S236&gt;0,ROUND(S236+R237-Q237,2),0)</f>
        <v>0</v>
      </c>
      <c r="T237" s="24">
        <f>IF(S236&gt;0,ROUND(T236+ROUND(ROUND(T236*100,0)*ROUND(Q$7*10000,0)/12000000,0)/100+0.02,2),0)</f>
        <v>0</v>
      </c>
      <c r="U237" s="24">
        <f>IF(W236&gt;0,IF(AND(ROUND(W236+V237-ROUND(U$6+IF(U$5=$C237,$E$5+$E237,0),2),2)&gt;0,ROUND(W236+V237-ROUND(U$6+IF(U$5=$C237,$E$5+$E237,0),2),2)&lt;=X237,ROUND(W236+V237-ROUND(U$6+IF(U$5=$C237,$E$5+$E237,0),2),2)*10&lt;=ROUND(U$6+IF(U$5=$C237,$E$5+$E237,0),2)),ROUND(W236+V237,2),MIN(ROUND(U$6+IF(U$5=$C237,$E$5+$E237,0),2),ROUND(W236+V237,2))),0)</f>
        <v>0</v>
      </c>
      <c r="V237" s="24">
        <f>IF(W236&gt;0,ROUND(ROUND(W236*100,0)*ROUND(U$7*10000,0)/12000000,0)/100,0)</f>
        <v>0</v>
      </c>
      <c r="W237" s="24">
        <f>IF(W236&gt;0,ROUND(W236+V237-U237,2),0)</f>
        <v>0</v>
      </c>
      <c r="X237" s="24">
        <f>IF(W236&gt;0,ROUND(X236+ROUND(ROUND(X236*100,0)*ROUND(U$7*10000,0)/12000000,0)/100+0.02,2),0)</f>
        <v>0</v>
      </c>
      <c r="Y237" s="24">
        <f>IF(AA236&gt;0,IF(AND(ROUND(AA236+Z237-ROUND(Y$6+IF(Y$5=$C237,$E$5+$E237,0),2),2)&gt;0,ROUND(AA236+Z237-ROUND(Y$6+IF(Y$5=$C237,$E$5+$E237,0),2),2)&lt;=AB237,ROUND(AA236+Z237-ROUND(Y$6+IF(Y$5=$C237,$E$5+$E237,0),2),2)*10&lt;=ROUND(Y$6+IF(Y$5=$C237,$E$5+$E237,0),2)),ROUND(AA236+Z237,2),MIN(ROUND(Y$6+IF(Y$5=$C237,$E$5+$E237,0),2),ROUND(AA236+Z237,2))),0)</f>
        <v>0</v>
      </c>
      <c r="Z237" s="24">
        <f>IF(AA236&gt;0,ROUND(ROUND(AA236*100,0)*ROUND(Y$7*10000,0)/12000000,0)/100,0)</f>
        <v>0</v>
      </c>
      <c r="AA237" s="24">
        <f>IF(AA236&gt;0,ROUND(AA236+Z237-Y237,2),0)</f>
        <v>0</v>
      </c>
      <c r="AB237" s="24">
        <f>IF(AA236&gt;0,ROUND(AB236+ROUND(ROUND(AB236*100,0)*ROUND(Y$7*10000,0)/12000000,0)/100+0.02,2),0)</f>
        <v>0</v>
      </c>
      <c r="AC237" s="24">
        <f>IF(AE236&gt;0,IF(AND(ROUND(AE236+AD237-ROUND(AC$6+IF(AC$5=$C237,$E$5+$E237,0),2),2)&gt;0,ROUND(AE236+AD237-ROUND(AC$6+IF(AC$5=$C237,$E$5+$E237,0),2),2)&lt;=AF237,ROUND(AE236+AD237-ROUND(AC$6+IF(AC$5=$C237,$E$5+$E237,0),2),2)*10&lt;=ROUND(AC$6+IF(AC$5=$C237,$E$5+$E237,0),2)),ROUND(AE236+AD237,2),MIN(ROUND(AC$6+IF(AC$5=$C237,$E$5+$E237,0),2),ROUND(AE236+AD237,2))),0)</f>
        <v>0</v>
      </c>
      <c r="AD237" s="24">
        <f>IF(AE236&gt;0,ROUND(ROUND(AE236*100,0)*ROUND(AC$7*10000,0)/12000000,0)/100,0)</f>
        <v>0</v>
      </c>
      <c r="AE237" s="24">
        <f>IF(AE236&gt;0,ROUND(AE236+AD237-AC237,2),0)</f>
        <v>0</v>
      </c>
      <c r="AF237" s="24">
        <f>IF(AE236&gt;0,ROUND(AF236+ROUND(ROUND(AF236*100,0)*ROUND(AC$7*10000,0)/12000000,0)/100+0.02,2),0)</f>
        <v>0</v>
      </c>
      <c r="AG237" s="24">
        <f>IF(AI236&gt;0,IF(AND(ROUND(AI236+AH237-ROUND(AG$6+IF(AG$5=$C237,$E$5+$E237,0),2),2)&gt;0,ROUND(AI236+AH237-ROUND(AG$6+IF(AG$5=$C237,$E$5+$E237,0),2),2)&lt;=AJ237,ROUND(AI236+AH237-ROUND(AG$6+IF(AG$5=$C237,$E$5+$E237,0),2),2)*10&lt;=ROUND(AG$6+IF(AG$5=$C237,$E$5+$E237,0),2)),ROUND(AI236+AH237,2),MIN(ROUND(AG$6+IF(AG$5=$C237,$E$5+$E237,0),2),ROUND(AI236+AH237,2))),0)</f>
        <v>0</v>
      </c>
      <c r="AH237" s="24">
        <f>IF(AI236&gt;0,ROUND(ROUND(AI236*100,0)*ROUND(AG$7*10000,0)/12000000,0)/100,0)</f>
        <v>0</v>
      </c>
      <c r="AI237" s="24">
        <f>IF(AI236&gt;0,ROUND(AI236+AH237-AG237,2),0)</f>
        <v>0</v>
      </c>
      <c r="AJ237" s="24">
        <f>IF(AI236&gt;0,ROUND(AJ236+ROUND(ROUND(AJ236*100,0)*ROUND(AG$7*10000,0)/12000000,0)/100+0.02,2),0)</f>
        <v>0</v>
      </c>
      <c r="AK237" s="24">
        <f>IF(AM236&gt;0,IF(AND(ROUND(AM236+AL237-ROUND(AK$6+IF(AK$5=$C237,$E$5+$E237,0),2),2)&gt;0,ROUND(AM236+AL237-ROUND(AK$6+IF(AK$5=$C237,$E$5+$E237,0),2),2)&lt;=AN237,ROUND(AM236+AL237-ROUND(AK$6+IF(AK$5=$C237,$E$5+$E237,0),2),2)*10&lt;=ROUND(AK$6+IF(AK$5=$C237,$E$5+$E237,0),2)),ROUND(AM236+AL237,2),MIN(ROUND(AK$6+IF(AK$5=$C237,$E$5+$E237,0),2),ROUND(AM236+AL237,2))),0)</f>
        <v>0</v>
      </c>
      <c r="AL237" s="24">
        <f>IF(AM236&gt;0,ROUND(ROUND(AM236*100,0)*ROUND(AK$7*10000,0)/12000000,0)/100,0)</f>
        <v>0</v>
      </c>
      <c r="AM237" s="24">
        <f>IF(AM236&gt;0,ROUND(AM236+AL237-AK237,2),0)</f>
        <v>0</v>
      </c>
      <c r="AN237" s="24">
        <f>IF(AM236&gt;0,ROUND(AN236+ROUND(ROUND(AN236*100,0)*ROUND(AK$7*10000,0)/12000000,0)/100+0.02,2),0)</f>
        <v>0</v>
      </c>
      <c r="AO237" s="24">
        <f>IF(AQ236&gt;0,IF(AND(ROUND(AQ236+AP237-ROUND(AO$6+IF(AO$5=$C237,$E$5+$E237,0),2),2)&gt;0,ROUND(AQ236+AP237-ROUND(AO$6+IF(AO$5=$C237,$E$5+$E237,0),2),2)&lt;=AR237,ROUND(AQ236+AP237-ROUND(AO$6+IF(AO$5=$C237,$E$5+$E237,0),2),2)*10&lt;=ROUND(AO$6+IF(AO$5=$C237,$E$5+$E237,0),2)),ROUND(AQ236+AP237,2),MIN(ROUND(AO$6+IF(AO$5=$C237,$E$5+$E237,0),2),ROUND(AQ236+AP237,2))),0)</f>
        <v>0</v>
      </c>
      <c r="AP237" s="24">
        <f>IF(AQ236&gt;0,ROUND(ROUND(AQ236*100,0)*ROUND(AO$7*10000,0)/12000000,0)/100,0)</f>
        <v>0</v>
      </c>
      <c r="AQ237" s="24">
        <f>IF(AQ236&gt;0,ROUND(AQ236+AP237-AO237,2),0)</f>
        <v>0</v>
      </c>
      <c r="AR237" s="24">
        <f>IF(AQ236&gt;0,ROUND(AR236+ROUND(ROUND(AR236*100,0)*ROUND(AO$7*10000,0)/12000000,0)/100+0.02,2),0)</f>
        <v>0</v>
      </c>
      <c r="AS237" s="24">
        <f>IF(AU236&gt;0,IF(AND(ROUND(AU236+AT237-ROUND(AS$6+IF(AS$5=$C237,$E$5+$E237,0),2),2)&gt;0,ROUND(AU236+AT237-ROUND(AS$6+IF(AS$5=$C237,$E$5+$E237,0),2),2)&lt;=AV237,ROUND(AU236+AT237-ROUND(AS$6+IF(AS$5=$C237,$E$5+$E237,0),2),2)*10&lt;=ROUND(AS$6+IF(AS$5=$C237,$E$5+$E237,0),2)),ROUND(AU236+AT237,2),MIN(ROUND(AS$6+IF(AS$5=$C237,$E$5+$E237,0),2),ROUND(AU236+AT237,2))),0)</f>
        <v>0</v>
      </c>
      <c r="AT237" s="24">
        <f>IF(AU236&gt;0,ROUND(ROUND(AU236*100,0)*ROUND(AS$7*10000,0)/12000000,0)/100,0)</f>
        <v>0</v>
      </c>
      <c r="AU237" s="24">
        <f>IF(AU236&gt;0,ROUND(AU236+AT237-AS237,2),0)</f>
        <v>0</v>
      </c>
      <c r="AV237" s="24">
        <f>IF(AU236&gt;0,ROUND(AV236+ROUND(ROUND(AV236*100,0)*ROUND(AS$7*10000,0)/12000000,0)/100+0.02,2),0)</f>
        <v>0</v>
      </c>
    </row>
    <row r="238" spans="1:48" x14ac:dyDescent="0.25">
      <c r="A238" s="17" t="str">
        <f>IF(F238&gt;0,228,"")</f>
        <v/>
      </c>
      <c r="B238" s="18" t="str">
        <f>IF(F238&gt;0,EDATE($E$6,228),"")</f>
        <v/>
      </c>
      <c r="C238" s="21">
        <f>IF(H237&gt;0,MIN(IF(K237&gt;0,I$5,99),IF(O237&gt;0,M$5,99),IF(S237&gt;0,Q$5,99),IF(W237&gt;0,U$5,99),IF(AA237&gt;0,Y$5,99),IF(AE237&gt;0,AC$5,99),IF(AI237&gt;0,AG$5,99),IF(AM237&gt;0,AK$5,99),IF(AQ237&gt;0,AO$5,99),IF(AU237&gt;0,AS$5,99)),0)</f>
        <v>0</v>
      </c>
      <c r="D238" t="str">
        <f>IF(C238&gt;0,INDEX($I$4:$AV$4,1,MATCH(C238,$I$5:$AV$5,0)),"")</f>
        <v/>
      </c>
      <c r="E238" s="24">
        <f>ROUND(IF(AND(I$8&gt;0,K237=0),I$6,0)+IF(AND(M$8&gt;0,O237=0),M$6,0)+IF(AND(Q$8&gt;0,S237=0),Q$6,0)+IF(AND(U$8&gt;0,W237=0),U$6,0)+IF(AND(Y$8&gt;0,AA237=0),Y$6,0)+IF(AND(AC$8&gt;0,AE237=0),AC$6,0)+IF(AND(AG$8&gt;0,AI237=0),AG$6,0)+IF(AND(AK$8&gt;0,AM237=0),AK$6,0)+IF(AND(AO$8&gt;0,AQ237=0),AO$6,0)+IF(AND(AS$8&gt;0,AU237=0),AS$6,0),2)</f>
        <v>325</v>
      </c>
      <c r="F238" s="24">
        <f>ROUND(I238+M238+Q238+U238+Y238+AC238+AG238+AK238+AO238+AS238,2)</f>
        <v>0</v>
      </c>
      <c r="G238" s="24">
        <f>ROUND(J238+N238+R238+V238+Z238+AD238+AH238+AL238+AP238+AT238,2)</f>
        <v>0</v>
      </c>
      <c r="H238" s="24">
        <f>ROUND(K238+O238+S238+W238+AA238+AE238+AI238+AM238+AQ238+AU238,2)</f>
        <v>0</v>
      </c>
      <c r="I238" s="24">
        <f>IF(K237&gt;0,IF(AND(ROUND(K237+J238-ROUND(I$6+IF(I$5=$C238,$E$5+$E238,0),2),2)&gt;0,ROUND(K237+J238-ROUND(I$6+IF(I$5=$C238,$E$5+$E238,0),2),2)&lt;=L238,ROUND(K237+J238-ROUND(I$6+IF(I$5=$C238,$E$5+$E238,0),2),2)*10&lt;=ROUND(I$6+IF(I$5=$C238,$E$5+$E238,0),2)),ROUND(K237+J238,2),MIN(ROUND(I$6+IF(I$5=$C238,$E$5+$E238,0),2),ROUND(K237+J238,2))),0)</f>
        <v>0</v>
      </c>
      <c r="J238" s="24">
        <f>IF(K237&gt;0,ROUND(ROUND(K237*100,0)*ROUND(I$7*10000,0)/12000000,0)/100,0)</f>
        <v>0</v>
      </c>
      <c r="K238" s="24">
        <f>IF(K237&gt;0,ROUND(K237+J238-I238,2),0)</f>
        <v>0</v>
      </c>
      <c r="L238" s="24">
        <f>IF(K237&gt;0,ROUND(L237+ROUND(ROUND(L237*100,0)*ROUND(I$7*10000,0)/12000000,0)/100+0.02,2),0)</f>
        <v>0</v>
      </c>
      <c r="M238" s="24">
        <f>IF(O237&gt;0,IF(AND(ROUND(O237+N238-ROUND(M$6+IF(M$5=$C238,$E$5+$E238,0),2),2)&gt;0,ROUND(O237+N238-ROUND(M$6+IF(M$5=$C238,$E$5+$E238,0),2),2)&lt;=P238,ROUND(O237+N238-ROUND(M$6+IF(M$5=$C238,$E$5+$E238,0),2),2)*10&lt;=ROUND(M$6+IF(M$5=$C238,$E$5+$E238,0),2)),ROUND(O237+N238,2),MIN(ROUND(M$6+IF(M$5=$C238,$E$5+$E238,0),2),ROUND(O237+N238,2))),0)</f>
        <v>0</v>
      </c>
      <c r="N238" s="24">
        <f>IF(O237&gt;0,ROUND(ROUND(O237*100,0)*ROUND(M$7*10000,0)/12000000,0)/100,0)</f>
        <v>0</v>
      </c>
      <c r="O238" s="24">
        <f>IF(O237&gt;0,ROUND(O237+N238-M238,2),0)</f>
        <v>0</v>
      </c>
      <c r="P238" s="24">
        <f>IF(O237&gt;0,ROUND(P237+ROUND(ROUND(P237*100,0)*ROUND(M$7*10000,0)/12000000,0)/100+0.02,2),0)</f>
        <v>0</v>
      </c>
      <c r="Q238" s="24">
        <f>IF(S237&gt;0,IF(AND(ROUND(S237+R238-ROUND(Q$6+IF(Q$5=$C238,$E$5+$E238,0),2),2)&gt;0,ROUND(S237+R238-ROUND(Q$6+IF(Q$5=$C238,$E$5+$E238,0),2),2)&lt;=T238,ROUND(S237+R238-ROUND(Q$6+IF(Q$5=$C238,$E$5+$E238,0),2),2)*10&lt;=ROUND(Q$6+IF(Q$5=$C238,$E$5+$E238,0),2)),ROUND(S237+R238,2),MIN(ROUND(Q$6+IF(Q$5=$C238,$E$5+$E238,0),2),ROUND(S237+R238,2))),0)</f>
        <v>0</v>
      </c>
      <c r="R238" s="24">
        <f>IF(S237&gt;0,ROUND(ROUND(S237*100,0)*ROUND(Q$7*10000,0)/12000000,0)/100,0)</f>
        <v>0</v>
      </c>
      <c r="S238" s="24">
        <f>IF(S237&gt;0,ROUND(S237+R238-Q238,2),0)</f>
        <v>0</v>
      </c>
      <c r="T238" s="24">
        <f>IF(S237&gt;0,ROUND(T237+ROUND(ROUND(T237*100,0)*ROUND(Q$7*10000,0)/12000000,0)/100+0.02,2),0)</f>
        <v>0</v>
      </c>
      <c r="U238" s="24">
        <f>IF(W237&gt;0,IF(AND(ROUND(W237+V238-ROUND(U$6+IF(U$5=$C238,$E$5+$E238,0),2),2)&gt;0,ROUND(W237+V238-ROUND(U$6+IF(U$5=$C238,$E$5+$E238,0),2),2)&lt;=X238,ROUND(W237+V238-ROUND(U$6+IF(U$5=$C238,$E$5+$E238,0),2),2)*10&lt;=ROUND(U$6+IF(U$5=$C238,$E$5+$E238,0),2)),ROUND(W237+V238,2),MIN(ROUND(U$6+IF(U$5=$C238,$E$5+$E238,0),2),ROUND(W237+V238,2))),0)</f>
        <v>0</v>
      </c>
      <c r="V238" s="24">
        <f>IF(W237&gt;0,ROUND(ROUND(W237*100,0)*ROUND(U$7*10000,0)/12000000,0)/100,0)</f>
        <v>0</v>
      </c>
      <c r="W238" s="24">
        <f>IF(W237&gt;0,ROUND(W237+V238-U238,2),0)</f>
        <v>0</v>
      </c>
      <c r="X238" s="24">
        <f>IF(W237&gt;0,ROUND(X237+ROUND(ROUND(X237*100,0)*ROUND(U$7*10000,0)/12000000,0)/100+0.02,2),0)</f>
        <v>0</v>
      </c>
      <c r="Y238" s="24">
        <f>IF(AA237&gt;0,IF(AND(ROUND(AA237+Z238-ROUND(Y$6+IF(Y$5=$C238,$E$5+$E238,0),2),2)&gt;0,ROUND(AA237+Z238-ROUND(Y$6+IF(Y$5=$C238,$E$5+$E238,0),2),2)&lt;=AB238,ROUND(AA237+Z238-ROUND(Y$6+IF(Y$5=$C238,$E$5+$E238,0),2),2)*10&lt;=ROUND(Y$6+IF(Y$5=$C238,$E$5+$E238,0),2)),ROUND(AA237+Z238,2),MIN(ROUND(Y$6+IF(Y$5=$C238,$E$5+$E238,0),2),ROUND(AA237+Z238,2))),0)</f>
        <v>0</v>
      </c>
      <c r="Z238" s="24">
        <f>IF(AA237&gt;0,ROUND(ROUND(AA237*100,0)*ROUND(Y$7*10000,0)/12000000,0)/100,0)</f>
        <v>0</v>
      </c>
      <c r="AA238" s="24">
        <f>IF(AA237&gt;0,ROUND(AA237+Z238-Y238,2),0)</f>
        <v>0</v>
      </c>
      <c r="AB238" s="24">
        <f>IF(AA237&gt;0,ROUND(AB237+ROUND(ROUND(AB237*100,0)*ROUND(Y$7*10000,0)/12000000,0)/100+0.02,2),0)</f>
        <v>0</v>
      </c>
      <c r="AC238" s="24">
        <f>IF(AE237&gt;0,IF(AND(ROUND(AE237+AD238-ROUND(AC$6+IF(AC$5=$C238,$E$5+$E238,0),2),2)&gt;0,ROUND(AE237+AD238-ROUND(AC$6+IF(AC$5=$C238,$E$5+$E238,0),2),2)&lt;=AF238,ROUND(AE237+AD238-ROUND(AC$6+IF(AC$5=$C238,$E$5+$E238,0),2),2)*10&lt;=ROUND(AC$6+IF(AC$5=$C238,$E$5+$E238,0),2)),ROUND(AE237+AD238,2),MIN(ROUND(AC$6+IF(AC$5=$C238,$E$5+$E238,0),2),ROUND(AE237+AD238,2))),0)</f>
        <v>0</v>
      </c>
      <c r="AD238" s="24">
        <f>IF(AE237&gt;0,ROUND(ROUND(AE237*100,0)*ROUND(AC$7*10000,0)/12000000,0)/100,0)</f>
        <v>0</v>
      </c>
      <c r="AE238" s="24">
        <f>IF(AE237&gt;0,ROUND(AE237+AD238-AC238,2),0)</f>
        <v>0</v>
      </c>
      <c r="AF238" s="24">
        <f>IF(AE237&gt;0,ROUND(AF237+ROUND(ROUND(AF237*100,0)*ROUND(AC$7*10000,0)/12000000,0)/100+0.02,2),0)</f>
        <v>0</v>
      </c>
      <c r="AG238" s="24">
        <f>IF(AI237&gt;0,IF(AND(ROUND(AI237+AH238-ROUND(AG$6+IF(AG$5=$C238,$E$5+$E238,0),2),2)&gt;0,ROUND(AI237+AH238-ROUND(AG$6+IF(AG$5=$C238,$E$5+$E238,0),2),2)&lt;=AJ238,ROUND(AI237+AH238-ROUND(AG$6+IF(AG$5=$C238,$E$5+$E238,0),2),2)*10&lt;=ROUND(AG$6+IF(AG$5=$C238,$E$5+$E238,0),2)),ROUND(AI237+AH238,2),MIN(ROUND(AG$6+IF(AG$5=$C238,$E$5+$E238,0),2),ROUND(AI237+AH238,2))),0)</f>
        <v>0</v>
      </c>
      <c r="AH238" s="24">
        <f>IF(AI237&gt;0,ROUND(ROUND(AI237*100,0)*ROUND(AG$7*10000,0)/12000000,0)/100,0)</f>
        <v>0</v>
      </c>
      <c r="AI238" s="24">
        <f>IF(AI237&gt;0,ROUND(AI237+AH238-AG238,2),0)</f>
        <v>0</v>
      </c>
      <c r="AJ238" s="24">
        <f>IF(AI237&gt;0,ROUND(AJ237+ROUND(ROUND(AJ237*100,0)*ROUND(AG$7*10000,0)/12000000,0)/100+0.02,2),0)</f>
        <v>0</v>
      </c>
      <c r="AK238" s="24">
        <f>IF(AM237&gt;0,IF(AND(ROUND(AM237+AL238-ROUND(AK$6+IF(AK$5=$C238,$E$5+$E238,0),2),2)&gt;0,ROUND(AM237+AL238-ROUND(AK$6+IF(AK$5=$C238,$E$5+$E238,0),2),2)&lt;=AN238,ROUND(AM237+AL238-ROUND(AK$6+IF(AK$5=$C238,$E$5+$E238,0),2),2)*10&lt;=ROUND(AK$6+IF(AK$5=$C238,$E$5+$E238,0),2)),ROUND(AM237+AL238,2),MIN(ROUND(AK$6+IF(AK$5=$C238,$E$5+$E238,0),2),ROUND(AM237+AL238,2))),0)</f>
        <v>0</v>
      </c>
      <c r="AL238" s="24">
        <f>IF(AM237&gt;0,ROUND(ROUND(AM237*100,0)*ROUND(AK$7*10000,0)/12000000,0)/100,0)</f>
        <v>0</v>
      </c>
      <c r="AM238" s="24">
        <f>IF(AM237&gt;0,ROUND(AM237+AL238-AK238,2),0)</f>
        <v>0</v>
      </c>
      <c r="AN238" s="24">
        <f>IF(AM237&gt;0,ROUND(AN237+ROUND(ROUND(AN237*100,0)*ROUND(AK$7*10000,0)/12000000,0)/100+0.02,2),0)</f>
        <v>0</v>
      </c>
      <c r="AO238" s="24">
        <f>IF(AQ237&gt;0,IF(AND(ROUND(AQ237+AP238-ROUND(AO$6+IF(AO$5=$C238,$E$5+$E238,0),2),2)&gt;0,ROUND(AQ237+AP238-ROUND(AO$6+IF(AO$5=$C238,$E$5+$E238,0),2),2)&lt;=AR238,ROUND(AQ237+AP238-ROUND(AO$6+IF(AO$5=$C238,$E$5+$E238,0),2),2)*10&lt;=ROUND(AO$6+IF(AO$5=$C238,$E$5+$E238,0),2)),ROUND(AQ237+AP238,2),MIN(ROUND(AO$6+IF(AO$5=$C238,$E$5+$E238,0),2),ROUND(AQ237+AP238,2))),0)</f>
        <v>0</v>
      </c>
      <c r="AP238" s="24">
        <f>IF(AQ237&gt;0,ROUND(ROUND(AQ237*100,0)*ROUND(AO$7*10000,0)/12000000,0)/100,0)</f>
        <v>0</v>
      </c>
      <c r="AQ238" s="24">
        <f>IF(AQ237&gt;0,ROUND(AQ237+AP238-AO238,2),0)</f>
        <v>0</v>
      </c>
      <c r="AR238" s="24">
        <f>IF(AQ237&gt;0,ROUND(AR237+ROUND(ROUND(AR237*100,0)*ROUND(AO$7*10000,0)/12000000,0)/100+0.02,2),0)</f>
        <v>0</v>
      </c>
      <c r="AS238" s="24">
        <f>IF(AU237&gt;0,IF(AND(ROUND(AU237+AT238-ROUND(AS$6+IF(AS$5=$C238,$E$5+$E238,0),2),2)&gt;0,ROUND(AU237+AT238-ROUND(AS$6+IF(AS$5=$C238,$E$5+$E238,0),2),2)&lt;=AV238,ROUND(AU237+AT238-ROUND(AS$6+IF(AS$5=$C238,$E$5+$E238,0),2),2)*10&lt;=ROUND(AS$6+IF(AS$5=$C238,$E$5+$E238,0),2)),ROUND(AU237+AT238,2),MIN(ROUND(AS$6+IF(AS$5=$C238,$E$5+$E238,0),2),ROUND(AU237+AT238,2))),0)</f>
        <v>0</v>
      </c>
      <c r="AT238" s="24">
        <f>IF(AU237&gt;0,ROUND(ROUND(AU237*100,0)*ROUND(AS$7*10000,0)/12000000,0)/100,0)</f>
        <v>0</v>
      </c>
      <c r="AU238" s="24">
        <f>IF(AU237&gt;0,ROUND(AU237+AT238-AS238,2),0)</f>
        <v>0</v>
      </c>
      <c r="AV238" s="24">
        <f>IF(AU237&gt;0,ROUND(AV237+ROUND(ROUND(AV237*100,0)*ROUND(AS$7*10000,0)/12000000,0)/100+0.02,2),0)</f>
        <v>0</v>
      </c>
    </row>
    <row r="239" spans="1:48" x14ac:dyDescent="0.25">
      <c r="A239" s="17" t="str">
        <f>IF(F239&gt;0,229,"")</f>
        <v/>
      </c>
      <c r="B239" s="18" t="str">
        <f>IF(F239&gt;0,EDATE($E$6,229),"")</f>
        <v/>
      </c>
      <c r="C239" s="21">
        <f>IF(H238&gt;0,MIN(IF(K238&gt;0,I$5,99),IF(O238&gt;0,M$5,99),IF(S238&gt;0,Q$5,99),IF(W238&gt;0,U$5,99),IF(AA238&gt;0,Y$5,99),IF(AE238&gt;0,AC$5,99),IF(AI238&gt;0,AG$5,99),IF(AM238&gt;0,AK$5,99),IF(AQ238&gt;0,AO$5,99),IF(AU238&gt;0,AS$5,99)),0)</f>
        <v>0</v>
      </c>
      <c r="D239" t="str">
        <f>IF(C239&gt;0,INDEX($I$4:$AV$4,1,MATCH(C239,$I$5:$AV$5,0)),"")</f>
        <v/>
      </c>
      <c r="E239" s="24">
        <f>ROUND(IF(AND(I$8&gt;0,K238=0),I$6,0)+IF(AND(M$8&gt;0,O238=0),M$6,0)+IF(AND(Q$8&gt;0,S238=0),Q$6,0)+IF(AND(U$8&gt;0,W238=0),U$6,0)+IF(AND(Y$8&gt;0,AA238=0),Y$6,0)+IF(AND(AC$8&gt;0,AE238=0),AC$6,0)+IF(AND(AG$8&gt;0,AI238=0),AG$6,0)+IF(AND(AK$8&gt;0,AM238=0),AK$6,0)+IF(AND(AO$8&gt;0,AQ238=0),AO$6,0)+IF(AND(AS$8&gt;0,AU238=0),AS$6,0),2)</f>
        <v>325</v>
      </c>
      <c r="F239" s="24">
        <f>ROUND(I239+M239+Q239+U239+Y239+AC239+AG239+AK239+AO239+AS239,2)</f>
        <v>0</v>
      </c>
      <c r="G239" s="24">
        <f>ROUND(J239+N239+R239+V239+Z239+AD239+AH239+AL239+AP239+AT239,2)</f>
        <v>0</v>
      </c>
      <c r="H239" s="24">
        <f>ROUND(K239+O239+S239+W239+AA239+AE239+AI239+AM239+AQ239+AU239,2)</f>
        <v>0</v>
      </c>
      <c r="I239" s="24">
        <f>IF(K238&gt;0,IF(AND(ROUND(K238+J239-ROUND(I$6+IF(I$5=$C239,$E$5+$E239,0),2),2)&gt;0,ROUND(K238+J239-ROUND(I$6+IF(I$5=$C239,$E$5+$E239,0),2),2)&lt;=L239,ROUND(K238+J239-ROUND(I$6+IF(I$5=$C239,$E$5+$E239,0),2),2)*10&lt;=ROUND(I$6+IF(I$5=$C239,$E$5+$E239,0),2)),ROUND(K238+J239,2),MIN(ROUND(I$6+IF(I$5=$C239,$E$5+$E239,0),2),ROUND(K238+J239,2))),0)</f>
        <v>0</v>
      </c>
      <c r="J239" s="24">
        <f>IF(K238&gt;0,ROUND(ROUND(K238*100,0)*ROUND(I$7*10000,0)/12000000,0)/100,0)</f>
        <v>0</v>
      </c>
      <c r="K239" s="24">
        <f>IF(K238&gt;0,ROUND(K238+J239-I239,2),0)</f>
        <v>0</v>
      </c>
      <c r="L239" s="24">
        <f>IF(K238&gt;0,ROUND(L238+ROUND(ROUND(L238*100,0)*ROUND(I$7*10000,0)/12000000,0)/100+0.02,2),0)</f>
        <v>0</v>
      </c>
      <c r="M239" s="24">
        <f>IF(O238&gt;0,IF(AND(ROUND(O238+N239-ROUND(M$6+IF(M$5=$C239,$E$5+$E239,0),2),2)&gt;0,ROUND(O238+N239-ROUND(M$6+IF(M$5=$C239,$E$5+$E239,0),2),2)&lt;=P239,ROUND(O238+N239-ROUND(M$6+IF(M$5=$C239,$E$5+$E239,0),2),2)*10&lt;=ROUND(M$6+IF(M$5=$C239,$E$5+$E239,0),2)),ROUND(O238+N239,2),MIN(ROUND(M$6+IF(M$5=$C239,$E$5+$E239,0),2),ROUND(O238+N239,2))),0)</f>
        <v>0</v>
      </c>
      <c r="N239" s="24">
        <f>IF(O238&gt;0,ROUND(ROUND(O238*100,0)*ROUND(M$7*10000,0)/12000000,0)/100,0)</f>
        <v>0</v>
      </c>
      <c r="O239" s="24">
        <f>IF(O238&gt;0,ROUND(O238+N239-M239,2),0)</f>
        <v>0</v>
      </c>
      <c r="P239" s="24">
        <f>IF(O238&gt;0,ROUND(P238+ROUND(ROUND(P238*100,0)*ROUND(M$7*10000,0)/12000000,0)/100+0.02,2),0)</f>
        <v>0</v>
      </c>
      <c r="Q239" s="24">
        <f>IF(S238&gt;0,IF(AND(ROUND(S238+R239-ROUND(Q$6+IF(Q$5=$C239,$E$5+$E239,0),2),2)&gt;0,ROUND(S238+R239-ROUND(Q$6+IF(Q$5=$C239,$E$5+$E239,0),2),2)&lt;=T239,ROUND(S238+R239-ROUND(Q$6+IF(Q$5=$C239,$E$5+$E239,0),2),2)*10&lt;=ROUND(Q$6+IF(Q$5=$C239,$E$5+$E239,0),2)),ROUND(S238+R239,2),MIN(ROUND(Q$6+IF(Q$5=$C239,$E$5+$E239,0),2),ROUND(S238+R239,2))),0)</f>
        <v>0</v>
      </c>
      <c r="R239" s="24">
        <f>IF(S238&gt;0,ROUND(ROUND(S238*100,0)*ROUND(Q$7*10000,0)/12000000,0)/100,0)</f>
        <v>0</v>
      </c>
      <c r="S239" s="24">
        <f>IF(S238&gt;0,ROUND(S238+R239-Q239,2),0)</f>
        <v>0</v>
      </c>
      <c r="T239" s="24">
        <f>IF(S238&gt;0,ROUND(T238+ROUND(ROUND(T238*100,0)*ROUND(Q$7*10000,0)/12000000,0)/100+0.02,2),0)</f>
        <v>0</v>
      </c>
      <c r="U239" s="24">
        <f>IF(W238&gt;0,IF(AND(ROUND(W238+V239-ROUND(U$6+IF(U$5=$C239,$E$5+$E239,0),2),2)&gt;0,ROUND(W238+V239-ROUND(U$6+IF(U$5=$C239,$E$5+$E239,0),2),2)&lt;=X239,ROUND(W238+V239-ROUND(U$6+IF(U$5=$C239,$E$5+$E239,0),2),2)*10&lt;=ROUND(U$6+IF(U$5=$C239,$E$5+$E239,0),2)),ROUND(W238+V239,2),MIN(ROUND(U$6+IF(U$5=$C239,$E$5+$E239,0),2),ROUND(W238+V239,2))),0)</f>
        <v>0</v>
      </c>
      <c r="V239" s="24">
        <f>IF(W238&gt;0,ROUND(ROUND(W238*100,0)*ROUND(U$7*10000,0)/12000000,0)/100,0)</f>
        <v>0</v>
      </c>
      <c r="W239" s="24">
        <f>IF(W238&gt;0,ROUND(W238+V239-U239,2),0)</f>
        <v>0</v>
      </c>
      <c r="X239" s="24">
        <f>IF(W238&gt;0,ROUND(X238+ROUND(ROUND(X238*100,0)*ROUND(U$7*10000,0)/12000000,0)/100+0.02,2),0)</f>
        <v>0</v>
      </c>
      <c r="Y239" s="24">
        <f>IF(AA238&gt;0,IF(AND(ROUND(AA238+Z239-ROUND(Y$6+IF(Y$5=$C239,$E$5+$E239,0),2),2)&gt;0,ROUND(AA238+Z239-ROUND(Y$6+IF(Y$5=$C239,$E$5+$E239,0),2),2)&lt;=AB239,ROUND(AA238+Z239-ROUND(Y$6+IF(Y$5=$C239,$E$5+$E239,0),2),2)*10&lt;=ROUND(Y$6+IF(Y$5=$C239,$E$5+$E239,0),2)),ROUND(AA238+Z239,2),MIN(ROUND(Y$6+IF(Y$5=$C239,$E$5+$E239,0),2),ROUND(AA238+Z239,2))),0)</f>
        <v>0</v>
      </c>
      <c r="Z239" s="24">
        <f>IF(AA238&gt;0,ROUND(ROUND(AA238*100,0)*ROUND(Y$7*10000,0)/12000000,0)/100,0)</f>
        <v>0</v>
      </c>
      <c r="AA239" s="24">
        <f>IF(AA238&gt;0,ROUND(AA238+Z239-Y239,2),0)</f>
        <v>0</v>
      </c>
      <c r="AB239" s="24">
        <f>IF(AA238&gt;0,ROUND(AB238+ROUND(ROUND(AB238*100,0)*ROUND(Y$7*10000,0)/12000000,0)/100+0.02,2),0)</f>
        <v>0</v>
      </c>
      <c r="AC239" s="24">
        <f>IF(AE238&gt;0,IF(AND(ROUND(AE238+AD239-ROUND(AC$6+IF(AC$5=$C239,$E$5+$E239,0),2),2)&gt;0,ROUND(AE238+AD239-ROUND(AC$6+IF(AC$5=$C239,$E$5+$E239,0),2),2)&lt;=AF239,ROUND(AE238+AD239-ROUND(AC$6+IF(AC$5=$C239,$E$5+$E239,0),2),2)*10&lt;=ROUND(AC$6+IF(AC$5=$C239,$E$5+$E239,0),2)),ROUND(AE238+AD239,2),MIN(ROUND(AC$6+IF(AC$5=$C239,$E$5+$E239,0),2),ROUND(AE238+AD239,2))),0)</f>
        <v>0</v>
      </c>
      <c r="AD239" s="24">
        <f>IF(AE238&gt;0,ROUND(ROUND(AE238*100,0)*ROUND(AC$7*10000,0)/12000000,0)/100,0)</f>
        <v>0</v>
      </c>
      <c r="AE239" s="24">
        <f>IF(AE238&gt;0,ROUND(AE238+AD239-AC239,2),0)</f>
        <v>0</v>
      </c>
      <c r="AF239" s="24">
        <f>IF(AE238&gt;0,ROUND(AF238+ROUND(ROUND(AF238*100,0)*ROUND(AC$7*10000,0)/12000000,0)/100+0.02,2),0)</f>
        <v>0</v>
      </c>
      <c r="AG239" s="24">
        <f>IF(AI238&gt;0,IF(AND(ROUND(AI238+AH239-ROUND(AG$6+IF(AG$5=$C239,$E$5+$E239,0),2),2)&gt;0,ROUND(AI238+AH239-ROUND(AG$6+IF(AG$5=$C239,$E$5+$E239,0),2),2)&lt;=AJ239,ROUND(AI238+AH239-ROUND(AG$6+IF(AG$5=$C239,$E$5+$E239,0),2),2)*10&lt;=ROUND(AG$6+IF(AG$5=$C239,$E$5+$E239,0),2)),ROUND(AI238+AH239,2),MIN(ROUND(AG$6+IF(AG$5=$C239,$E$5+$E239,0),2),ROUND(AI238+AH239,2))),0)</f>
        <v>0</v>
      </c>
      <c r="AH239" s="24">
        <f>IF(AI238&gt;0,ROUND(ROUND(AI238*100,0)*ROUND(AG$7*10000,0)/12000000,0)/100,0)</f>
        <v>0</v>
      </c>
      <c r="AI239" s="24">
        <f>IF(AI238&gt;0,ROUND(AI238+AH239-AG239,2),0)</f>
        <v>0</v>
      </c>
      <c r="AJ239" s="24">
        <f>IF(AI238&gt;0,ROUND(AJ238+ROUND(ROUND(AJ238*100,0)*ROUND(AG$7*10000,0)/12000000,0)/100+0.02,2),0)</f>
        <v>0</v>
      </c>
      <c r="AK239" s="24">
        <f>IF(AM238&gt;0,IF(AND(ROUND(AM238+AL239-ROUND(AK$6+IF(AK$5=$C239,$E$5+$E239,0),2),2)&gt;0,ROUND(AM238+AL239-ROUND(AK$6+IF(AK$5=$C239,$E$5+$E239,0),2),2)&lt;=AN239,ROUND(AM238+AL239-ROUND(AK$6+IF(AK$5=$C239,$E$5+$E239,0),2),2)*10&lt;=ROUND(AK$6+IF(AK$5=$C239,$E$5+$E239,0),2)),ROUND(AM238+AL239,2),MIN(ROUND(AK$6+IF(AK$5=$C239,$E$5+$E239,0),2),ROUND(AM238+AL239,2))),0)</f>
        <v>0</v>
      </c>
      <c r="AL239" s="24">
        <f>IF(AM238&gt;0,ROUND(ROUND(AM238*100,0)*ROUND(AK$7*10000,0)/12000000,0)/100,0)</f>
        <v>0</v>
      </c>
      <c r="AM239" s="24">
        <f>IF(AM238&gt;0,ROUND(AM238+AL239-AK239,2),0)</f>
        <v>0</v>
      </c>
      <c r="AN239" s="24">
        <f>IF(AM238&gt;0,ROUND(AN238+ROUND(ROUND(AN238*100,0)*ROUND(AK$7*10000,0)/12000000,0)/100+0.02,2),0)</f>
        <v>0</v>
      </c>
      <c r="AO239" s="24">
        <f>IF(AQ238&gt;0,IF(AND(ROUND(AQ238+AP239-ROUND(AO$6+IF(AO$5=$C239,$E$5+$E239,0),2),2)&gt;0,ROUND(AQ238+AP239-ROUND(AO$6+IF(AO$5=$C239,$E$5+$E239,0),2),2)&lt;=AR239,ROUND(AQ238+AP239-ROUND(AO$6+IF(AO$5=$C239,$E$5+$E239,0),2),2)*10&lt;=ROUND(AO$6+IF(AO$5=$C239,$E$5+$E239,0),2)),ROUND(AQ238+AP239,2),MIN(ROUND(AO$6+IF(AO$5=$C239,$E$5+$E239,0),2),ROUND(AQ238+AP239,2))),0)</f>
        <v>0</v>
      </c>
      <c r="AP239" s="24">
        <f>IF(AQ238&gt;0,ROUND(ROUND(AQ238*100,0)*ROUND(AO$7*10000,0)/12000000,0)/100,0)</f>
        <v>0</v>
      </c>
      <c r="AQ239" s="24">
        <f>IF(AQ238&gt;0,ROUND(AQ238+AP239-AO239,2),0)</f>
        <v>0</v>
      </c>
      <c r="AR239" s="24">
        <f>IF(AQ238&gt;0,ROUND(AR238+ROUND(ROUND(AR238*100,0)*ROUND(AO$7*10000,0)/12000000,0)/100+0.02,2),0)</f>
        <v>0</v>
      </c>
      <c r="AS239" s="24">
        <f>IF(AU238&gt;0,IF(AND(ROUND(AU238+AT239-ROUND(AS$6+IF(AS$5=$C239,$E$5+$E239,0),2),2)&gt;0,ROUND(AU238+AT239-ROUND(AS$6+IF(AS$5=$C239,$E$5+$E239,0),2),2)&lt;=AV239,ROUND(AU238+AT239-ROUND(AS$6+IF(AS$5=$C239,$E$5+$E239,0),2),2)*10&lt;=ROUND(AS$6+IF(AS$5=$C239,$E$5+$E239,0),2)),ROUND(AU238+AT239,2),MIN(ROUND(AS$6+IF(AS$5=$C239,$E$5+$E239,0),2),ROUND(AU238+AT239,2))),0)</f>
        <v>0</v>
      </c>
      <c r="AT239" s="24">
        <f>IF(AU238&gt;0,ROUND(ROUND(AU238*100,0)*ROUND(AS$7*10000,0)/12000000,0)/100,0)</f>
        <v>0</v>
      </c>
      <c r="AU239" s="24">
        <f>IF(AU238&gt;0,ROUND(AU238+AT239-AS239,2),0)</f>
        <v>0</v>
      </c>
      <c r="AV239" s="24">
        <f>IF(AU238&gt;0,ROUND(AV238+ROUND(ROUND(AV238*100,0)*ROUND(AS$7*10000,0)/12000000,0)/100+0.02,2),0)</f>
        <v>0</v>
      </c>
    </row>
    <row r="240" spans="1:48" x14ac:dyDescent="0.25">
      <c r="A240" s="17" t="str">
        <f>IF(F240&gt;0,230,"")</f>
        <v/>
      </c>
      <c r="B240" s="18" t="str">
        <f>IF(F240&gt;0,EDATE($E$6,230),"")</f>
        <v/>
      </c>
      <c r="C240" s="21">
        <f>IF(H239&gt;0,MIN(IF(K239&gt;0,I$5,99),IF(O239&gt;0,M$5,99),IF(S239&gt;0,Q$5,99),IF(W239&gt;0,U$5,99),IF(AA239&gt;0,Y$5,99),IF(AE239&gt;0,AC$5,99),IF(AI239&gt;0,AG$5,99),IF(AM239&gt;0,AK$5,99),IF(AQ239&gt;0,AO$5,99),IF(AU239&gt;0,AS$5,99)),0)</f>
        <v>0</v>
      </c>
      <c r="D240" t="str">
        <f>IF(C240&gt;0,INDEX($I$4:$AV$4,1,MATCH(C240,$I$5:$AV$5,0)),"")</f>
        <v/>
      </c>
      <c r="E240" s="24">
        <f>ROUND(IF(AND(I$8&gt;0,K239=0),I$6,0)+IF(AND(M$8&gt;0,O239=0),M$6,0)+IF(AND(Q$8&gt;0,S239=0),Q$6,0)+IF(AND(U$8&gt;0,W239=0),U$6,0)+IF(AND(Y$8&gt;0,AA239=0),Y$6,0)+IF(AND(AC$8&gt;0,AE239=0),AC$6,0)+IF(AND(AG$8&gt;0,AI239=0),AG$6,0)+IF(AND(AK$8&gt;0,AM239=0),AK$6,0)+IF(AND(AO$8&gt;0,AQ239=0),AO$6,0)+IF(AND(AS$8&gt;0,AU239=0),AS$6,0),2)</f>
        <v>325</v>
      </c>
      <c r="F240" s="24">
        <f>ROUND(I240+M240+Q240+U240+Y240+AC240+AG240+AK240+AO240+AS240,2)</f>
        <v>0</v>
      </c>
      <c r="G240" s="24">
        <f>ROUND(J240+N240+R240+V240+Z240+AD240+AH240+AL240+AP240+AT240,2)</f>
        <v>0</v>
      </c>
      <c r="H240" s="24">
        <f>ROUND(K240+O240+S240+W240+AA240+AE240+AI240+AM240+AQ240+AU240,2)</f>
        <v>0</v>
      </c>
      <c r="I240" s="24">
        <f>IF(K239&gt;0,IF(AND(ROUND(K239+J240-ROUND(I$6+IF(I$5=$C240,$E$5+$E240,0),2),2)&gt;0,ROUND(K239+J240-ROUND(I$6+IF(I$5=$C240,$E$5+$E240,0),2),2)&lt;=L240,ROUND(K239+J240-ROUND(I$6+IF(I$5=$C240,$E$5+$E240,0),2),2)*10&lt;=ROUND(I$6+IF(I$5=$C240,$E$5+$E240,0),2)),ROUND(K239+J240,2),MIN(ROUND(I$6+IF(I$5=$C240,$E$5+$E240,0),2),ROUND(K239+J240,2))),0)</f>
        <v>0</v>
      </c>
      <c r="J240" s="24">
        <f>IF(K239&gt;0,ROUND(ROUND(K239*100,0)*ROUND(I$7*10000,0)/12000000,0)/100,0)</f>
        <v>0</v>
      </c>
      <c r="K240" s="24">
        <f>IF(K239&gt;0,ROUND(K239+J240-I240,2),0)</f>
        <v>0</v>
      </c>
      <c r="L240" s="24">
        <f>IF(K239&gt;0,ROUND(L239+ROUND(ROUND(L239*100,0)*ROUND(I$7*10000,0)/12000000,0)/100+0.02,2),0)</f>
        <v>0</v>
      </c>
      <c r="M240" s="24">
        <f>IF(O239&gt;0,IF(AND(ROUND(O239+N240-ROUND(M$6+IF(M$5=$C240,$E$5+$E240,0),2),2)&gt;0,ROUND(O239+N240-ROUND(M$6+IF(M$5=$C240,$E$5+$E240,0),2),2)&lt;=P240,ROUND(O239+N240-ROUND(M$6+IF(M$5=$C240,$E$5+$E240,0),2),2)*10&lt;=ROUND(M$6+IF(M$5=$C240,$E$5+$E240,0),2)),ROUND(O239+N240,2),MIN(ROUND(M$6+IF(M$5=$C240,$E$5+$E240,0),2),ROUND(O239+N240,2))),0)</f>
        <v>0</v>
      </c>
      <c r="N240" s="24">
        <f>IF(O239&gt;0,ROUND(ROUND(O239*100,0)*ROUND(M$7*10000,0)/12000000,0)/100,0)</f>
        <v>0</v>
      </c>
      <c r="O240" s="24">
        <f>IF(O239&gt;0,ROUND(O239+N240-M240,2),0)</f>
        <v>0</v>
      </c>
      <c r="P240" s="24">
        <f>IF(O239&gt;0,ROUND(P239+ROUND(ROUND(P239*100,0)*ROUND(M$7*10000,0)/12000000,0)/100+0.02,2),0)</f>
        <v>0</v>
      </c>
      <c r="Q240" s="24">
        <f>IF(S239&gt;0,IF(AND(ROUND(S239+R240-ROUND(Q$6+IF(Q$5=$C240,$E$5+$E240,0),2),2)&gt;0,ROUND(S239+R240-ROUND(Q$6+IF(Q$5=$C240,$E$5+$E240,0),2),2)&lt;=T240,ROUND(S239+R240-ROUND(Q$6+IF(Q$5=$C240,$E$5+$E240,0),2),2)*10&lt;=ROUND(Q$6+IF(Q$5=$C240,$E$5+$E240,0),2)),ROUND(S239+R240,2),MIN(ROUND(Q$6+IF(Q$5=$C240,$E$5+$E240,0),2),ROUND(S239+R240,2))),0)</f>
        <v>0</v>
      </c>
      <c r="R240" s="24">
        <f>IF(S239&gt;0,ROUND(ROUND(S239*100,0)*ROUND(Q$7*10000,0)/12000000,0)/100,0)</f>
        <v>0</v>
      </c>
      <c r="S240" s="24">
        <f>IF(S239&gt;0,ROUND(S239+R240-Q240,2),0)</f>
        <v>0</v>
      </c>
      <c r="T240" s="24">
        <f>IF(S239&gt;0,ROUND(T239+ROUND(ROUND(T239*100,0)*ROUND(Q$7*10000,0)/12000000,0)/100+0.02,2),0)</f>
        <v>0</v>
      </c>
      <c r="U240" s="24">
        <f>IF(W239&gt;0,IF(AND(ROUND(W239+V240-ROUND(U$6+IF(U$5=$C240,$E$5+$E240,0),2),2)&gt;0,ROUND(W239+V240-ROUND(U$6+IF(U$5=$C240,$E$5+$E240,0),2),2)&lt;=X240,ROUND(W239+V240-ROUND(U$6+IF(U$5=$C240,$E$5+$E240,0),2),2)*10&lt;=ROUND(U$6+IF(U$5=$C240,$E$5+$E240,0),2)),ROUND(W239+V240,2),MIN(ROUND(U$6+IF(U$5=$C240,$E$5+$E240,0),2),ROUND(W239+V240,2))),0)</f>
        <v>0</v>
      </c>
      <c r="V240" s="24">
        <f>IF(W239&gt;0,ROUND(ROUND(W239*100,0)*ROUND(U$7*10000,0)/12000000,0)/100,0)</f>
        <v>0</v>
      </c>
      <c r="W240" s="24">
        <f>IF(W239&gt;0,ROUND(W239+V240-U240,2),0)</f>
        <v>0</v>
      </c>
      <c r="X240" s="24">
        <f>IF(W239&gt;0,ROUND(X239+ROUND(ROUND(X239*100,0)*ROUND(U$7*10000,0)/12000000,0)/100+0.02,2),0)</f>
        <v>0</v>
      </c>
      <c r="Y240" s="24">
        <f>IF(AA239&gt;0,IF(AND(ROUND(AA239+Z240-ROUND(Y$6+IF(Y$5=$C240,$E$5+$E240,0),2),2)&gt;0,ROUND(AA239+Z240-ROUND(Y$6+IF(Y$5=$C240,$E$5+$E240,0),2),2)&lt;=AB240,ROUND(AA239+Z240-ROUND(Y$6+IF(Y$5=$C240,$E$5+$E240,0),2),2)*10&lt;=ROUND(Y$6+IF(Y$5=$C240,$E$5+$E240,0),2)),ROUND(AA239+Z240,2),MIN(ROUND(Y$6+IF(Y$5=$C240,$E$5+$E240,0),2),ROUND(AA239+Z240,2))),0)</f>
        <v>0</v>
      </c>
      <c r="Z240" s="24">
        <f>IF(AA239&gt;0,ROUND(ROUND(AA239*100,0)*ROUND(Y$7*10000,0)/12000000,0)/100,0)</f>
        <v>0</v>
      </c>
      <c r="AA240" s="24">
        <f>IF(AA239&gt;0,ROUND(AA239+Z240-Y240,2),0)</f>
        <v>0</v>
      </c>
      <c r="AB240" s="24">
        <f>IF(AA239&gt;0,ROUND(AB239+ROUND(ROUND(AB239*100,0)*ROUND(Y$7*10000,0)/12000000,0)/100+0.02,2),0)</f>
        <v>0</v>
      </c>
      <c r="AC240" s="24">
        <f>IF(AE239&gt;0,IF(AND(ROUND(AE239+AD240-ROUND(AC$6+IF(AC$5=$C240,$E$5+$E240,0),2),2)&gt;0,ROUND(AE239+AD240-ROUND(AC$6+IF(AC$5=$C240,$E$5+$E240,0),2),2)&lt;=AF240,ROUND(AE239+AD240-ROUND(AC$6+IF(AC$5=$C240,$E$5+$E240,0),2),2)*10&lt;=ROUND(AC$6+IF(AC$5=$C240,$E$5+$E240,0),2)),ROUND(AE239+AD240,2),MIN(ROUND(AC$6+IF(AC$5=$C240,$E$5+$E240,0),2),ROUND(AE239+AD240,2))),0)</f>
        <v>0</v>
      </c>
      <c r="AD240" s="24">
        <f>IF(AE239&gt;0,ROUND(ROUND(AE239*100,0)*ROUND(AC$7*10000,0)/12000000,0)/100,0)</f>
        <v>0</v>
      </c>
      <c r="AE240" s="24">
        <f>IF(AE239&gt;0,ROUND(AE239+AD240-AC240,2),0)</f>
        <v>0</v>
      </c>
      <c r="AF240" s="24">
        <f>IF(AE239&gt;0,ROUND(AF239+ROUND(ROUND(AF239*100,0)*ROUND(AC$7*10000,0)/12000000,0)/100+0.02,2),0)</f>
        <v>0</v>
      </c>
      <c r="AG240" s="24">
        <f>IF(AI239&gt;0,IF(AND(ROUND(AI239+AH240-ROUND(AG$6+IF(AG$5=$C240,$E$5+$E240,0),2),2)&gt;0,ROUND(AI239+AH240-ROUND(AG$6+IF(AG$5=$C240,$E$5+$E240,0),2),2)&lt;=AJ240,ROUND(AI239+AH240-ROUND(AG$6+IF(AG$5=$C240,$E$5+$E240,0),2),2)*10&lt;=ROUND(AG$6+IF(AG$5=$C240,$E$5+$E240,0),2)),ROUND(AI239+AH240,2),MIN(ROUND(AG$6+IF(AG$5=$C240,$E$5+$E240,0),2),ROUND(AI239+AH240,2))),0)</f>
        <v>0</v>
      </c>
      <c r="AH240" s="24">
        <f>IF(AI239&gt;0,ROUND(ROUND(AI239*100,0)*ROUND(AG$7*10000,0)/12000000,0)/100,0)</f>
        <v>0</v>
      </c>
      <c r="AI240" s="24">
        <f>IF(AI239&gt;0,ROUND(AI239+AH240-AG240,2),0)</f>
        <v>0</v>
      </c>
      <c r="AJ240" s="24">
        <f>IF(AI239&gt;0,ROUND(AJ239+ROUND(ROUND(AJ239*100,0)*ROUND(AG$7*10000,0)/12000000,0)/100+0.02,2),0)</f>
        <v>0</v>
      </c>
      <c r="AK240" s="24">
        <f>IF(AM239&gt;0,IF(AND(ROUND(AM239+AL240-ROUND(AK$6+IF(AK$5=$C240,$E$5+$E240,0),2),2)&gt;0,ROUND(AM239+AL240-ROUND(AK$6+IF(AK$5=$C240,$E$5+$E240,0),2),2)&lt;=AN240,ROUND(AM239+AL240-ROUND(AK$6+IF(AK$5=$C240,$E$5+$E240,0),2),2)*10&lt;=ROUND(AK$6+IF(AK$5=$C240,$E$5+$E240,0),2)),ROUND(AM239+AL240,2),MIN(ROUND(AK$6+IF(AK$5=$C240,$E$5+$E240,0),2),ROUND(AM239+AL240,2))),0)</f>
        <v>0</v>
      </c>
      <c r="AL240" s="24">
        <f>IF(AM239&gt;0,ROUND(ROUND(AM239*100,0)*ROUND(AK$7*10000,0)/12000000,0)/100,0)</f>
        <v>0</v>
      </c>
      <c r="AM240" s="24">
        <f>IF(AM239&gt;0,ROUND(AM239+AL240-AK240,2),0)</f>
        <v>0</v>
      </c>
      <c r="AN240" s="24">
        <f>IF(AM239&gt;0,ROUND(AN239+ROUND(ROUND(AN239*100,0)*ROUND(AK$7*10000,0)/12000000,0)/100+0.02,2),0)</f>
        <v>0</v>
      </c>
      <c r="AO240" s="24">
        <f>IF(AQ239&gt;0,IF(AND(ROUND(AQ239+AP240-ROUND(AO$6+IF(AO$5=$C240,$E$5+$E240,0),2),2)&gt;0,ROUND(AQ239+AP240-ROUND(AO$6+IF(AO$5=$C240,$E$5+$E240,0),2),2)&lt;=AR240,ROUND(AQ239+AP240-ROUND(AO$6+IF(AO$5=$C240,$E$5+$E240,0),2),2)*10&lt;=ROUND(AO$6+IF(AO$5=$C240,$E$5+$E240,0),2)),ROUND(AQ239+AP240,2),MIN(ROUND(AO$6+IF(AO$5=$C240,$E$5+$E240,0),2),ROUND(AQ239+AP240,2))),0)</f>
        <v>0</v>
      </c>
      <c r="AP240" s="24">
        <f>IF(AQ239&gt;0,ROUND(ROUND(AQ239*100,0)*ROUND(AO$7*10000,0)/12000000,0)/100,0)</f>
        <v>0</v>
      </c>
      <c r="AQ240" s="24">
        <f>IF(AQ239&gt;0,ROUND(AQ239+AP240-AO240,2),0)</f>
        <v>0</v>
      </c>
      <c r="AR240" s="24">
        <f>IF(AQ239&gt;0,ROUND(AR239+ROUND(ROUND(AR239*100,0)*ROUND(AO$7*10000,0)/12000000,0)/100+0.02,2),0)</f>
        <v>0</v>
      </c>
      <c r="AS240" s="24">
        <f>IF(AU239&gt;0,IF(AND(ROUND(AU239+AT240-ROUND(AS$6+IF(AS$5=$C240,$E$5+$E240,0),2),2)&gt;0,ROUND(AU239+AT240-ROUND(AS$6+IF(AS$5=$C240,$E$5+$E240,0),2),2)&lt;=AV240,ROUND(AU239+AT240-ROUND(AS$6+IF(AS$5=$C240,$E$5+$E240,0),2),2)*10&lt;=ROUND(AS$6+IF(AS$5=$C240,$E$5+$E240,0),2)),ROUND(AU239+AT240,2),MIN(ROUND(AS$6+IF(AS$5=$C240,$E$5+$E240,0),2),ROUND(AU239+AT240,2))),0)</f>
        <v>0</v>
      </c>
      <c r="AT240" s="24">
        <f>IF(AU239&gt;0,ROUND(ROUND(AU239*100,0)*ROUND(AS$7*10000,0)/12000000,0)/100,0)</f>
        <v>0</v>
      </c>
      <c r="AU240" s="24">
        <f>IF(AU239&gt;0,ROUND(AU239+AT240-AS240,2),0)</f>
        <v>0</v>
      </c>
      <c r="AV240" s="24">
        <f>IF(AU239&gt;0,ROUND(AV239+ROUND(ROUND(AV239*100,0)*ROUND(AS$7*10000,0)/12000000,0)/100+0.02,2),0)</f>
        <v>0</v>
      </c>
    </row>
    <row r="241" spans="1:48" x14ac:dyDescent="0.25">
      <c r="A241" s="17" t="str">
        <f>IF(F241&gt;0,231,"")</f>
        <v/>
      </c>
      <c r="B241" s="18" t="str">
        <f>IF(F241&gt;0,EDATE($E$6,231),"")</f>
        <v/>
      </c>
      <c r="C241" s="21">
        <f>IF(H240&gt;0,MIN(IF(K240&gt;0,I$5,99),IF(O240&gt;0,M$5,99),IF(S240&gt;0,Q$5,99),IF(W240&gt;0,U$5,99),IF(AA240&gt;0,Y$5,99),IF(AE240&gt;0,AC$5,99),IF(AI240&gt;0,AG$5,99),IF(AM240&gt;0,AK$5,99),IF(AQ240&gt;0,AO$5,99),IF(AU240&gt;0,AS$5,99)),0)</f>
        <v>0</v>
      </c>
      <c r="D241" t="str">
        <f>IF(C241&gt;0,INDEX($I$4:$AV$4,1,MATCH(C241,$I$5:$AV$5,0)),"")</f>
        <v/>
      </c>
      <c r="E241" s="24">
        <f>ROUND(IF(AND(I$8&gt;0,K240=0),I$6,0)+IF(AND(M$8&gt;0,O240=0),M$6,0)+IF(AND(Q$8&gt;0,S240=0),Q$6,0)+IF(AND(U$8&gt;0,W240=0),U$6,0)+IF(AND(Y$8&gt;0,AA240=0),Y$6,0)+IF(AND(AC$8&gt;0,AE240=0),AC$6,0)+IF(AND(AG$8&gt;0,AI240=0),AG$6,0)+IF(AND(AK$8&gt;0,AM240=0),AK$6,0)+IF(AND(AO$8&gt;0,AQ240=0),AO$6,0)+IF(AND(AS$8&gt;0,AU240=0),AS$6,0),2)</f>
        <v>325</v>
      </c>
      <c r="F241" s="24">
        <f>ROUND(I241+M241+Q241+U241+Y241+AC241+AG241+AK241+AO241+AS241,2)</f>
        <v>0</v>
      </c>
      <c r="G241" s="24">
        <f>ROUND(J241+N241+R241+V241+Z241+AD241+AH241+AL241+AP241+AT241,2)</f>
        <v>0</v>
      </c>
      <c r="H241" s="24">
        <f>ROUND(K241+O241+S241+W241+AA241+AE241+AI241+AM241+AQ241+AU241,2)</f>
        <v>0</v>
      </c>
      <c r="I241" s="24">
        <f>IF(K240&gt;0,IF(AND(ROUND(K240+J241-ROUND(I$6+IF(I$5=$C241,$E$5+$E241,0),2),2)&gt;0,ROUND(K240+J241-ROUND(I$6+IF(I$5=$C241,$E$5+$E241,0),2),2)&lt;=L241,ROUND(K240+J241-ROUND(I$6+IF(I$5=$C241,$E$5+$E241,0),2),2)*10&lt;=ROUND(I$6+IF(I$5=$C241,$E$5+$E241,0),2)),ROUND(K240+J241,2),MIN(ROUND(I$6+IF(I$5=$C241,$E$5+$E241,0),2),ROUND(K240+J241,2))),0)</f>
        <v>0</v>
      </c>
      <c r="J241" s="24">
        <f>IF(K240&gt;0,ROUND(ROUND(K240*100,0)*ROUND(I$7*10000,0)/12000000,0)/100,0)</f>
        <v>0</v>
      </c>
      <c r="K241" s="24">
        <f>IF(K240&gt;0,ROUND(K240+J241-I241,2),0)</f>
        <v>0</v>
      </c>
      <c r="L241" s="24">
        <f>IF(K240&gt;0,ROUND(L240+ROUND(ROUND(L240*100,0)*ROUND(I$7*10000,0)/12000000,0)/100+0.02,2),0)</f>
        <v>0</v>
      </c>
      <c r="M241" s="24">
        <f>IF(O240&gt;0,IF(AND(ROUND(O240+N241-ROUND(M$6+IF(M$5=$C241,$E$5+$E241,0),2),2)&gt;0,ROUND(O240+N241-ROUND(M$6+IF(M$5=$C241,$E$5+$E241,0),2),2)&lt;=P241,ROUND(O240+N241-ROUND(M$6+IF(M$5=$C241,$E$5+$E241,0),2),2)*10&lt;=ROUND(M$6+IF(M$5=$C241,$E$5+$E241,0),2)),ROUND(O240+N241,2),MIN(ROUND(M$6+IF(M$5=$C241,$E$5+$E241,0),2),ROUND(O240+N241,2))),0)</f>
        <v>0</v>
      </c>
      <c r="N241" s="24">
        <f>IF(O240&gt;0,ROUND(ROUND(O240*100,0)*ROUND(M$7*10000,0)/12000000,0)/100,0)</f>
        <v>0</v>
      </c>
      <c r="O241" s="24">
        <f>IF(O240&gt;0,ROUND(O240+N241-M241,2),0)</f>
        <v>0</v>
      </c>
      <c r="P241" s="24">
        <f>IF(O240&gt;0,ROUND(P240+ROUND(ROUND(P240*100,0)*ROUND(M$7*10000,0)/12000000,0)/100+0.02,2),0)</f>
        <v>0</v>
      </c>
      <c r="Q241" s="24">
        <f>IF(S240&gt;0,IF(AND(ROUND(S240+R241-ROUND(Q$6+IF(Q$5=$C241,$E$5+$E241,0),2),2)&gt;0,ROUND(S240+R241-ROUND(Q$6+IF(Q$5=$C241,$E$5+$E241,0),2),2)&lt;=T241,ROUND(S240+R241-ROUND(Q$6+IF(Q$5=$C241,$E$5+$E241,0),2),2)*10&lt;=ROUND(Q$6+IF(Q$5=$C241,$E$5+$E241,0),2)),ROUND(S240+R241,2),MIN(ROUND(Q$6+IF(Q$5=$C241,$E$5+$E241,0),2),ROUND(S240+R241,2))),0)</f>
        <v>0</v>
      </c>
      <c r="R241" s="24">
        <f>IF(S240&gt;0,ROUND(ROUND(S240*100,0)*ROUND(Q$7*10000,0)/12000000,0)/100,0)</f>
        <v>0</v>
      </c>
      <c r="S241" s="24">
        <f>IF(S240&gt;0,ROUND(S240+R241-Q241,2),0)</f>
        <v>0</v>
      </c>
      <c r="T241" s="24">
        <f>IF(S240&gt;0,ROUND(T240+ROUND(ROUND(T240*100,0)*ROUND(Q$7*10000,0)/12000000,0)/100+0.02,2),0)</f>
        <v>0</v>
      </c>
      <c r="U241" s="24">
        <f>IF(W240&gt;0,IF(AND(ROUND(W240+V241-ROUND(U$6+IF(U$5=$C241,$E$5+$E241,0),2),2)&gt;0,ROUND(W240+V241-ROUND(U$6+IF(U$5=$C241,$E$5+$E241,0),2),2)&lt;=X241,ROUND(W240+V241-ROUND(U$6+IF(U$5=$C241,$E$5+$E241,0),2),2)*10&lt;=ROUND(U$6+IF(U$5=$C241,$E$5+$E241,0),2)),ROUND(W240+V241,2),MIN(ROUND(U$6+IF(U$5=$C241,$E$5+$E241,0),2),ROUND(W240+V241,2))),0)</f>
        <v>0</v>
      </c>
      <c r="V241" s="24">
        <f>IF(W240&gt;0,ROUND(ROUND(W240*100,0)*ROUND(U$7*10000,0)/12000000,0)/100,0)</f>
        <v>0</v>
      </c>
      <c r="W241" s="24">
        <f>IF(W240&gt;0,ROUND(W240+V241-U241,2),0)</f>
        <v>0</v>
      </c>
      <c r="X241" s="24">
        <f>IF(W240&gt;0,ROUND(X240+ROUND(ROUND(X240*100,0)*ROUND(U$7*10000,0)/12000000,0)/100+0.02,2),0)</f>
        <v>0</v>
      </c>
      <c r="Y241" s="24">
        <f>IF(AA240&gt;0,IF(AND(ROUND(AA240+Z241-ROUND(Y$6+IF(Y$5=$C241,$E$5+$E241,0),2),2)&gt;0,ROUND(AA240+Z241-ROUND(Y$6+IF(Y$5=$C241,$E$5+$E241,0),2),2)&lt;=AB241,ROUND(AA240+Z241-ROUND(Y$6+IF(Y$5=$C241,$E$5+$E241,0),2),2)*10&lt;=ROUND(Y$6+IF(Y$5=$C241,$E$5+$E241,0),2)),ROUND(AA240+Z241,2),MIN(ROUND(Y$6+IF(Y$5=$C241,$E$5+$E241,0),2),ROUND(AA240+Z241,2))),0)</f>
        <v>0</v>
      </c>
      <c r="Z241" s="24">
        <f>IF(AA240&gt;0,ROUND(ROUND(AA240*100,0)*ROUND(Y$7*10000,0)/12000000,0)/100,0)</f>
        <v>0</v>
      </c>
      <c r="AA241" s="24">
        <f>IF(AA240&gt;0,ROUND(AA240+Z241-Y241,2),0)</f>
        <v>0</v>
      </c>
      <c r="AB241" s="24">
        <f>IF(AA240&gt;0,ROUND(AB240+ROUND(ROUND(AB240*100,0)*ROUND(Y$7*10000,0)/12000000,0)/100+0.02,2),0)</f>
        <v>0</v>
      </c>
      <c r="AC241" s="24">
        <f>IF(AE240&gt;0,IF(AND(ROUND(AE240+AD241-ROUND(AC$6+IF(AC$5=$C241,$E$5+$E241,0),2),2)&gt;0,ROUND(AE240+AD241-ROUND(AC$6+IF(AC$5=$C241,$E$5+$E241,0),2),2)&lt;=AF241,ROUND(AE240+AD241-ROUND(AC$6+IF(AC$5=$C241,$E$5+$E241,0),2),2)*10&lt;=ROUND(AC$6+IF(AC$5=$C241,$E$5+$E241,0),2)),ROUND(AE240+AD241,2),MIN(ROUND(AC$6+IF(AC$5=$C241,$E$5+$E241,0),2),ROUND(AE240+AD241,2))),0)</f>
        <v>0</v>
      </c>
      <c r="AD241" s="24">
        <f>IF(AE240&gt;0,ROUND(ROUND(AE240*100,0)*ROUND(AC$7*10000,0)/12000000,0)/100,0)</f>
        <v>0</v>
      </c>
      <c r="AE241" s="24">
        <f>IF(AE240&gt;0,ROUND(AE240+AD241-AC241,2),0)</f>
        <v>0</v>
      </c>
      <c r="AF241" s="24">
        <f>IF(AE240&gt;0,ROUND(AF240+ROUND(ROUND(AF240*100,0)*ROUND(AC$7*10000,0)/12000000,0)/100+0.02,2),0)</f>
        <v>0</v>
      </c>
      <c r="AG241" s="24">
        <f>IF(AI240&gt;0,IF(AND(ROUND(AI240+AH241-ROUND(AG$6+IF(AG$5=$C241,$E$5+$E241,0),2),2)&gt;0,ROUND(AI240+AH241-ROUND(AG$6+IF(AG$5=$C241,$E$5+$E241,0),2),2)&lt;=AJ241,ROUND(AI240+AH241-ROUND(AG$6+IF(AG$5=$C241,$E$5+$E241,0),2),2)*10&lt;=ROUND(AG$6+IF(AG$5=$C241,$E$5+$E241,0),2)),ROUND(AI240+AH241,2),MIN(ROUND(AG$6+IF(AG$5=$C241,$E$5+$E241,0),2),ROUND(AI240+AH241,2))),0)</f>
        <v>0</v>
      </c>
      <c r="AH241" s="24">
        <f>IF(AI240&gt;0,ROUND(ROUND(AI240*100,0)*ROUND(AG$7*10000,0)/12000000,0)/100,0)</f>
        <v>0</v>
      </c>
      <c r="AI241" s="24">
        <f>IF(AI240&gt;0,ROUND(AI240+AH241-AG241,2),0)</f>
        <v>0</v>
      </c>
      <c r="AJ241" s="24">
        <f>IF(AI240&gt;0,ROUND(AJ240+ROUND(ROUND(AJ240*100,0)*ROUND(AG$7*10000,0)/12000000,0)/100+0.02,2),0)</f>
        <v>0</v>
      </c>
      <c r="AK241" s="24">
        <f>IF(AM240&gt;0,IF(AND(ROUND(AM240+AL241-ROUND(AK$6+IF(AK$5=$C241,$E$5+$E241,0),2),2)&gt;0,ROUND(AM240+AL241-ROUND(AK$6+IF(AK$5=$C241,$E$5+$E241,0),2),2)&lt;=AN241,ROUND(AM240+AL241-ROUND(AK$6+IF(AK$5=$C241,$E$5+$E241,0),2),2)*10&lt;=ROUND(AK$6+IF(AK$5=$C241,$E$5+$E241,0),2)),ROUND(AM240+AL241,2),MIN(ROUND(AK$6+IF(AK$5=$C241,$E$5+$E241,0),2),ROUND(AM240+AL241,2))),0)</f>
        <v>0</v>
      </c>
      <c r="AL241" s="24">
        <f>IF(AM240&gt;0,ROUND(ROUND(AM240*100,0)*ROUND(AK$7*10000,0)/12000000,0)/100,0)</f>
        <v>0</v>
      </c>
      <c r="AM241" s="24">
        <f>IF(AM240&gt;0,ROUND(AM240+AL241-AK241,2),0)</f>
        <v>0</v>
      </c>
      <c r="AN241" s="24">
        <f>IF(AM240&gt;0,ROUND(AN240+ROUND(ROUND(AN240*100,0)*ROUND(AK$7*10000,0)/12000000,0)/100+0.02,2),0)</f>
        <v>0</v>
      </c>
      <c r="AO241" s="24">
        <f>IF(AQ240&gt;0,IF(AND(ROUND(AQ240+AP241-ROUND(AO$6+IF(AO$5=$C241,$E$5+$E241,0),2),2)&gt;0,ROUND(AQ240+AP241-ROUND(AO$6+IF(AO$5=$C241,$E$5+$E241,0),2),2)&lt;=AR241,ROUND(AQ240+AP241-ROUND(AO$6+IF(AO$5=$C241,$E$5+$E241,0),2),2)*10&lt;=ROUND(AO$6+IF(AO$5=$C241,$E$5+$E241,0),2)),ROUND(AQ240+AP241,2),MIN(ROUND(AO$6+IF(AO$5=$C241,$E$5+$E241,0),2),ROUND(AQ240+AP241,2))),0)</f>
        <v>0</v>
      </c>
      <c r="AP241" s="24">
        <f>IF(AQ240&gt;0,ROUND(ROUND(AQ240*100,0)*ROUND(AO$7*10000,0)/12000000,0)/100,0)</f>
        <v>0</v>
      </c>
      <c r="AQ241" s="24">
        <f>IF(AQ240&gt;0,ROUND(AQ240+AP241-AO241,2),0)</f>
        <v>0</v>
      </c>
      <c r="AR241" s="24">
        <f>IF(AQ240&gt;0,ROUND(AR240+ROUND(ROUND(AR240*100,0)*ROUND(AO$7*10000,0)/12000000,0)/100+0.02,2),0)</f>
        <v>0</v>
      </c>
      <c r="AS241" s="24">
        <f>IF(AU240&gt;0,IF(AND(ROUND(AU240+AT241-ROUND(AS$6+IF(AS$5=$C241,$E$5+$E241,0),2),2)&gt;0,ROUND(AU240+AT241-ROUND(AS$6+IF(AS$5=$C241,$E$5+$E241,0),2),2)&lt;=AV241,ROUND(AU240+AT241-ROUND(AS$6+IF(AS$5=$C241,$E$5+$E241,0),2),2)*10&lt;=ROUND(AS$6+IF(AS$5=$C241,$E$5+$E241,0),2)),ROUND(AU240+AT241,2),MIN(ROUND(AS$6+IF(AS$5=$C241,$E$5+$E241,0),2),ROUND(AU240+AT241,2))),0)</f>
        <v>0</v>
      </c>
      <c r="AT241" s="24">
        <f>IF(AU240&gt;0,ROUND(ROUND(AU240*100,0)*ROUND(AS$7*10000,0)/12000000,0)/100,0)</f>
        <v>0</v>
      </c>
      <c r="AU241" s="24">
        <f>IF(AU240&gt;0,ROUND(AU240+AT241-AS241,2),0)</f>
        <v>0</v>
      </c>
      <c r="AV241" s="24">
        <f>IF(AU240&gt;0,ROUND(AV240+ROUND(ROUND(AV240*100,0)*ROUND(AS$7*10000,0)/12000000,0)/100+0.02,2),0)</f>
        <v>0</v>
      </c>
    </row>
    <row r="242" spans="1:48" x14ac:dyDescent="0.25">
      <c r="A242" s="17" t="str">
        <f>IF(F242&gt;0,232,"")</f>
        <v/>
      </c>
      <c r="B242" s="18" t="str">
        <f>IF(F242&gt;0,EDATE($E$6,232),"")</f>
        <v/>
      </c>
      <c r="C242" s="21">
        <f>IF(H241&gt;0,MIN(IF(K241&gt;0,I$5,99),IF(O241&gt;0,M$5,99),IF(S241&gt;0,Q$5,99),IF(W241&gt;0,U$5,99),IF(AA241&gt;0,Y$5,99),IF(AE241&gt;0,AC$5,99),IF(AI241&gt;0,AG$5,99),IF(AM241&gt;0,AK$5,99),IF(AQ241&gt;0,AO$5,99),IF(AU241&gt;0,AS$5,99)),0)</f>
        <v>0</v>
      </c>
      <c r="D242" t="str">
        <f>IF(C242&gt;0,INDEX($I$4:$AV$4,1,MATCH(C242,$I$5:$AV$5,0)),"")</f>
        <v/>
      </c>
      <c r="E242" s="24">
        <f>ROUND(IF(AND(I$8&gt;0,K241=0),I$6,0)+IF(AND(M$8&gt;0,O241=0),M$6,0)+IF(AND(Q$8&gt;0,S241=0),Q$6,0)+IF(AND(U$8&gt;0,W241=0),U$6,0)+IF(AND(Y$8&gt;0,AA241=0),Y$6,0)+IF(AND(AC$8&gt;0,AE241=0),AC$6,0)+IF(AND(AG$8&gt;0,AI241=0),AG$6,0)+IF(AND(AK$8&gt;0,AM241=0),AK$6,0)+IF(AND(AO$8&gt;0,AQ241=0),AO$6,0)+IF(AND(AS$8&gt;0,AU241=0),AS$6,0),2)</f>
        <v>325</v>
      </c>
      <c r="F242" s="24">
        <f>ROUND(I242+M242+Q242+U242+Y242+AC242+AG242+AK242+AO242+AS242,2)</f>
        <v>0</v>
      </c>
      <c r="G242" s="24">
        <f>ROUND(J242+N242+R242+V242+Z242+AD242+AH242+AL242+AP242+AT242,2)</f>
        <v>0</v>
      </c>
      <c r="H242" s="24">
        <f>ROUND(K242+O242+S242+W242+AA242+AE242+AI242+AM242+AQ242+AU242,2)</f>
        <v>0</v>
      </c>
      <c r="I242" s="24">
        <f>IF(K241&gt;0,IF(AND(ROUND(K241+J242-ROUND(I$6+IF(I$5=$C242,$E$5+$E242,0),2),2)&gt;0,ROUND(K241+J242-ROUND(I$6+IF(I$5=$C242,$E$5+$E242,0),2),2)&lt;=L242,ROUND(K241+J242-ROUND(I$6+IF(I$5=$C242,$E$5+$E242,0),2),2)*10&lt;=ROUND(I$6+IF(I$5=$C242,$E$5+$E242,0),2)),ROUND(K241+J242,2),MIN(ROUND(I$6+IF(I$5=$C242,$E$5+$E242,0),2),ROUND(K241+J242,2))),0)</f>
        <v>0</v>
      </c>
      <c r="J242" s="24">
        <f>IF(K241&gt;0,ROUND(ROUND(K241*100,0)*ROUND(I$7*10000,0)/12000000,0)/100,0)</f>
        <v>0</v>
      </c>
      <c r="K242" s="24">
        <f>IF(K241&gt;0,ROUND(K241+J242-I242,2),0)</f>
        <v>0</v>
      </c>
      <c r="L242" s="24">
        <f>IF(K241&gt;0,ROUND(L241+ROUND(ROUND(L241*100,0)*ROUND(I$7*10000,0)/12000000,0)/100+0.02,2),0)</f>
        <v>0</v>
      </c>
      <c r="M242" s="24">
        <f>IF(O241&gt;0,IF(AND(ROUND(O241+N242-ROUND(M$6+IF(M$5=$C242,$E$5+$E242,0),2),2)&gt;0,ROUND(O241+N242-ROUND(M$6+IF(M$5=$C242,$E$5+$E242,0),2),2)&lt;=P242,ROUND(O241+N242-ROUND(M$6+IF(M$5=$C242,$E$5+$E242,0),2),2)*10&lt;=ROUND(M$6+IF(M$5=$C242,$E$5+$E242,0),2)),ROUND(O241+N242,2),MIN(ROUND(M$6+IF(M$5=$C242,$E$5+$E242,0),2),ROUND(O241+N242,2))),0)</f>
        <v>0</v>
      </c>
      <c r="N242" s="24">
        <f>IF(O241&gt;0,ROUND(ROUND(O241*100,0)*ROUND(M$7*10000,0)/12000000,0)/100,0)</f>
        <v>0</v>
      </c>
      <c r="O242" s="24">
        <f>IF(O241&gt;0,ROUND(O241+N242-M242,2),0)</f>
        <v>0</v>
      </c>
      <c r="P242" s="24">
        <f>IF(O241&gt;0,ROUND(P241+ROUND(ROUND(P241*100,0)*ROUND(M$7*10000,0)/12000000,0)/100+0.02,2),0)</f>
        <v>0</v>
      </c>
      <c r="Q242" s="24">
        <f>IF(S241&gt;0,IF(AND(ROUND(S241+R242-ROUND(Q$6+IF(Q$5=$C242,$E$5+$E242,0),2),2)&gt;0,ROUND(S241+R242-ROUND(Q$6+IF(Q$5=$C242,$E$5+$E242,0),2),2)&lt;=T242,ROUND(S241+R242-ROUND(Q$6+IF(Q$5=$C242,$E$5+$E242,0),2),2)*10&lt;=ROUND(Q$6+IF(Q$5=$C242,$E$5+$E242,0),2)),ROUND(S241+R242,2),MIN(ROUND(Q$6+IF(Q$5=$C242,$E$5+$E242,0),2),ROUND(S241+R242,2))),0)</f>
        <v>0</v>
      </c>
      <c r="R242" s="24">
        <f>IF(S241&gt;0,ROUND(ROUND(S241*100,0)*ROUND(Q$7*10000,0)/12000000,0)/100,0)</f>
        <v>0</v>
      </c>
      <c r="S242" s="24">
        <f>IF(S241&gt;0,ROUND(S241+R242-Q242,2),0)</f>
        <v>0</v>
      </c>
      <c r="T242" s="24">
        <f>IF(S241&gt;0,ROUND(T241+ROUND(ROUND(T241*100,0)*ROUND(Q$7*10000,0)/12000000,0)/100+0.02,2),0)</f>
        <v>0</v>
      </c>
      <c r="U242" s="24">
        <f>IF(W241&gt;0,IF(AND(ROUND(W241+V242-ROUND(U$6+IF(U$5=$C242,$E$5+$E242,0),2),2)&gt;0,ROUND(W241+V242-ROUND(U$6+IF(U$5=$C242,$E$5+$E242,0),2),2)&lt;=X242,ROUND(W241+V242-ROUND(U$6+IF(U$5=$C242,$E$5+$E242,0),2),2)*10&lt;=ROUND(U$6+IF(U$5=$C242,$E$5+$E242,0),2)),ROUND(W241+V242,2),MIN(ROUND(U$6+IF(U$5=$C242,$E$5+$E242,0),2),ROUND(W241+V242,2))),0)</f>
        <v>0</v>
      </c>
      <c r="V242" s="24">
        <f>IF(W241&gt;0,ROUND(ROUND(W241*100,0)*ROUND(U$7*10000,0)/12000000,0)/100,0)</f>
        <v>0</v>
      </c>
      <c r="W242" s="24">
        <f>IF(W241&gt;0,ROUND(W241+V242-U242,2),0)</f>
        <v>0</v>
      </c>
      <c r="X242" s="24">
        <f>IF(W241&gt;0,ROUND(X241+ROUND(ROUND(X241*100,0)*ROUND(U$7*10000,0)/12000000,0)/100+0.02,2),0)</f>
        <v>0</v>
      </c>
      <c r="Y242" s="24">
        <f>IF(AA241&gt;0,IF(AND(ROUND(AA241+Z242-ROUND(Y$6+IF(Y$5=$C242,$E$5+$E242,0),2),2)&gt;0,ROUND(AA241+Z242-ROUND(Y$6+IF(Y$5=$C242,$E$5+$E242,0),2),2)&lt;=AB242,ROUND(AA241+Z242-ROUND(Y$6+IF(Y$5=$C242,$E$5+$E242,0),2),2)*10&lt;=ROUND(Y$6+IF(Y$5=$C242,$E$5+$E242,0),2)),ROUND(AA241+Z242,2),MIN(ROUND(Y$6+IF(Y$5=$C242,$E$5+$E242,0),2),ROUND(AA241+Z242,2))),0)</f>
        <v>0</v>
      </c>
      <c r="Z242" s="24">
        <f>IF(AA241&gt;0,ROUND(ROUND(AA241*100,0)*ROUND(Y$7*10000,0)/12000000,0)/100,0)</f>
        <v>0</v>
      </c>
      <c r="AA242" s="24">
        <f>IF(AA241&gt;0,ROUND(AA241+Z242-Y242,2),0)</f>
        <v>0</v>
      </c>
      <c r="AB242" s="24">
        <f>IF(AA241&gt;0,ROUND(AB241+ROUND(ROUND(AB241*100,0)*ROUND(Y$7*10000,0)/12000000,0)/100+0.02,2),0)</f>
        <v>0</v>
      </c>
      <c r="AC242" s="24">
        <f>IF(AE241&gt;0,IF(AND(ROUND(AE241+AD242-ROUND(AC$6+IF(AC$5=$C242,$E$5+$E242,0),2),2)&gt;0,ROUND(AE241+AD242-ROUND(AC$6+IF(AC$5=$C242,$E$5+$E242,0),2),2)&lt;=AF242,ROUND(AE241+AD242-ROUND(AC$6+IF(AC$5=$C242,$E$5+$E242,0),2),2)*10&lt;=ROUND(AC$6+IF(AC$5=$C242,$E$5+$E242,0),2)),ROUND(AE241+AD242,2),MIN(ROUND(AC$6+IF(AC$5=$C242,$E$5+$E242,0),2),ROUND(AE241+AD242,2))),0)</f>
        <v>0</v>
      </c>
      <c r="AD242" s="24">
        <f>IF(AE241&gt;0,ROUND(ROUND(AE241*100,0)*ROUND(AC$7*10000,0)/12000000,0)/100,0)</f>
        <v>0</v>
      </c>
      <c r="AE242" s="24">
        <f>IF(AE241&gt;0,ROUND(AE241+AD242-AC242,2),0)</f>
        <v>0</v>
      </c>
      <c r="AF242" s="24">
        <f>IF(AE241&gt;0,ROUND(AF241+ROUND(ROUND(AF241*100,0)*ROUND(AC$7*10000,0)/12000000,0)/100+0.02,2),0)</f>
        <v>0</v>
      </c>
      <c r="AG242" s="24">
        <f>IF(AI241&gt;0,IF(AND(ROUND(AI241+AH242-ROUND(AG$6+IF(AG$5=$C242,$E$5+$E242,0),2),2)&gt;0,ROUND(AI241+AH242-ROUND(AG$6+IF(AG$5=$C242,$E$5+$E242,0),2),2)&lt;=AJ242,ROUND(AI241+AH242-ROUND(AG$6+IF(AG$5=$C242,$E$5+$E242,0),2),2)*10&lt;=ROUND(AG$6+IF(AG$5=$C242,$E$5+$E242,0),2)),ROUND(AI241+AH242,2),MIN(ROUND(AG$6+IF(AG$5=$C242,$E$5+$E242,0),2),ROUND(AI241+AH242,2))),0)</f>
        <v>0</v>
      </c>
      <c r="AH242" s="24">
        <f>IF(AI241&gt;0,ROUND(ROUND(AI241*100,0)*ROUND(AG$7*10000,0)/12000000,0)/100,0)</f>
        <v>0</v>
      </c>
      <c r="AI242" s="24">
        <f>IF(AI241&gt;0,ROUND(AI241+AH242-AG242,2),0)</f>
        <v>0</v>
      </c>
      <c r="AJ242" s="24">
        <f>IF(AI241&gt;0,ROUND(AJ241+ROUND(ROUND(AJ241*100,0)*ROUND(AG$7*10000,0)/12000000,0)/100+0.02,2),0)</f>
        <v>0</v>
      </c>
      <c r="AK242" s="24">
        <f>IF(AM241&gt;0,IF(AND(ROUND(AM241+AL242-ROUND(AK$6+IF(AK$5=$C242,$E$5+$E242,0),2),2)&gt;0,ROUND(AM241+AL242-ROUND(AK$6+IF(AK$5=$C242,$E$5+$E242,0),2),2)&lt;=AN242,ROUND(AM241+AL242-ROUND(AK$6+IF(AK$5=$C242,$E$5+$E242,0),2),2)*10&lt;=ROUND(AK$6+IF(AK$5=$C242,$E$5+$E242,0),2)),ROUND(AM241+AL242,2),MIN(ROUND(AK$6+IF(AK$5=$C242,$E$5+$E242,0),2),ROUND(AM241+AL242,2))),0)</f>
        <v>0</v>
      </c>
      <c r="AL242" s="24">
        <f>IF(AM241&gt;0,ROUND(ROUND(AM241*100,0)*ROUND(AK$7*10000,0)/12000000,0)/100,0)</f>
        <v>0</v>
      </c>
      <c r="AM242" s="24">
        <f>IF(AM241&gt;0,ROUND(AM241+AL242-AK242,2),0)</f>
        <v>0</v>
      </c>
      <c r="AN242" s="24">
        <f>IF(AM241&gt;0,ROUND(AN241+ROUND(ROUND(AN241*100,0)*ROUND(AK$7*10000,0)/12000000,0)/100+0.02,2),0)</f>
        <v>0</v>
      </c>
      <c r="AO242" s="24">
        <f>IF(AQ241&gt;0,IF(AND(ROUND(AQ241+AP242-ROUND(AO$6+IF(AO$5=$C242,$E$5+$E242,0),2),2)&gt;0,ROUND(AQ241+AP242-ROUND(AO$6+IF(AO$5=$C242,$E$5+$E242,0),2),2)&lt;=AR242,ROUND(AQ241+AP242-ROUND(AO$6+IF(AO$5=$C242,$E$5+$E242,0),2),2)*10&lt;=ROUND(AO$6+IF(AO$5=$C242,$E$5+$E242,0),2)),ROUND(AQ241+AP242,2),MIN(ROUND(AO$6+IF(AO$5=$C242,$E$5+$E242,0),2),ROUND(AQ241+AP242,2))),0)</f>
        <v>0</v>
      </c>
      <c r="AP242" s="24">
        <f>IF(AQ241&gt;0,ROUND(ROUND(AQ241*100,0)*ROUND(AO$7*10000,0)/12000000,0)/100,0)</f>
        <v>0</v>
      </c>
      <c r="AQ242" s="24">
        <f>IF(AQ241&gt;0,ROUND(AQ241+AP242-AO242,2),0)</f>
        <v>0</v>
      </c>
      <c r="AR242" s="24">
        <f>IF(AQ241&gt;0,ROUND(AR241+ROUND(ROUND(AR241*100,0)*ROUND(AO$7*10000,0)/12000000,0)/100+0.02,2),0)</f>
        <v>0</v>
      </c>
      <c r="AS242" s="24">
        <f>IF(AU241&gt;0,IF(AND(ROUND(AU241+AT242-ROUND(AS$6+IF(AS$5=$C242,$E$5+$E242,0),2),2)&gt;0,ROUND(AU241+AT242-ROUND(AS$6+IF(AS$5=$C242,$E$5+$E242,0),2),2)&lt;=AV242,ROUND(AU241+AT242-ROUND(AS$6+IF(AS$5=$C242,$E$5+$E242,0),2),2)*10&lt;=ROUND(AS$6+IF(AS$5=$C242,$E$5+$E242,0),2)),ROUND(AU241+AT242,2),MIN(ROUND(AS$6+IF(AS$5=$C242,$E$5+$E242,0),2),ROUND(AU241+AT242,2))),0)</f>
        <v>0</v>
      </c>
      <c r="AT242" s="24">
        <f>IF(AU241&gt;0,ROUND(ROUND(AU241*100,0)*ROUND(AS$7*10000,0)/12000000,0)/100,0)</f>
        <v>0</v>
      </c>
      <c r="AU242" s="24">
        <f>IF(AU241&gt;0,ROUND(AU241+AT242-AS242,2),0)</f>
        <v>0</v>
      </c>
      <c r="AV242" s="24">
        <f>IF(AU241&gt;0,ROUND(AV241+ROUND(ROUND(AV241*100,0)*ROUND(AS$7*10000,0)/12000000,0)/100+0.02,2),0)</f>
        <v>0</v>
      </c>
    </row>
    <row r="243" spans="1:48" x14ac:dyDescent="0.25">
      <c r="A243" s="17" t="str">
        <f>IF(F243&gt;0,233,"")</f>
        <v/>
      </c>
      <c r="B243" s="18" t="str">
        <f>IF(F243&gt;0,EDATE($E$6,233),"")</f>
        <v/>
      </c>
      <c r="C243" s="21">
        <f>IF(H242&gt;0,MIN(IF(K242&gt;0,I$5,99),IF(O242&gt;0,M$5,99),IF(S242&gt;0,Q$5,99),IF(W242&gt;0,U$5,99),IF(AA242&gt;0,Y$5,99),IF(AE242&gt;0,AC$5,99),IF(AI242&gt;0,AG$5,99),IF(AM242&gt;0,AK$5,99),IF(AQ242&gt;0,AO$5,99),IF(AU242&gt;0,AS$5,99)),0)</f>
        <v>0</v>
      </c>
      <c r="D243" t="str">
        <f>IF(C243&gt;0,INDEX($I$4:$AV$4,1,MATCH(C243,$I$5:$AV$5,0)),"")</f>
        <v/>
      </c>
      <c r="E243" s="24">
        <f>ROUND(IF(AND(I$8&gt;0,K242=0),I$6,0)+IF(AND(M$8&gt;0,O242=0),M$6,0)+IF(AND(Q$8&gt;0,S242=0),Q$6,0)+IF(AND(U$8&gt;0,W242=0),U$6,0)+IF(AND(Y$8&gt;0,AA242=0),Y$6,0)+IF(AND(AC$8&gt;0,AE242=0),AC$6,0)+IF(AND(AG$8&gt;0,AI242=0),AG$6,0)+IF(AND(AK$8&gt;0,AM242=0),AK$6,0)+IF(AND(AO$8&gt;0,AQ242=0),AO$6,0)+IF(AND(AS$8&gt;0,AU242=0),AS$6,0),2)</f>
        <v>325</v>
      </c>
      <c r="F243" s="24">
        <f>ROUND(I243+M243+Q243+U243+Y243+AC243+AG243+AK243+AO243+AS243,2)</f>
        <v>0</v>
      </c>
      <c r="G243" s="24">
        <f>ROUND(J243+N243+R243+V243+Z243+AD243+AH243+AL243+AP243+AT243,2)</f>
        <v>0</v>
      </c>
      <c r="H243" s="24">
        <f>ROUND(K243+O243+S243+W243+AA243+AE243+AI243+AM243+AQ243+AU243,2)</f>
        <v>0</v>
      </c>
      <c r="I243" s="24">
        <f>IF(K242&gt;0,IF(AND(ROUND(K242+J243-ROUND(I$6+IF(I$5=$C243,$E$5+$E243,0),2),2)&gt;0,ROUND(K242+J243-ROUND(I$6+IF(I$5=$C243,$E$5+$E243,0),2),2)&lt;=L243,ROUND(K242+J243-ROUND(I$6+IF(I$5=$C243,$E$5+$E243,0),2),2)*10&lt;=ROUND(I$6+IF(I$5=$C243,$E$5+$E243,0),2)),ROUND(K242+J243,2),MIN(ROUND(I$6+IF(I$5=$C243,$E$5+$E243,0),2),ROUND(K242+J243,2))),0)</f>
        <v>0</v>
      </c>
      <c r="J243" s="24">
        <f>IF(K242&gt;0,ROUND(ROUND(K242*100,0)*ROUND(I$7*10000,0)/12000000,0)/100,0)</f>
        <v>0</v>
      </c>
      <c r="K243" s="24">
        <f>IF(K242&gt;0,ROUND(K242+J243-I243,2),0)</f>
        <v>0</v>
      </c>
      <c r="L243" s="24">
        <f>IF(K242&gt;0,ROUND(L242+ROUND(ROUND(L242*100,0)*ROUND(I$7*10000,0)/12000000,0)/100+0.02,2),0)</f>
        <v>0</v>
      </c>
      <c r="M243" s="24">
        <f>IF(O242&gt;0,IF(AND(ROUND(O242+N243-ROUND(M$6+IF(M$5=$C243,$E$5+$E243,0),2),2)&gt;0,ROUND(O242+N243-ROUND(M$6+IF(M$5=$C243,$E$5+$E243,0),2),2)&lt;=P243,ROUND(O242+N243-ROUND(M$6+IF(M$5=$C243,$E$5+$E243,0),2),2)*10&lt;=ROUND(M$6+IF(M$5=$C243,$E$5+$E243,0),2)),ROUND(O242+N243,2),MIN(ROUND(M$6+IF(M$5=$C243,$E$5+$E243,0),2),ROUND(O242+N243,2))),0)</f>
        <v>0</v>
      </c>
      <c r="N243" s="24">
        <f>IF(O242&gt;0,ROUND(ROUND(O242*100,0)*ROUND(M$7*10000,0)/12000000,0)/100,0)</f>
        <v>0</v>
      </c>
      <c r="O243" s="24">
        <f>IF(O242&gt;0,ROUND(O242+N243-M243,2),0)</f>
        <v>0</v>
      </c>
      <c r="P243" s="24">
        <f>IF(O242&gt;0,ROUND(P242+ROUND(ROUND(P242*100,0)*ROUND(M$7*10000,0)/12000000,0)/100+0.02,2),0)</f>
        <v>0</v>
      </c>
      <c r="Q243" s="24">
        <f>IF(S242&gt;0,IF(AND(ROUND(S242+R243-ROUND(Q$6+IF(Q$5=$C243,$E$5+$E243,0),2),2)&gt;0,ROUND(S242+R243-ROUND(Q$6+IF(Q$5=$C243,$E$5+$E243,0),2),2)&lt;=T243,ROUND(S242+R243-ROUND(Q$6+IF(Q$5=$C243,$E$5+$E243,0),2),2)*10&lt;=ROUND(Q$6+IF(Q$5=$C243,$E$5+$E243,0),2)),ROUND(S242+R243,2),MIN(ROUND(Q$6+IF(Q$5=$C243,$E$5+$E243,0),2),ROUND(S242+R243,2))),0)</f>
        <v>0</v>
      </c>
      <c r="R243" s="24">
        <f>IF(S242&gt;0,ROUND(ROUND(S242*100,0)*ROUND(Q$7*10000,0)/12000000,0)/100,0)</f>
        <v>0</v>
      </c>
      <c r="S243" s="24">
        <f>IF(S242&gt;0,ROUND(S242+R243-Q243,2),0)</f>
        <v>0</v>
      </c>
      <c r="T243" s="24">
        <f>IF(S242&gt;0,ROUND(T242+ROUND(ROUND(T242*100,0)*ROUND(Q$7*10000,0)/12000000,0)/100+0.02,2),0)</f>
        <v>0</v>
      </c>
      <c r="U243" s="24">
        <f>IF(W242&gt;0,IF(AND(ROUND(W242+V243-ROUND(U$6+IF(U$5=$C243,$E$5+$E243,0),2),2)&gt;0,ROUND(W242+V243-ROUND(U$6+IF(U$5=$C243,$E$5+$E243,0),2),2)&lt;=X243,ROUND(W242+V243-ROUND(U$6+IF(U$5=$C243,$E$5+$E243,0),2),2)*10&lt;=ROUND(U$6+IF(U$5=$C243,$E$5+$E243,0),2)),ROUND(W242+V243,2),MIN(ROUND(U$6+IF(U$5=$C243,$E$5+$E243,0),2),ROUND(W242+V243,2))),0)</f>
        <v>0</v>
      </c>
      <c r="V243" s="24">
        <f>IF(W242&gt;0,ROUND(ROUND(W242*100,0)*ROUND(U$7*10000,0)/12000000,0)/100,0)</f>
        <v>0</v>
      </c>
      <c r="W243" s="24">
        <f>IF(W242&gt;0,ROUND(W242+V243-U243,2),0)</f>
        <v>0</v>
      </c>
      <c r="X243" s="24">
        <f>IF(W242&gt;0,ROUND(X242+ROUND(ROUND(X242*100,0)*ROUND(U$7*10000,0)/12000000,0)/100+0.02,2),0)</f>
        <v>0</v>
      </c>
      <c r="Y243" s="24">
        <f>IF(AA242&gt;0,IF(AND(ROUND(AA242+Z243-ROUND(Y$6+IF(Y$5=$C243,$E$5+$E243,0),2),2)&gt;0,ROUND(AA242+Z243-ROUND(Y$6+IF(Y$5=$C243,$E$5+$E243,0),2),2)&lt;=AB243,ROUND(AA242+Z243-ROUND(Y$6+IF(Y$5=$C243,$E$5+$E243,0),2),2)*10&lt;=ROUND(Y$6+IF(Y$5=$C243,$E$5+$E243,0),2)),ROUND(AA242+Z243,2),MIN(ROUND(Y$6+IF(Y$5=$C243,$E$5+$E243,0),2),ROUND(AA242+Z243,2))),0)</f>
        <v>0</v>
      </c>
      <c r="Z243" s="24">
        <f>IF(AA242&gt;0,ROUND(ROUND(AA242*100,0)*ROUND(Y$7*10000,0)/12000000,0)/100,0)</f>
        <v>0</v>
      </c>
      <c r="AA243" s="24">
        <f>IF(AA242&gt;0,ROUND(AA242+Z243-Y243,2),0)</f>
        <v>0</v>
      </c>
      <c r="AB243" s="24">
        <f>IF(AA242&gt;0,ROUND(AB242+ROUND(ROUND(AB242*100,0)*ROUND(Y$7*10000,0)/12000000,0)/100+0.02,2),0)</f>
        <v>0</v>
      </c>
      <c r="AC243" s="24">
        <f>IF(AE242&gt;0,IF(AND(ROUND(AE242+AD243-ROUND(AC$6+IF(AC$5=$C243,$E$5+$E243,0),2),2)&gt;0,ROUND(AE242+AD243-ROUND(AC$6+IF(AC$5=$C243,$E$5+$E243,0),2),2)&lt;=AF243,ROUND(AE242+AD243-ROUND(AC$6+IF(AC$5=$C243,$E$5+$E243,0),2),2)*10&lt;=ROUND(AC$6+IF(AC$5=$C243,$E$5+$E243,0),2)),ROUND(AE242+AD243,2),MIN(ROUND(AC$6+IF(AC$5=$C243,$E$5+$E243,0),2),ROUND(AE242+AD243,2))),0)</f>
        <v>0</v>
      </c>
      <c r="AD243" s="24">
        <f>IF(AE242&gt;0,ROUND(ROUND(AE242*100,0)*ROUND(AC$7*10000,0)/12000000,0)/100,0)</f>
        <v>0</v>
      </c>
      <c r="AE243" s="24">
        <f>IF(AE242&gt;0,ROUND(AE242+AD243-AC243,2),0)</f>
        <v>0</v>
      </c>
      <c r="AF243" s="24">
        <f>IF(AE242&gt;0,ROUND(AF242+ROUND(ROUND(AF242*100,0)*ROUND(AC$7*10000,0)/12000000,0)/100+0.02,2),0)</f>
        <v>0</v>
      </c>
      <c r="AG243" s="24">
        <f>IF(AI242&gt;0,IF(AND(ROUND(AI242+AH243-ROUND(AG$6+IF(AG$5=$C243,$E$5+$E243,0),2),2)&gt;0,ROUND(AI242+AH243-ROUND(AG$6+IF(AG$5=$C243,$E$5+$E243,0),2),2)&lt;=AJ243,ROUND(AI242+AH243-ROUND(AG$6+IF(AG$5=$C243,$E$5+$E243,0),2),2)*10&lt;=ROUND(AG$6+IF(AG$5=$C243,$E$5+$E243,0),2)),ROUND(AI242+AH243,2),MIN(ROUND(AG$6+IF(AG$5=$C243,$E$5+$E243,0),2),ROUND(AI242+AH243,2))),0)</f>
        <v>0</v>
      </c>
      <c r="AH243" s="24">
        <f>IF(AI242&gt;0,ROUND(ROUND(AI242*100,0)*ROUND(AG$7*10000,0)/12000000,0)/100,0)</f>
        <v>0</v>
      </c>
      <c r="AI243" s="24">
        <f>IF(AI242&gt;0,ROUND(AI242+AH243-AG243,2),0)</f>
        <v>0</v>
      </c>
      <c r="AJ243" s="24">
        <f>IF(AI242&gt;0,ROUND(AJ242+ROUND(ROUND(AJ242*100,0)*ROUND(AG$7*10000,0)/12000000,0)/100+0.02,2),0)</f>
        <v>0</v>
      </c>
      <c r="AK243" s="24">
        <f>IF(AM242&gt;0,IF(AND(ROUND(AM242+AL243-ROUND(AK$6+IF(AK$5=$C243,$E$5+$E243,0),2),2)&gt;0,ROUND(AM242+AL243-ROUND(AK$6+IF(AK$5=$C243,$E$5+$E243,0),2),2)&lt;=AN243,ROUND(AM242+AL243-ROUND(AK$6+IF(AK$5=$C243,$E$5+$E243,0),2),2)*10&lt;=ROUND(AK$6+IF(AK$5=$C243,$E$5+$E243,0),2)),ROUND(AM242+AL243,2),MIN(ROUND(AK$6+IF(AK$5=$C243,$E$5+$E243,0),2),ROUND(AM242+AL243,2))),0)</f>
        <v>0</v>
      </c>
      <c r="AL243" s="24">
        <f>IF(AM242&gt;0,ROUND(ROUND(AM242*100,0)*ROUND(AK$7*10000,0)/12000000,0)/100,0)</f>
        <v>0</v>
      </c>
      <c r="AM243" s="24">
        <f>IF(AM242&gt;0,ROUND(AM242+AL243-AK243,2),0)</f>
        <v>0</v>
      </c>
      <c r="AN243" s="24">
        <f>IF(AM242&gt;0,ROUND(AN242+ROUND(ROUND(AN242*100,0)*ROUND(AK$7*10000,0)/12000000,0)/100+0.02,2),0)</f>
        <v>0</v>
      </c>
      <c r="AO243" s="24">
        <f>IF(AQ242&gt;0,IF(AND(ROUND(AQ242+AP243-ROUND(AO$6+IF(AO$5=$C243,$E$5+$E243,0),2),2)&gt;0,ROUND(AQ242+AP243-ROUND(AO$6+IF(AO$5=$C243,$E$5+$E243,0),2),2)&lt;=AR243,ROUND(AQ242+AP243-ROUND(AO$6+IF(AO$5=$C243,$E$5+$E243,0),2),2)*10&lt;=ROUND(AO$6+IF(AO$5=$C243,$E$5+$E243,0),2)),ROUND(AQ242+AP243,2),MIN(ROUND(AO$6+IF(AO$5=$C243,$E$5+$E243,0),2),ROUND(AQ242+AP243,2))),0)</f>
        <v>0</v>
      </c>
      <c r="AP243" s="24">
        <f>IF(AQ242&gt;0,ROUND(ROUND(AQ242*100,0)*ROUND(AO$7*10000,0)/12000000,0)/100,0)</f>
        <v>0</v>
      </c>
      <c r="AQ243" s="24">
        <f>IF(AQ242&gt;0,ROUND(AQ242+AP243-AO243,2),0)</f>
        <v>0</v>
      </c>
      <c r="AR243" s="24">
        <f>IF(AQ242&gt;0,ROUND(AR242+ROUND(ROUND(AR242*100,0)*ROUND(AO$7*10000,0)/12000000,0)/100+0.02,2),0)</f>
        <v>0</v>
      </c>
      <c r="AS243" s="24">
        <f>IF(AU242&gt;0,IF(AND(ROUND(AU242+AT243-ROUND(AS$6+IF(AS$5=$C243,$E$5+$E243,0),2),2)&gt;0,ROUND(AU242+AT243-ROUND(AS$6+IF(AS$5=$C243,$E$5+$E243,0),2),2)&lt;=AV243,ROUND(AU242+AT243-ROUND(AS$6+IF(AS$5=$C243,$E$5+$E243,0),2),2)*10&lt;=ROUND(AS$6+IF(AS$5=$C243,$E$5+$E243,0),2)),ROUND(AU242+AT243,2),MIN(ROUND(AS$6+IF(AS$5=$C243,$E$5+$E243,0),2),ROUND(AU242+AT243,2))),0)</f>
        <v>0</v>
      </c>
      <c r="AT243" s="24">
        <f>IF(AU242&gt;0,ROUND(ROUND(AU242*100,0)*ROUND(AS$7*10000,0)/12000000,0)/100,0)</f>
        <v>0</v>
      </c>
      <c r="AU243" s="24">
        <f>IF(AU242&gt;0,ROUND(AU242+AT243-AS243,2),0)</f>
        <v>0</v>
      </c>
      <c r="AV243" s="24">
        <f>IF(AU242&gt;0,ROUND(AV242+ROUND(ROUND(AV242*100,0)*ROUND(AS$7*10000,0)/12000000,0)/100+0.02,2),0)</f>
        <v>0</v>
      </c>
    </row>
    <row r="244" spans="1:48" x14ac:dyDescent="0.25">
      <c r="A244" s="17" t="str">
        <f>IF(F244&gt;0,234,"")</f>
        <v/>
      </c>
      <c r="B244" s="18" t="str">
        <f>IF(F244&gt;0,EDATE($E$6,234),"")</f>
        <v/>
      </c>
      <c r="C244" s="21">
        <f>IF(H243&gt;0,MIN(IF(K243&gt;0,I$5,99),IF(O243&gt;0,M$5,99),IF(S243&gt;0,Q$5,99),IF(W243&gt;0,U$5,99),IF(AA243&gt;0,Y$5,99),IF(AE243&gt;0,AC$5,99),IF(AI243&gt;0,AG$5,99),IF(AM243&gt;0,AK$5,99),IF(AQ243&gt;0,AO$5,99),IF(AU243&gt;0,AS$5,99)),0)</f>
        <v>0</v>
      </c>
      <c r="D244" t="str">
        <f>IF(C244&gt;0,INDEX($I$4:$AV$4,1,MATCH(C244,$I$5:$AV$5,0)),"")</f>
        <v/>
      </c>
      <c r="E244" s="24">
        <f>ROUND(IF(AND(I$8&gt;0,K243=0),I$6,0)+IF(AND(M$8&gt;0,O243=0),M$6,0)+IF(AND(Q$8&gt;0,S243=0),Q$6,0)+IF(AND(U$8&gt;0,W243=0),U$6,0)+IF(AND(Y$8&gt;0,AA243=0),Y$6,0)+IF(AND(AC$8&gt;0,AE243=0),AC$6,0)+IF(AND(AG$8&gt;0,AI243=0),AG$6,0)+IF(AND(AK$8&gt;0,AM243=0),AK$6,0)+IF(AND(AO$8&gt;0,AQ243=0),AO$6,0)+IF(AND(AS$8&gt;0,AU243=0),AS$6,0),2)</f>
        <v>325</v>
      </c>
      <c r="F244" s="24">
        <f>ROUND(I244+M244+Q244+U244+Y244+AC244+AG244+AK244+AO244+AS244,2)</f>
        <v>0</v>
      </c>
      <c r="G244" s="24">
        <f>ROUND(J244+N244+R244+V244+Z244+AD244+AH244+AL244+AP244+AT244,2)</f>
        <v>0</v>
      </c>
      <c r="H244" s="24">
        <f>ROUND(K244+O244+S244+W244+AA244+AE244+AI244+AM244+AQ244+AU244,2)</f>
        <v>0</v>
      </c>
      <c r="I244" s="24">
        <f>IF(K243&gt;0,IF(AND(ROUND(K243+J244-ROUND(I$6+IF(I$5=$C244,$E$5+$E244,0),2),2)&gt;0,ROUND(K243+J244-ROUND(I$6+IF(I$5=$C244,$E$5+$E244,0),2),2)&lt;=L244,ROUND(K243+J244-ROUND(I$6+IF(I$5=$C244,$E$5+$E244,0),2),2)*10&lt;=ROUND(I$6+IF(I$5=$C244,$E$5+$E244,0),2)),ROUND(K243+J244,2),MIN(ROUND(I$6+IF(I$5=$C244,$E$5+$E244,0),2),ROUND(K243+J244,2))),0)</f>
        <v>0</v>
      </c>
      <c r="J244" s="24">
        <f>IF(K243&gt;0,ROUND(ROUND(K243*100,0)*ROUND(I$7*10000,0)/12000000,0)/100,0)</f>
        <v>0</v>
      </c>
      <c r="K244" s="24">
        <f>IF(K243&gt;0,ROUND(K243+J244-I244,2),0)</f>
        <v>0</v>
      </c>
      <c r="L244" s="24">
        <f>IF(K243&gt;0,ROUND(L243+ROUND(ROUND(L243*100,0)*ROUND(I$7*10000,0)/12000000,0)/100+0.02,2),0)</f>
        <v>0</v>
      </c>
      <c r="M244" s="24">
        <f>IF(O243&gt;0,IF(AND(ROUND(O243+N244-ROUND(M$6+IF(M$5=$C244,$E$5+$E244,0),2),2)&gt;0,ROUND(O243+N244-ROUND(M$6+IF(M$5=$C244,$E$5+$E244,0),2),2)&lt;=P244,ROUND(O243+N244-ROUND(M$6+IF(M$5=$C244,$E$5+$E244,0),2),2)*10&lt;=ROUND(M$6+IF(M$5=$C244,$E$5+$E244,0),2)),ROUND(O243+N244,2),MIN(ROUND(M$6+IF(M$5=$C244,$E$5+$E244,0),2),ROUND(O243+N244,2))),0)</f>
        <v>0</v>
      </c>
      <c r="N244" s="24">
        <f>IF(O243&gt;0,ROUND(ROUND(O243*100,0)*ROUND(M$7*10000,0)/12000000,0)/100,0)</f>
        <v>0</v>
      </c>
      <c r="O244" s="24">
        <f>IF(O243&gt;0,ROUND(O243+N244-M244,2),0)</f>
        <v>0</v>
      </c>
      <c r="P244" s="24">
        <f>IF(O243&gt;0,ROUND(P243+ROUND(ROUND(P243*100,0)*ROUND(M$7*10000,0)/12000000,0)/100+0.02,2),0)</f>
        <v>0</v>
      </c>
      <c r="Q244" s="24">
        <f>IF(S243&gt;0,IF(AND(ROUND(S243+R244-ROUND(Q$6+IF(Q$5=$C244,$E$5+$E244,0),2),2)&gt;0,ROUND(S243+R244-ROUND(Q$6+IF(Q$5=$C244,$E$5+$E244,0),2),2)&lt;=T244,ROUND(S243+R244-ROUND(Q$6+IF(Q$5=$C244,$E$5+$E244,0),2),2)*10&lt;=ROUND(Q$6+IF(Q$5=$C244,$E$5+$E244,0),2)),ROUND(S243+R244,2),MIN(ROUND(Q$6+IF(Q$5=$C244,$E$5+$E244,0),2),ROUND(S243+R244,2))),0)</f>
        <v>0</v>
      </c>
      <c r="R244" s="24">
        <f>IF(S243&gt;0,ROUND(ROUND(S243*100,0)*ROUND(Q$7*10000,0)/12000000,0)/100,0)</f>
        <v>0</v>
      </c>
      <c r="S244" s="24">
        <f>IF(S243&gt;0,ROUND(S243+R244-Q244,2),0)</f>
        <v>0</v>
      </c>
      <c r="T244" s="24">
        <f>IF(S243&gt;0,ROUND(T243+ROUND(ROUND(T243*100,0)*ROUND(Q$7*10000,0)/12000000,0)/100+0.02,2),0)</f>
        <v>0</v>
      </c>
      <c r="U244" s="24">
        <f>IF(W243&gt;0,IF(AND(ROUND(W243+V244-ROUND(U$6+IF(U$5=$C244,$E$5+$E244,0),2),2)&gt;0,ROUND(W243+V244-ROUND(U$6+IF(U$5=$C244,$E$5+$E244,0),2),2)&lt;=X244,ROUND(W243+V244-ROUND(U$6+IF(U$5=$C244,$E$5+$E244,0),2),2)*10&lt;=ROUND(U$6+IF(U$5=$C244,$E$5+$E244,0),2)),ROUND(W243+V244,2),MIN(ROUND(U$6+IF(U$5=$C244,$E$5+$E244,0),2),ROUND(W243+V244,2))),0)</f>
        <v>0</v>
      </c>
      <c r="V244" s="24">
        <f>IF(W243&gt;0,ROUND(ROUND(W243*100,0)*ROUND(U$7*10000,0)/12000000,0)/100,0)</f>
        <v>0</v>
      </c>
      <c r="W244" s="24">
        <f>IF(W243&gt;0,ROUND(W243+V244-U244,2),0)</f>
        <v>0</v>
      </c>
      <c r="X244" s="24">
        <f>IF(W243&gt;0,ROUND(X243+ROUND(ROUND(X243*100,0)*ROUND(U$7*10000,0)/12000000,0)/100+0.02,2),0)</f>
        <v>0</v>
      </c>
      <c r="Y244" s="24">
        <f>IF(AA243&gt;0,IF(AND(ROUND(AA243+Z244-ROUND(Y$6+IF(Y$5=$C244,$E$5+$E244,0),2),2)&gt;0,ROUND(AA243+Z244-ROUND(Y$6+IF(Y$5=$C244,$E$5+$E244,0),2),2)&lt;=AB244,ROUND(AA243+Z244-ROUND(Y$6+IF(Y$5=$C244,$E$5+$E244,0),2),2)*10&lt;=ROUND(Y$6+IF(Y$5=$C244,$E$5+$E244,0),2)),ROUND(AA243+Z244,2),MIN(ROUND(Y$6+IF(Y$5=$C244,$E$5+$E244,0),2),ROUND(AA243+Z244,2))),0)</f>
        <v>0</v>
      </c>
      <c r="Z244" s="24">
        <f>IF(AA243&gt;0,ROUND(ROUND(AA243*100,0)*ROUND(Y$7*10000,0)/12000000,0)/100,0)</f>
        <v>0</v>
      </c>
      <c r="AA244" s="24">
        <f>IF(AA243&gt;0,ROUND(AA243+Z244-Y244,2),0)</f>
        <v>0</v>
      </c>
      <c r="AB244" s="24">
        <f>IF(AA243&gt;0,ROUND(AB243+ROUND(ROUND(AB243*100,0)*ROUND(Y$7*10000,0)/12000000,0)/100+0.02,2),0)</f>
        <v>0</v>
      </c>
      <c r="AC244" s="24">
        <f>IF(AE243&gt;0,IF(AND(ROUND(AE243+AD244-ROUND(AC$6+IF(AC$5=$C244,$E$5+$E244,0),2),2)&gt;0,ROUND(AE243+AD244-ROUND(AC$6+IF(AC$5=$C244,$E$5+$E244,0),2),2)&lt;=AF244,ROUND(AE243+AD244-ROUND(AC$6+IF(AC$5=$C244,$E$5+$E244,0),2),2)*10&lt;=ROUND(AC$6+IF(AC$5=$C244,$E$5+$E244,0),2)),ROUND(AE243+AD244,2),MIN(ROUND(AC$6+IF(AC$5=$C244,$E$5+$E244,0),2),ROUND(AE243+AD244,2))),0)</f>
        <v>0</v>
      </c>
      <c r="AD244" s="24">
        <f>IF(AE243&gt;0,ROUND(ROUND(AE243*100,0)*ROUND(AC$7*10000,0)/12000000,0)/100,0)</f>
        <v>0</v>
      </c>
      <c r="AE244" s="24">
        <f>IF(AE243&gt;0,ROUND(AE243+AD244-AC244,2),0)</f>
        <v>0</v>
      </c>
      <c r="AF244" s="24">
        <f>IF(AE243&gt;0,ROUND(AF243+ROUND(ROUND(AF243*100,0)*ROUND(AC$7*10000,0)/12000000,0)/100+0.02,2),0)</f>
        <v>0</v>
      </c>
      <c r="AG244" s="24">
        <f>IF(AI243&gt;0,IF(AND(ROUND(AI243+AH244-ROUND(AG$6+IF(AG$5=$C244,$E$5+$E244,0),2),2)&gt;0,ROUND(AI243+AH244-ROUND(AG$6+IF(AG$5=$C244,$E$5+$E244,0),2),2)&lt;=AJ244,ROUND(AI243+AH244-ROUND(AG$6+IF(AG$5=$C244,$E$5+$E244,0),2),2)*10&lt;=ROUND(AG$6+IF(AG$5=$C244,$E$5+$E244,0),2)),ROUND(AI243+AH244,2),MIN(ROUND(AG$6+IF(AG$5=$C244,$E$5+$E244,0),2),ROUND(AI243+AH244,2))),0)</f>
        <v>0</v>
      </c>
      <c r="AH244" s="24">
        <f>IF(AI243&gt;0,ROUND(ROUND(AI243*100,0)*ROUND(AG$7*10000,0)/12000000,0)/100,0)</f>
        <v>0</v>
      </c>
      <c r="AI244" s="24">
        <f>IF(AI243&gt;0,ROUND(AI243+AH244-AG244,2),0)</f>
        <v>0</v>
      </c>
      <c r="AJ244" s="24">
        <f>IF(AI243&gt;0,ROUND(AJ243+ROUND(ROUND(AJ243*100,0)*ROUND(AG$7*10000,0)/12000000,0)/100+0.02,2),0)</f>
        <v>0</v>
      </c>
      <c r="AK244" s="24">
        <f>IF(AM243&gt;0,IF(AND(ROUND(AM243+AL244-ROUND(AK$6+IF(AK$5=$C244,$E$5+$E244,0),2),2)&gt;0,ROUND(AM243+AL244-ROUND(AK$6+IF(AK$5=$C244,$E$5+$E244,0),2),2)&lt;=AN244,ROUND(AM243+AL244-ROUND(AK$6+IF(AK$5=$C244,$E$5+$E244,0),2),2)*10&lt;=ROUND(AK$6+IF(AK$5=$C244,$E$5+$E244,0),2)),ROUND(AM243+AL244,2),MIN(ROUND(AK$6+IF(AK$5=$C244,$E$5+$E244,0),2),ROUND(AM243+AL244,2))),0)</f>
        <v>0</v>
      </c>
      <c r="AL244" s="24">
        <f>IF(AM243&gt;0,ROUND(ROUND(AM243*100,0)*ROUND(AK$7*10000,0)/12000000,0)/100,0)</f>
        <v>0</v>
      </c>
      <c r="AM244" s="24">
        <f>IF(AM243&gt;0,ROUND(AM243+AL244-AK244,2),0)</f>
        <v>0</v>
      </c>
      <c r="AN244" s="24">
        <f>IF(AM243&gt;0,ROUND(AN243+ROUND(ROUND(AN243*100,0)*ROUND(AK$7*10000,0)/12000000,0)/100+0.02,2),0)</f>
        <v>0</v>
      </c>
      <c r="AO244" s="24">
        <f>IF(AQ243&gt;0,IF(AND(ROUND(AQ243+AP244-ROUND(AO$6+IF(AO$5=$C244,$E$5+$E244,0),2),2)&gt;0,ROUND(AQ243+AP244-ROUND(AO$6+IF(AO$5=$C244,$E$5+$E244,0),2),2)&lt;=AR244,ROUND(AQ243+AP244-ROUND(AO$6+IF(AO$5=$C244,$E$5+$E244,0),2),2)*10&lt;=ROUND(AO$6+IF(AO$5=$C244,$E$5+$E244,0),2)),ROUND(AQ243+AP244,2),MIN(ROUND(AO$6+IF(AO$5=$C244,$E$5+$E244,0),2),ROUND(AQ243+AP244,2))),0)</f>
        <v>0</v>
      </c>
      <c r="AP244" s="24">
        <f>IF(AQ243&gt;0,ROUND(ROUND(AQ243*100,0)*ROUND(AO$7*10000,0)/12000000,0)/100,0)</f>
        <v>0</v>
      </c>
      <c r="AQ244" s="24">
        <f>IF(AQ243&gt;0,ROUND(AQ243+AP244-AO244,2),0)</f>
        <v>0</v>
      </c>
      <c r="AR244" s="24">
        <f>IF(AQ243&gt;0,ROUND(AR243+ROUND(ROUND(AR243*100,0)*ROUND(AO$7*10000,0)/12000000,0)/100+0.02,2),0)</f>
        <v>0</v>
      </c>
      <c r="AS244" s="24">
        <f>IF(AU243&gt;0,IF(AND(ROUND(AU243+AT244-ROUND(AS$6+IF(AS$5=$C244,$E$5+$E244,0),2),2)&gt;0,ROUND(AU243+AT244-ROUND(AS$6+IF(AS$5=$C244,$E$5+$E244,0),2),2)&lt;=AV244,ROUND(AU243+AT244-ROUND(AS$6+IF(AS$5=$C244,$E$5+$E244,0),2),2)*10&lt;=ROUND(AS$6+IF(AS$5=$C244,$E$5+$E244,0),2)),ROUND(AU243+AT244,2),MIN(ROUND(AS$6+IF(AS$5=$C244,$E$5+$E244,0),2),ROUND(AU243+AT244,2))),0)</f>
        <v>0</v>
      </c>
      <c r="AT244" s="24">
        <f>IF(AU243&gt;0,ROUND(ROUND(AU243*100,0)*ROUND(AS$7*10000,0)/12000000,0)/100,0)</f>
        <v>0</v>
      </c>
      <c r="AU244" s="24">
        <f>IF(AU243&gt;0,ROUND(AU243+AT244-AS244,2),0)</f>
        <v>0</v>
      </c>
      <c r="AV244" s="24">
        <f>IF(AU243&gt;0,ROUND(AV243+ROUND(ROUND(AV243*100,0)*ROUND(AS$7*10000,0)/12000000,0)/100+0.02,2),0)</f>
        <v>0</v>
      </c>
    </row>
    <row r="245" spans="1:48" x14ac:dyDescent="0.25">
      <c r="A245" s="17" t="str">
        <f>IF(F245&gt;0,235,"")</f>
        <v/>
      </c>
      <c r="B245" s="18" t="str">
        <f>IF(F245&gt;0,EDATE($E$6,235),"")</f>
        <v/>
      </c>
      <c r="C245" s="21">
        <f>IF(H244&gt;0,MIN(IF(K244&gt;0,I$5,99),IF(O244&gt;0,M$5,99),IF(S244&gt;0,Q$5,99),IF(W244&gt;0,U$5,99),IF(AA244&gt;0,Y$5,99),IF(AE244&gt;0,AC$5,99),IF(AI244&gt;0,AG$5,99),IF(AM244&gt;0,AK$5,99),IF(AQ244&gt;0,AO$5,99),IF(AU244&gt;0,AS$5,99)),0)</f>
        <v>0</v>
      </c>
      <c r="D245" t="str">
        <f>IF(C245&gt;0,INDEX($I$4:$AV$4,1,MATCH(C245,$I$5:$AV$5,0)),"")</f>
        <v/>
      </c>
      <c r="E245" s="24">
        <f>ROUND(IF(AND(I$8&gt;0,K244=0),I$6,0)+IF(AND(M$8&gt;0,O244=0),M$6,0)+IF(AND(Q$8&gt;0,S244=0),Q$6,0)+IF(AND(U$8&gt;0,W244=0),U$6,0)+IF(AND(Y$8&gt;0,AA244=0),Y$6,0)+IF(AND(AC$8&gt;0,AE244=0),AC$6,0)+IF(AND(AG$8&gt;0,AI244=0),AG$6,0)+IF(AND(AK$8&gt;0,AM244=0),AK$6,0)+IF(AND(AO$8&gt;0,AQ244=0),AO$6,0)+IF(AND(AS$8&gt;0,AU244=0),AS$6,0),2)</f>
        <v>325</v>
      </c>
      <c r="F245" s="24">
        <f>ROUND(I245+M245+Q245+U245+Y245+AC245+AG245+AK245+AO245+AS245,2)</f>
        <v>0</v>
      </c>
      <c r="G245" s="24">
        <f>ROUND(J245+N245+R245+V245+Z245+AD245+AH245+AL245+AP245+AT245,2)</f>
        <v>0</v>
      </c>
      <c r="H245" s="24">
        <f>ROUND(K245+O245+S245+W245+AA245+AE245+AI245+AM245+AQ245+AU245,2)</f>
        <v>0</v>
      </c>
      <c r="I245" s="24">
        <f>IF(K244&gt;0,IF(AND(ROUND(K244+J245-ROUND(I$6+IF(I$5=$C245,$E$5+$E245,0),2),2)&gt;0,ROUND(K244+J245-ROUND(I$6+IF(I$5=$C245,$E$5+$E245,0),2),2)&lt;=L245,ROUND(K244+J245-ROUND(I$6+IF(I$5=$C245,$E$5+$E245,0),2),2)*10&lt;=ROUND(I$6+IF(I$5=$C245,$E$5+$E245,0),2)),ROUND(K244+J245,2),MIN(ROUND(I$6+IF(I$5=$C245,$E$5+$E245,0),2),ROUND(K244+J245,2))),0)</f>
        <v>0</v>
      </c>
      <c r="J245" s="24">
        <f>IF(K244&gt;0,ROUND(ROUND(K244*100,0)*ROUND(I$7*10000,0)/12000000,0)/100,0)</f>
        <v>0</v>
      </c>
      <c r="K245" s="24">
        <f>IF(K244&gt;0,ROUND(K244+J245-I245,2),0)</f>
        <v>0</v>
      </c>
      <c r="L245" s="24">
        <f>IF(K244&gt;0,ROUND(L244+ROUND(ROUND(L244*100,0)*ROUND(I$7*10000,0)/12000000,0)/100+0.02,2),0)</f>
        <v>0</v>
      </c>
      <c r="M245" s="24">
        <f>IF(O244&gt;0,IF(AND(ROUND(O244+N245-ROUND(M$6+IF(M$5=$C245,$E$5+$E245,0),2),2)&gt;0,ROUND(O244+N245-ROUND(M$6+IF(M$5=$C245,$E$5+$E245,0),2),2)&lt;=P245,ROUND(O244+N245-ROUND(M$6+IF(M$5=$C245,$E$5+$E245,0),2),2)*10&lt;=ROUND(M$6+IF(M$5=$C245,$E$5+$E245,0),2)),ROUND(O244+N245,2),MIN(ROUND(M$6+IF(M$5=$C245,$E$5+$E245,0),2),ROUND(O244+N245,2))),0)</f>
        <v>0</v>
      </c>
      <c r="N245" s="24">
        <f>IF(O244&gt;0,ROUND(ROUND(O244*100,0)*ROUND(M$7*10000,0)/12000000,0)/100,0)</f>
        <v>0</v>
      </c>
      <c r="O245" s="24">
        <f>IF(O244&gt;0,ROUND(O244+N245-M245,2),0)</f>
        <v>0</v>
      </c>
      <c r="P245" s="24">
        <f>IF(O244&gt;0,ROUND(P244+ROUND(ROUND(P244*100,0)*ROUND(M$7*10000,0)/12000000,0)/100+0.02,2),0)</f>
        <v>0</v>
      </c>
      <c r="Q245" s="24">
        <f>IF(S244&gt;0,IF(AND(ROUND(S244+R245-ROUND(Q$6+IF(Q$5=$C245,$E$5+$E245,0),2),2)&gt;0,ROUND(S244+R245-ROUND(Q$6+IF(Q$5=$C245,$E$5+$E245,0),2),2)&lt;=T245,ROUND(S244+R245-ROUND(Q$6+IF(Q$5=$C245,$E$5+$E245,0),2),2)*10&lt;=ROUND(Q$6+IF(Q$5=$C245,$E$5+$E245,0),2)),ROUND(S244+R245,2),MIN(ROUND(Q$6+IF(Q$5=$C245,$E$5+$E245,0),2),ROUND(S244+R245,2))),0)</f>
        <v>0</v>
      </c>
      <c r="R245" s="24">
        <f>IF(S244&gt;0,ROUND(ROUND(S244*100,0)*ROUND(Q$7*10000,0)/12000000,0)/100,0)</f>
        <v>0</v>
      </c>
      <c r="S245" s="24">
        <f>IF(S244&gt;0,ROUND(S244+R245-Q245,2),0)</f>
        <v>0</v>
      </c>
      <c r="T245" s="24">
        <f>IF(S244&gt;0,ROUND(T244+ROUND(ROUND(T244*100,0)*ROUND(Q$7*10000,0)/12000000,0)/100+0.02,2),0)</f>
        <v>0</v>
      </c>
      <c r="U245" s="24">
        <f>IF(W244&gt;0,IF(AND(ROUND(W244+V245-ROUND(U$6+IF(U$5=$C245,$E$5+$E245,0),2),2)&gt;0,ROUND(W244+V245-ROUND(U$6+IF(U$5=$C245,$E$5+$E245,0),2),2)&lt;=X245,ROUND(W244+V245-ROUND(U$6+IF(U$5=$C245,$E$5+$E245,0),2),2)*10&lt;=ROUND(U$6+IF(U$5=$C245,$E$5+$E245,0),2)),ROUND(W244+V245,2),MIN(ROUND(U$6+IF(U$5=$C245,$E$5+$E245,0),2),ROUND(W244+V245,2))),0)</f>
        <v>0</v>
      </c>
      <c r="V245" s="24">
        <f>IF(W244&gt;0,ROUND(ROUND(W244*100,0)*ROUND(U$7*10000,0)/12000000,0)/100,0)</f>
        <v>0</v>
      </c>
      <c r="W245" s="24">
        <f>IF(W244&gt;0,ROUND(W244+V245-U245,2),0)</f>
        <v>0</v>
      </c>
      <c r="X245" s="24">
        <f>IF(W244&gt;0,ROUND(X244+ROUND(ROUND(X244*100,0)*ROUND(U$7*10000,0)/12000000,0)/100+0.02,2),0)</f>
        <v>0</v>
      </c>
      <c r="Y245" s="24">
        <f>IF(AA244&gt;0,IF(AND(ROUND(AA244+Z245-ROUND(Y$6+IF(Y$5=$C245,$E$5+$E245,0),2),2)&gt;0,ROUND(AA244+Z245-ROUND(Y$6+IF(Y$5=$C245,$E$5+$E245,0),2),2)&lt;=AB245,ROUND(AA244+Z245-ROUND(Y$6+IF(Y$5=$C245,$E$5+$E245,0),2),2)*10&lt;=ROUND(Y$6+IF(Y$5=$C245,$E$5+$E245,0),2)),ROUND(AA244+Z245,2),MIN(ROUND(Y$6+IF(Y$5=$C245,$E$5+$E245,0),2),ROUND(AA244+Z245,2))),0)</f>
        <v>0</v>
      </c>
      <c r="Z245" s="24">
        <f>IF(AA244&gt;0,ROUND(ROUND(AA244*100,0)*ROUND(Y$7*10000,0)/12000000,0)/100,0)</f>
        <v>0</v>
      </c>
      <c r="AA245" s="24">
        <f>IF(AA244&gt;0,ROUND(AA244+Z245-Y245,2),0)</f>
        <v>0</v>
      </c>
      <c r="AB245" s="24">
        <f>IF(AA244&gt;0,ROUND(AB244+ROUND(ROUND(AB244*100,0)*ROUND(Y$7*10000,0)/12000000,0)/100+0.02,2),0)</f>
        <v>0</v>
      </c>
      <c r="AC245" s="24">
        <f>IF(AE244&gt;0,IF(AND(ROUND(AE244+AD245-ROUND(AC$6+IF(AC$5=$C245,$E$5+$E245,0),2),2)&gt;0,ROUND(AE244+AD245-ROUND(AC$6+IF(AC$5=$C245,$E$5+$E245,0),2),2)&lt;=AF245,ROUND(AE244+AD245-ROUND(AC$6+IF(AC$5=$C245,$E$5+$E245,0),2),2)*10&lt;=ROUND(AC$6+IF(AC$5=$C245,$E$5+$E245,0),2)),ROUND(AE244+AD245,2),MIN(ROUND(AC$6+IF(AC$5=$C245,$E$5+$E245,0),2),ROUND(AE244+AD245,2))),0)</f>
        <v>0</v>
      </c>
      <c r="AD245" s="24">
        <f>IF(AE244&gt;0,ROUND(ROUND(AE244*100,0)*ROUND(AC$7*10000,0)/12000000,0)/100,0)</f>
        <v>0</v>
      </c>
      <c r="AE245" s="24">
        <f>IF(AE244&gt;0,ROUND(AE244+AD245-AC245,2),0)</f>
        <v>0</v>
      </c>
      <c r="AF245" s="24">
        <f>IF(AE244&gt;0,ROUND(AF244+ROUND(ROUND(AF244*100,0)*ROUND(AC$7*10000,0)/12000000,0)/100+0.02,2),0)</f>
        <v>0</v>
      </c>
      <c r="AG245" s="24">
        <f>IF(AI244&gt;0,IF(AND(ROUND(AI244+AH245-ROUND(AG$6+IF(AG$5=$C245,$E$5+$E245,0),2),2)&gt;0,ROUND(AI244+AH245-ROUND(AG$6+IF(AG$5=$C245,$E$5+$E245,0),2),2)&lt;=AJ245,ROUND(AI244+AH245-ROUND(AG$6+IF(AG$5=$C245,$E$5+$E245,0),2),2)*10&lt;=ROUND(AG$6+IF(AG$5=$C245,$E$5+$E245,0),2)),ROUND(AI244+AH245,2),MIN(ROUND(AG$6+IF(AG$5=$C245,$E$5+$E245,0),2),ROUND(AI244+AH245,2))),0)</f>
        <v>0</v>
      </c>
      <c r="AH245" s="24">
        <f>IF(AI244&gt;0,ROUND(ROUND(AI244*100,0)*ROUND(AG$7*10000,0)/12000000,0)/100,0)</f>
        <v>0</v>
      </c>
      <c r="AI245" s="24">
        <f>IF(AI244&gt;0,ROUND(AI244+AH245-AG245,2),0)</f>
        <v>0</v>
      </c>
      <c r="AJ245" s="24">
        <f>IF(AI244&gt;0,ROUND(AJ244+ROUND(ROUND(AJ244*100,0)*ROUND(AG$7*10000,0)/12000000,0)/100+0.02,2),0)</f>
        <v>0</v>
      </c>
      <c r="AK245" s="24">
        <f>IF(AM244&gt;0,IF(AND(ROUND(AM244+AL245-ROUND(AK$6+IF(AK$5=$C245,$E$5+$E245,0),2),2)&gt;0,ROUND(AM244+AL245-ROUND(AK$6+IF(AK$5=$C245,$E$5+$E245,0),2),2)&lt;=AN245,ROUND(AM244+AL245-ROUND(AK$6+IF(AK$5=$C245,$E$5+$E245,0),2),2)*10&lt;=ROUND(AK$6+IF(AK$5=$C245,$E$5+$E245,0),2)),ROUND(AM244+AL245,2),MIN(ROUND(AK$6+IF(AK$5=$C245,$E$5+$E245,0),2),ROUND(AM244+AL245,2))),0)</f>
        <v>0</v>
      </c>
      <c r="AL245" s="24">
        <f>IF(AM244&gt;0,ROUND(ROUND(AM244*100,0)*ROUND(AK$7*10000,0)/12000000,0)/100,0)</f>
        <v>0</v>
      </c>
      <c r="AM245" s="24">
        <f>IF(AM244&gt;0,ROUND(AM244+AL245-AK245,2),0)</f>
        <v>0</v>
      </c>
      <c r="AN245" s="24">
        <f>IF(AM244&gt;0,ROUND(AN244+ROUND(ROUND(AN244*100,0)*ROUND(AK$7*10000,0)/12000000,0)/100+0.02,2),0)</f>
        <v>0</v>
      </c>
      <c r="AO245" s="24">
        <f>IF(AQ244&gt;0,IF(AND(ROUND(AQ244+AP245-ROUND(AO$6+IF(AO$5=$C245,$E$5+$E245,0),2),2)&gt;0,ROUND(AQ244+AP245-ROUND(AO$6+IF(AO$5=$C245,$E$5+$E245,0),2),2)&lt;=AR245,ROUND(AQ244+AP245-ROUND(AO$6+IF(AO$5=$C245,$E$5+$E245,0),2),2)*10&lt;=ROUND(AO$6+IF(AO$5=$C245,$E$5+$E245,0),2)),ROUND(AQ244+AP245,2),MIN(ROUND(AO$6+IF(AO$5=$C245,$E$5+$E245,0),2),ROUND(AQ244+AP245,2))),0)</f>
        <v>0</v>
      </c>
      <c r="AP245" s="24">
        <f>IF(AQ244&gt;0,ROUND(ROUND(AQ244*100,0)*ROUND(AO$7*10000,0)/12000000,0)/100,0)</f>
        <v>0</v>
      </c>
      <c r="AQ245" s="24">
        <f>IF(AQ244&gt;0,ROUND(AQ244+AP245-AO245,2),0)</f>
        <v>0</v>
      </c>
      <c r="AR245" s="24">
        <f>IF(AQ244&gt;0,ROUND(AR244+ROUND(ROUND(AR244*100,0)*ROUND(AO$7*10000,0)/12000000,0)/100+0.02,2),0)</f>
        <v>0</v>
      </c>
      <c r="AS245" s="24">
        <f>IF(AU244&gt;0,IF(AND(ROUND(AU244+AT245-ROUND(AS$6+IF(AS$5=$C245,$E$5+$E245,0),2),2)&gt;0,ROUND(AU244+AT245-ROUND(AS$6+IF(AS$5=$C245,$E$5+$E245,0),2),2)&lt;=AV245,ROUND(AU244+AT245-ROUND(AS$6+IF(AS$5=$C245,$E$5+$E245,0),2),2)*10&lt;=ROUND(AS$6+IF(AS$5=$C245,$E$5+$E245,0),2)),ROUND(AU244+AT245,2),MIN(ROUND(AS$6+IF(AS$5=$C245,$E$5+$E245,0),2),ROUND(AU244+AT245,2))),0)</f>
        <v>0</v>
      </c>
      <c r="AT245" s="24">
        <f>IF(AU244&gt;0,ROUND(ROUND(AU244*100,0)*ROUND(AS$7*10000,0)/12000000,0)/100,0)</f>
        <v>0</v>
      </c>
      <c r="AU245" s="24">
        <f>IF(AU244&gt;0,ROUND(AU244+AT245-AS245,2),0)</f>
        <v>0</v>
      </c>
      <c r="AV245" s="24">
        <f>IF(AU244&gt;0,ROUND(AV244+ROUND(ROUND(AV244*100,0)*ROUND(AS$7*10000,0)/12000000,0)/100+0.02,2),0)</f>
        <v>0</v>
      </c>
    </row>
    <row r="246" spans="1:48" x14ac:dyDescent="0.25">
      <c r="A246" s="17" t="str">
        <f>IF(F246&gt;0,236,"")</f>
        <v/>
      </c>
      <c r="B246" s="18" t="str">
        <f>IF(F246&gt;0,EDATE($E$6,236),"")</f>
        <v/>
      </c>
      <c r="C246" s="21">
        <f>IF(H245&gt;0,MIN(IF(K245&gt;0,I$5,99),IF(O245&gt;0,M$5,99),IF(S245&gt;0,Q$5,99),IF(W245&gt;0,U$5,99),IF(AA245&gt;0,Y$5,99),IF(AE245&gt;0,AC$5,99),IF(AI245&gt;0,AG$5,99),IF(AM245&gt;0,AK$5,99),IF(AQ245&gt;0,AO$5,99),IF(AU245&gt;0,AS$5,99)),0)</f>
        <v>0</v>
      </c>
      <c r="D246" t="str">
        <f>IF(C246&gt;0,INDEX($I$4:$AV$4,1,MATCH(C246,$I$5:$AV$5,0)),"")</f>
        <v/>
      </c>
      <c r="E246" s="24">
        <f>ROUND(IF(AND(I$8&gt;0,K245=0),I$6,0)+IF(AND(M$8&gt;0,O245=0),M$6,0)+IF(AND(Q$8&gt;0,S245=0),Q$6,0)+IF(AND(U$8&gt;0,W245=0),U$6,0)+IF(AND(Y$8&gt;0,AA245=0),Y$6,0)+IF(AND(AC$8&gt;0,AE245=0),AC$6,0)+IF(AND(AG$8&gt;0,AI245=0),AG$6,0)+IF(AND(AK$8&gt;0,AM245=0),AK$6,0)+IF(AND(AO$8&gt;0,AQ245=0),AO$6,0)+IF(AND(AS$8&gt;0,AU245=0),AS$6,0),2)</f>
        <v>325</v>
      </c>
      <c r="F246" s="24">
        <f>ROUND(I246+M246+Q246+U246+Y246+AC246+AG246+AK246+AO246+AS246,2)</f>
        <v>0</v>
      </c>
      <c r="G246" s="24">
        <f>ROUND(J246+N246+R246+V246+Z246+AD246+AH246+AL246+AP246+AT246,2)</f>
        <v>0</v>
      </c>
      <c r="H246" s="24">
        <f>ROUND(K246+O246+S246+W246+AA246+AE246+AI246+AM246+AQ246+AU246,2)</f>
        <v>0</v>
      </c>
      <c r="I246" s="24">
        <f>IF(K245&gt;0,IF(AND(ROUND(K245+J246-ROUND(I$6+IF(I$5=$C246,$E$5+$E246,0),2),2)&gt;0,ROUND(K245+J246-ROUND(I$6+IF(I$5=$C246,$E$5+$E246,0),2),2)&lt;=L246,ROUND(K245+J246-ROUND(I$6+IF(I$5=$C246,$E$5+$E246,0),2),2)*10&lt;=ROUND(I$6+IF(I$5=$C246,$E$5+$E246,0),2)),ROUND(K245+J246,2),MIN(ROUND(I$6+IF(I$5=$C246,$E$5+$E246,0),2),ROUND(K245+J246,2))),0)</f>
        <v>0</v>
      </c>
      <c r="J246" s="24">
        <f>IF(K245&gt;0,ROUND(ROUND(K245*100,0)*ROUND(I$7*10000,0)/12000000,0)/100,0)</f>
        <v>0</v>
      </c>
      <c r="K246" s="24">
        <f>IF(K245&gt;0,ROUND(K245+J246-I246,2),0)</f>
        <v>0</v>
      </c>
      <c r="L246" s="24">
        <f>IF(K245&gt;0,ROUND(L245+ROUND(ROUND(L245*100,0)*ROUND(I$7*10000,0)/12000000,0)/100+0.02,2),0)</f>
        <v>0</v>
      </c>
      <c r="M246" s="24">
        <f>IF(O245&gt;0,IF(AND(ROUND(O245+N246-ROUND(M$6+IF(M$5=$C246,$E$5+$E246,0),2),2)&gt;0,ROUND(O245+N246-ROUND(M$6+IF(M$5=$C246,$E$5+$E246,0),2),2)&lt;=P246,ROUND(O245+N246-ROUND(M$6+IF(M$5=$C246,$E$5+$E246,0),2),2)*10&lt;=ROUND(M$6+IF(M$5=$C246,$E$5+$E246,0),2)),ROUND(O245+N246,2),MIN(ROUND(M$6+IF(M$5=$C246,$E$5+$E246,0),2),ROUND(O245+N246,2))),0)</f>
        <v>0</v>
      </c>
      <c r="N246" s="24">
        <f>IF(O245&gt;0,ROUND(ROUND(O245*100,0)*ROUND(M$7*10000,0)/12000000,0)/100,0)</f>
        <v>0</v>
      </c>
      <c r="O246" s="24">
        <f>IF(O245&gt;0,ROUND(O245+N246-M246,2),0)</f>
        <v>0</v>
      </c>
      <c r="P246" s="24">
        <f>IF(O245&gt;0,ROUND(P245+ROUND(ROUND(P245*100,0)*ROUND(M$7*10000,0)/12000000,0)/100+0.02,2),0)</f>
        <v>0</v>
      </c>
      <c r="Q246" s="24">
        <f>IF(S245&gt;0,IF(AND(ROUND(S245+R246-ROUND(Q$6+IF(Q$5=$C246,$E$5+$E246,0),2),2)&gt;0,ROUND(S245+R246-ROUND(Q$6+IF(Q$5=$C246,$E$5+$E246,0),2),2)&lt;=T246,ROUND(S245+R246-ROUND(Q$6+IF(Q$5=$C246,$E$5+$E246,0),2),2)*10&lt;=ROUND(Q$6+IF(Q$5=$C246,$E$5+$E246,0),2)),ROUND(S245+R246,2),MIN(ROUND(Q$6+IF(Q$5=$C246,$E$5+$E246,0),2),ROUND(S245+R246,2))),0)</f>
        <v>0</v>
      </c>
      <c r="R246" s="24">
        <f>IF(S245&gt;0,ROUND(ROUND(S245*100,0)*ROUND(Q$7*10000,0)/12000000,0)/100,0)</f>
        <v>0</v>
      </c>
      <c r="S246" s="24">
        <f>IF(S245&gt;0,ROUND(S245+R246-Q246,2),0)</f>
        <v>0</v>
      </c>
      <c r="T246" s="24">
        <f>IF(S245&gt;0,ROUND(T245+ROUND(ROUND(T245*100,0)*ROUND(Q$7*10000,0)/12000000,0)/100+0.02,2),0)</f>
        <v>0</v>
      </c>
      <c r="U246" s="24">
        <f>IF(W245&gt;0,IF(AND(ROUND(W245+V246-ROUND(U$6+IF(U$5=$C246,$E$5+$E246,0),2),2)&gt;0,ROUND(W245+V246-ROUND(U$6+IF(U$5=$C246,$E$5+$E246,0),2),2)&lt;=X246,ROUND(W245+V246-ROUND(U$6+IF(U$5=$C246,$E$5+$E246,0),2),2)*10&lt;=ROUND(U$6+IF(U$5=$C246,$E$5+$E246,0),2)),ROUND(W245+V246,2),MIN(ROUND(U$6+IF(U$5=$C246,$E$5+$E246,0),2),ROUND(W245+V246,2))),0)</f>
        <v>0</v>
      </c>
      <c r="V246" s="24">
        <f>IF(W245&gt;0,ROUND(ROUND(W245*100,0)*ROUND(U$7*10000,0)/12000000,0)/100,0)</f>
        <v>0</v>
      </c>
      <c r="W246" s="24">
        <f>IF(W245&gt;0,ROUND(W245+V246-U246,2),0)</f>
        <v>0</v>
      </c>
      <c r="X246" s="24">
        <f>IF(W245&gt;0,ROUND(X245+ROUND(ROUND(X245*100,0)*ROUND(U$7*10000,0)/12000000,0)/100+0.02,2),0)</f>
        <v>0</v>
      </c>
      <c r="Y246" s="24">
        <f>IF(AA245&gt;0,IF(AND(ROUND(AA245+Z246-ROUND(Y$6+IF(Y$5=$C246,$E$5+$E246,0),2),2)&gt;0,ROUND(AA245+Z246-ROUND(Y$6+IF(Y$5=$C246,$E$5+$E246,0),2),2)&lt;=AB246,ROUND(AA245+Z246-ROUND(Y$6+IF(Y$5=$C246,$E$5+$E246,0),2),2)*10&lt;=ROUND(Y$6+IF(Y$5=$C246,$E$5+$E246,0),2)),ROUND(AA245+Z246,2),MIN(ROUND(Y$6+IF(Y$5=$C246,$E$5+$E246,0),2),ROUND(AA245+Z246,2))),0)</f>
        <v>0</v>
      </c>
      <c r="Z246" s="24">
        <f>IF(AA245&gt;0,ROUND(ROUND(AA245*100,0)*ROUND(Y$7*10000,0)/12000000,0)/100,0)</f>
        <v>0</v>
      </c>
      <c r="AA246" s="24">
        <f>IF(AA245&gt;0,ROUND(AA245+Z246-Y246,2),0)</f>
        <v>0</v>
      </c>
      <c r="AB246" s="24">
        <f>IF(AA245&gt;0,ROUND(AB245+ROUND(ROUND(AB245*100,0)*ROUND(Y$7*10000,0)/12000000,0)/100+0.02,2),0)</f>
        <v>0</v>
      </c>
      <c r="AC246" s="24">
        <f>IF(AE245&gt;0,IF(AND(ROUND(AE245+AD246-ROUND(AC$6+IF(AC$5=$C246,$E$5+$E246,0),2),2)&gt;0,ROUND(AE245+AD246-ROUND(AC$6+IF(AC$5=$C246,$E$5+$E246,0),2),2)&lt;=AF246,ROUND(AE245+AD246-ROUND(AC$6+IF(AC$5=$C246,$E$5+$E246,0),2),2)*10&lt;=ROUND(AC$6+IF(AC$5=$C246,$E$5+$E246,0),2)),ROUND(AE245+AD246,2),MIN(ROUND(AC$6+IF(AC$5=$C246,$E$5+$E246,0),2),ROUND(AE245+AD246,2))),0)</f>
        <v>0</v>
      </c>
      <c r="AD246" s="24">
        <f>IF(AE245&gt;0,ROUND(ROUND(AE245*100,0)*ROUND(AC$7*10000,0)/12000000,0)/100,0)</f>
        <v>0</v>
      </c>
      <c r="AE246" s="24">
        <f>IF(AE245&gt;0,ROUND(AE245+AD246-AC246,2),0)</f>
        <v>0</v>
      </c>
      <c r="AF246" s="24">
        <f>IF(AE245&gt;0,ROUND(AF245+ROUND(ROUND(AF245*100,0)*ROUND(AC$7*10000,0)/12000000,0)/100+0.02,2),0)</f>
        <v>0</v>
      </c>
      <c r="AG246" s="24">
        <f>IF(AI245&gt;0,IF(AND(ROUND(AI245+AH246-ROUND(AG$6+IF(AG$5=$C246,$E$5+$E246,0),2),2)&gt;0,ROUND(AI245+AH246-ROUND(AG$6+IF(AG$5=$C246,$E$5+$E246,0),2),2)&lt;=AJ246,ROUND(AI245+AH246-ROUND(AG$6+IF(AG$5=$C246,$E$5+$E246,0),2),2)*10&lt;=ROUND(AG$6+IF(AG$5=$C246,$E$5+$E246,0),2)),ROUND(AI245+AH246,2),MIN(ROUND(AG$6+IF(AG$5=$C246,$E$5+$E246,0),2),ROUND(AI245+AH246,2))),0)</f>
        <v>0</v>
      </c>
      <c r="AH246" s="24">
        <f>IF(AI245&gt;0,ROUND(ROUND(AI245*100,0)*ROUND(AG$7*10000,0)/12000000,0)/100,0)</f>
        <v>0</v>
      </c>
      <c r="AI246" s="24">
        <f>IF(AI245&gt;0,ROUND(AI245+AH246-AG246,2),0)</f>
        <v>0</v>
      </c>
      <c r="AJ246" s="24">
        <f>IF(AI245&gt;0,ROUND(AJ245+ROUND(ROUND(AJ245*100,0)*ROUND(AG$7*10000,0)/12000000,0)/100+0.02,2),0)</f>
        <v>0</v>
      </c>
      <c r="AK246" s="24">
        <f>IF(AM245&gt;0,IF(AND(ROUND(AM245+AL246-ROUND(AK$6+IF(AK$5=$C246,$E$5+$E246,0),2),2)&gt;0,ROUND(AM245+AL246-ROUND(AK$6+IF(AK$5=$C246,$E$5+$E246,0),2),2)&lt;=AN246,ROUND(AM245+AL246-ROUND(AK$6+IF(AK$5=$C246,$E$5+$E246,0),2),2)*10&lt;=ROUND(AK$6+IF(AK$5=$C246,$E$5+$E246,0),2)),ROUND(AM245+AL246,2),MIN(ROUND(AK$6+IF(AK$5=$C246,$E$5+$E246,0),2),ROUND(AM245+AL246,2))),0)</f>
        <v>0</v>
      </c>
      <c r="AL246" s="24">
        <f>IF(AM245&gt;0,ROUND(ROUND(AM245*100,0)*ROUND(AK$7*10000,0)/12000000,0)/100,0)</f>
        <v>0</v>
      </c>
      <c r="AM246" s="24">
        <f>IF(AM245&gt;0,ROUND(AM245+AL246-AK246,2),0)</f>
        <v>0</v>
      </c>
      <c r="AN246" s="24">
        <f>IF(AM245&gt;0,ROUND(AN245+ROUND(ROUND(AN245*100,0)*ROUND(AK$7*10000,0)/12000000,0)/100+0.02,2),0)</f>
        <v>0</v>
      </c>
      <c r="AO246" s="24">
        <f>IF(AQ245&gt;0,IF(AND(ROUND(AQ245+AP246-ROUND(AO$6+IF(AO$5=$C246,$E$5+$E246,0),2),2)&gt;0,ROUND(AQ245+AP246-ROUND(AO$6+IF(AO$5=$C246,$E$5+$E246,0),2),2)&lt;=AR246,ROUND(AQ245+AP246-ROUND(AO$6+IF(AO$5=$C246,$E$5+$E246,0),2),2)*10&lt;=ROUND(AO$6+IF(AO$5=$C246,$E$5+$E246,0),2)),ROUND(AQ245+AP246,2),MIN(ROUND(AO$6+IF(AO$5=$C246,$E$5+$E246,0),2),ROUND(AQ245+AP246,2))),0)</f>
        <v>0</v>
      </c>
      <c r="AP246" s="24">
        <f>IF(AQ245&gt;0,ROUND(ROUND(AQ245*100,0)*ROUND(AO$7*10000,0)/12000000,0)/100,0)</f>
        <v>0</v>
      </c>
      <c r="AQ246" s="24">
        <f>IF(AQ245&gt;0,ROUND(AQ245+AP246-AO246,2),0)</f>
        <v>0</v>
      </c>
      <c r="AR246" s="24">
        <f>IF(AQ245&gt;0,ROUND(AR245+ROUND(ROUND(AR245*100,0)*ROUND(AO$7*10000,0)/12000000,0)/100+0.02,2),0)</f>
        <v>0</v>
      </c>
      <c r="AS246" s="24">
        <f>IF(AU245&gt;0,IF(AND(ROUND(AU245+AT246-ROUND(AS$6+IF(AS$5=$C246,$E$5+$E246,0),2),2)&gt;0,ROUND(AU245+AT246-ROUND(AS$6+IF(AS$5=$C246,$E$5+$E246,0),2),2)&lt;=AV246,ROUND(AU245+AT246-ROUND(AS$6+IF(AS$5=$C246,$E$5+$E246,0),2),2)*10&lt;=ROUND(AS$6+IF(AS$5=$C246,$E$5+$E246,0),2)),ROUND(AU245+AT246,2),MIN(ROUND(AS$6+IF(AS$5=$C246,$E$5+$E246,0),2),ROUND(AU245+AT246,2))),0)</f>
        <v>0</v>
      </c>
      <c r="AT246" s="24">
        <f>IF(AU245&gt;0,ROUND(ROUND(AU245*100,0)*ROUND(AS$7*10000,0)/12000000,0)/100,0)</f>
        <v>0</v>
      </c>
      <c r="AU246" s="24">
        <f>IF(AU245&gt;0,ROUND(AU245+AT246-AS246,2),0)</f>
        <v>0</v>
      </c>
      <c r="AV246" s="24">
        <f>IF(AU245&gt;0,ROUND(AV245+ROUND(ROUND(AV245*100,0)*ROUND(AS$7*10000,0)/12000000,0)/100+0.02,2),0)</f>
        <v>0</v>
      </c>
    </row>
    <row r="247" spans="1:48" x14ac:dyDescent="0.25">
      <c r="A247" s="17" t="str">
        <f>IF(F247&gt;0,237,"")</f>
        <v/>
      </c>
      <c r="B247" s="18" t="str">
        <f>IF(F247&gt;0,EDATE($E$6,237),"")</f>
        <v/>
      </c>
      <c r="C247" s="21">
        <f>IF(H246&gt;0,MIN(IF(K246&gt;0,I$5,99),IF(O246&gt;0,M$5,99),IF(S246&gt;0,Q$5,99),IF(W246&gt;0,U$5,99),IF(AA246&gt;0,Y$5,99),IF(AE246&gt;0,AC$5,99),IF(AI246&gt;0,AG$5,99),IF(AM246&gt;0,AK$5,99),IF(AQ246&gt;0,AO$5,99),IF(AU246&gt;0,AS$5,99)),0)</f>
        <v>0</v>
      </c>
      <c r="D247" t="str">
        <f>IF(C247&gt;0,INDEX($I$4:$AV$4,1,MATCH(C247,$I$5:$AV$5,0)),"")</f>
        <v/>
      </c>
      <c r="E247" s="24">
        <f>ROUND(IF(AND(I$8&gt;0,K246=0),I$6,0)+IF(AND(M$8&gt;0,O246=0),M$6,0)+IF(AND(Q$8&gt;0,S246=0),Q$6,0)+IF(AND(U$8&gt;0,W246=0),U$6,0)+IF(AND(Y$8&gt;0,AA246=0),Y$6,0)+IF(AND(AC$8&gt;0,AE246=0),AC$6,0)+IF(AND(AG$8&gt;0,AI246=0),AG$6,0)+IF(AND(AK$8&gt;0,AM246=0),AK$6,0)+IF(AND(AO$8&gt;0,AQ246=0),AO$6,0)+IF(AND(AS$8&gt;0,AU246=0),AS$6,0),2)</f>
        <v>325</v>
      </c>
      <c r="F247" s="24">
        <f>ROUND(I247+M247+Q247+U247+Y247+AC247+AG247+AK247+AO247+AS247,2)</f>
        <v>0</v>
      </c>
      <c r="G247" s="24">
        <f>ROUND(J247+N247+R247+V247+Z247+AD247+AH247+AL247+AP247+AT247,2)</f>
        <v>0</v>
      </c>
      <c r="H247" s="24">
        <f>ROUND(K247+O247+S247+W247+AA247+AE247+AI247+AM247+AQ247+AU247,2)</f>
        <v>0</v>
      </c>
      <c r="I247" s="24">
        <f>IF(K246&gt;0,IF(AND(ROUND(K246+J247-ROUND(I$6+IF(I$5=$C247,$E$5+$E247,0),2),2)&gt;0,ROUND(K246+J247-ROUND(I$6+IF(I$5=$C247,$E$5+$E247,0),2),2)&lt;=L247,ROUND(K246+J247-ROUND(I$6+IF(I$5=$C247,$E$5+$E247,0),2),2)*10&lt;=ROUND(I$6+IF(I$5=$C247,$E$5+$E247,0),2)),ROUND(K246+J247,2),MIN(ROUND(I$6+IF(I$5=$C247,$E$5+$E247,0),2),ROUND(K246+J247,2))),0)</f>
        <v>0</v>
      </c>
      <c r="J247" s="24">
        <f>IF(K246&gt;0,ROUND(ROUND(K246*100,0)*ROUND(I$7*10000,0)/12000000,0)/100,0)</f>
        <v>0</v>
      </c>
      <c r="K247" s="24">
        <f>IF(K246&gt;0,ROUND(K246+J247-I247,2),0)</f>
        <v>0</v>
      </c>
      <c r="L247" s="24">
        <f>IF(K246&gt;0,ROUND(L246+ROUND(ROUND(L246*100,0)*ROUND(I$7*10000,0)/12000000,0)/100+0.02,2),0)</f>
        <v>0</v>
      </c>
      <c r="M247" s="24">
        <f>IF(O246&gt;0,IF(AND(ROUND(O246+N247-ROUND(M$6+IF(M$5=$C247,$E$5+$E247,0),2),2)&gt;0,ROUND(O246+N247-ROUND(M$6+IF(M$5=$C247,$E$5+$E247,0),2),2)&lt;=P247,ROUND(O246+N247-ROUND(M$6+IF(M$5=$C247,$E$5+$E247,0),2),2)*10&lt;=ROUND(M$6+IF(M$5=$C247,$E$5+$E247,0),2)),ROUND(O246+N247,2),MIN(ROUND(M$6+IF(M$5=$C247,$E$5+$E247,0),2),ROUND(O246+N247,2))),0)</f>
        <v>0</v>
      </c>
      <c r="N247" s="24">
        <f>IF(O246&gt;0,ROUND(ROUND(O246*100,0)*ROUND(M$7*10000,0)/12000000,0)/100,0)</f>
        <v>0</v>
      </c>
      <c r="O247" s="24">
        <f>IF(O246&gt;0,ROUND(O246+N247-M247,2),0)</f>
        <v>0</v>
      </c>
      <c r="P247" s="24">
        <f>IF(O246&gt;0,ROUND(P246+ROUND(ROUND(P246*100,0)*ROUND(M$7*10000,0)/12000000,0)/100+0.02,2),0)</f>
        <v>0</v>
      </c>
      <c r="Q247" s="24">
        <f>IF(S246&gt;0,IF(AND(ROUND(S246+R247-ROUND(Q$6+IF(Q$5=$C247,$E$5+$E247,0),2),2)&gt;0,ROUND(S246+R247-ROUND(Q$6+IF(Q$5=$C247,$E$5+$E247,0),2),2)&lt;=T247,ROUND(S246+R247-ROUND(Q$6+IF(Q$5=$C247,$E$5+$E247,0),2),2)*10&lt;=ROUND(Q$6+IF(Q$5=$C247,$E$5+$E247,0),2)),ROUND(S246+R247,2),MIN(ROUND(Q$6+IF(Q$5=$C247,$E$5+$E247,0),2),ROUND(S246+R247,2))),0)</f>
        <v>0</v>
      </c>
      <c r="R247" s="24">
        <f>IF(S246&gt;0,ROUND(ROUND(S246*100,0)*ROUND(Q$7*10000,0)/12000000,0)/100,0)</f>
        <v>0</v>
      </c>
      <c r="S247" s="24">
        <f>IF(S246&gt;0,ROUND(S246+R247-Q247,2),0)</f>
        <v>0</v>
      </c>
      <c r="T247" s="24">
        <f>IF(S246&gt;0,ROUND(T246+ROUND(ROUND(T246*100,0)*ROUND(Q$7*10000,0)/12000000,0)/100+0.02,2),0)</f>
        <v>0</v>
      </c>
      <c r="U247" s="24">
        <f>IF(W246&gt;0,IF(AND(ROUND(W246+V247-ROUND(U$6+IF(U$5=$C247,$E$5+$E247,0),2),2)&gt;0,ROUND(W246+V247-ROUND(U$6+IF(U$5=$C247,$E$5+$E247,0),2),2)&lt;=X247,ROUND(W246+V247-ROUND(U$6+IF(U$5=$C247,$E$5+$E247,0),2),2)*10&lt;=ROUND(U$6+IF(U$5=$C247,$E$5+$E247,0),2)),ROUND(W246+V247,2),MIN(ROUND(U$6+IF(U$5=$C247,$E$5+$E247,0),2),ROUND(W246+V247,2))),0)</f>
        <v>0</v>
      </c>
      <c r="V247" s="24">
        <f>IF(W246&gt;0,ROUND(ROUND(W246*100,0)*ROUND(U$7*10000,0)/12000000,0)/100,0)</f>
        <v>0</v>
      </c>
      <c r="W247" s="24">
        <f>IF(W246&gt;0,ROUND(W246+V247-U247,2),0)</f>
        <v>0</v>
      </c>
      <c r="X247" s="24">
        <f>IF(W246&gt;0,ROUND(X246+ROUND(ROUND(X246*100,0)*ROUND(U$7*10000,0)/12000000,0)/100+0.02,2),0)</f>
        <v>0</v>
      </c>
      <c r="Y247" s="24">
        <f>IF(AA246&gt;0,IF(AND(ROUND(AA246+Z247-ROUND(Y$6+IF(Y$5=$C247,$E$5+$E247,0),2),2)&gt;0,ROUND(AA246+Z247-ROUND(Y$6+IF(Y$5=$C247,$E$5+$E247,0),2),2)&lt;=AB247,ROUND(AA246+Z247-ROUND(Y$6+IF(Y$5=$C247,$E$5+$E247,0),2),2)*10&lt;=ROUND(Y$6+IF(Y$5=$C247,$E$5+$E247,0),2)),ROUND(AA246+Z247,2),MIN(ROUND(Y$6+IF(Y$5=$C247,$E$5+$E247,0),2),ROUND(AA246+Z247,2))),0)</f>
        <v>0</v>
      </c>
      <c r="Z247" s="24">
        <f>IF(AA246&gt;0,ROUND(ROUND(AA246*100,0)*ROUND(Y$7*10000,0)/12000000,0)/100,0)</f>
        <v>0</v>
      </c>
      <c r="AA247" s="24">
        <f>IF(AA246&gt;0,ROUND(AA246+Z247-Y247,2),0)</f>
        <v>0</v>
      </c>
      <c r="AB247" s="24">
        <f>IF(AA246&gt;0,ROUND(AB246+ROUND(ROUND(AB246*100,0)*ROUND(Y$7*10000,0)/12000000,0)/100+0.02,2),0)</f>
        <v>0</v>
      </c>
      <c r="AC247" s="24">
        <f>IF(AE246&gt;0,IF(AND(ROUND(AE246+AD247-ROUND(AC$6+IF(AC$5=$C247,$E$5+$E247,0),2),2)&gt;0,ROUND(AE246+AD247-ROUND(AC$6+IF(AC$5=$C247,$E$5+$E247,0),2),2)&lt;=AF247,ROUND(AE246+AD247-ROUND(AC$6+IF(AC$5=$C247,$E$5+$E247,0),2),2)*10&lt;=ROUND(AC$6+IF(AC$5=$C247,$E$5+$E247,0),2)),ROUND(AE246+AD247,2),MIN(ROUND(AC$6+IF(AC$5=$C247,$E$5+$E247,0),2),ROUND(AE246+AD247,2))),0)</f>
        <v>0</v>
      </c>
      <c r="AD247" s="24">
        <f>IF(AE246&gt;0,ROUND(ROUND(AE246*100,0)*ROUND(AC$7*10000,0)/12000000,0)/100,0)</f>
        <v>0</v>
      </c>
      <c r="AE247" s="24">
        <f>IF(AE246&gt;0,ROUND(AE246+AD247-AC247,2),0)</f>
        <v>0</v>
      </c>
      <c r="AF247" s="24">
        <f>IF(AE246&gt;0,ROUND(AF246+ROUND(ROUND(AF246*100,0)*ROUND(AC$7*10000,0)/12000000,0)/100+0.02,2),0)</f>
        <v>0</v>
      </c>
      <c r="AG247" s="24">
        <f>IF(AI246&gt;0,IF(AND(ROUND(AI246+AH247-ROUND(AG$6+IF(AG$5=$C247,$E$5+$E247,0),2),2)&gt;0,ROUND(AI246+AH247-ROUND(AG$6+IF(AG$5=$C247,$E$5+$E247,0),2),2)&lt;=AJ247,ROUND(AI246+AH247-ROUND(AG$6+IF(AG$5=$C247,$E$5+$E247,0),2),2)*10&lt;=ROUND(AG$6+IF(AG$5=$C247,$E$5+$E247,0),2)),ROUND(AI246+AH247,2),MIN(ROUND(AG$6+IF(AG$5=$C247,$E$5+$E247,0),2),ROUND(AI246+AH247,2))),0)</f>
        <v>0</v>
      </c>
      <c r="AH247" s="24">
        <f>IF(AI246&gt;0,ROUND(ROUND(AI246*100,0)*ROUND(AG$7*10000,0)/12000000,0)/100,0)</f>
        <v>0</v>
      </c>
      <c r="AI247" s="24">
        <f>IF(AI246&gt;0,ROUND(AI246+AH247-AG247,2),0)</f>
        <v>0</v>
      </c>
      <c r="AJ247" s="24">
        <f>IF(AI246&gt;0,ROUND(AJ246+ROUND(ROUND(AJ246*100,0)*ROUND(AG$7*10000,0)/12000000,0)/100+0.02,2),0)</f>
        <v>0</v>
      </c>
      <c r="AK247" s="24">
        <f>IF(AM246&gt;0,IF(AND(ROUND(AM246+AL247-ROUND(AK$6+IF(AK$5=$C247,$E$5+$E247,0),2),2)&gt;0,ROUND(AM246+AL247-ROUND(AK$6+IF(AK$5=$C247,$E$5+$E247,0),2),2)&lt;=AN247,ROUND(AM246+AL247-ROUND(AK$6+IF(AK$5=$C247,$E$5+$E247,0),2),2)*10&lt;=ROUND(AK$6+IF(AK$5=$C247,$E$5+$E247,0),2)),ROUND(AM246+AL247,2),MIN(ROUND(AK$6+IF(AK$5=$C247,$E$5+$E247,0),2),ROUND(AM246+AL247,2))),0)</f>
        <v>0</v>
      </c>
      <c r="AL247" s="24">
        <f>IF(AM246&gt;0,ROUND(ROUND(AM246*100,0)*ROUND(AK$7*10000,0)/12000000,0)/100,0)</f>
        <v>0</v>
      </c>
      <c r="AM247" s="24">
        <f>IF(AM246&gt;0,ROUND(AM246+AL247-AK247,2),0)</f>
        <v>0</v>
      </c>
      <c r="AN247" s="24">
        <f>IF(AM246&gt;0,ROUND(AN246+ROUND(ROUND(AN246*100,0)*ROUND(AK$7*10000,0)/12000000,0)/100+0.02,2),0)</f>
        <v>0</v>
      </c>
      <c r="AO247" s="24">
        <f>IF(AQ246&gt;0,IF(AND(ROUND(AQ246+AP247-ROUND(AO$6+IF(AO$5=$C247,$E$5+$E247,0),2),2)&gt;0,ROUND(AQ246+AP247-ROUND(AO$6+IF(AO$5=$C247,$E$5+$E247,0),2),2)&lt;=AR247,ROUND(AQ246+AP247-ROUND(AO$6+IF(AO$5=$C247,$E$5+$E247,0),2),2)*10&lt;=ROUND(AO$6+IF(AO$5=$C247,$E$5+$E247,0),2)),ROUND(AQ246+AP247,2),MIN(ROUND(AO$6+IF(AO$5=$C247,$E$5+$E247,0),2),ROUND(AQ246+AP247,2))),0)</f>
        <v>0</v>
      </c>
      <c r="AP247" s="24">
        <f>IF(AQ246&gt;0,ROUND(ROUND(AQ246*100,0)*ROUND(AO$7*10000,0)/12000000,0)/100,0)</f>
        <v>0</v>
      </c>
      <c r="AQ247" s="24">
        <f>IF(AQ246&gt;0,ROUND(AQ246+AP247-AO247,2),0)</f>
        <v>0</v>
      </c>
      <c r="AR247" s="24">
        <f>IF(AQ246&gt;0,ROUND(AR246+ROUND(ROUND(AR246*100,0)*ROUND(AO$7*10000,0)/12000000,0)/100+0.02,2),0)</f>
        <v>0</v>
      </c>
      <c r="AS247" s="24">
        <f>IF(AU246&gt;0,IF(AND(ROUND(AU246+AT247-ROUND(AS$6+IF(AS$5=$C247,$E$5+$E247,0),2),2)&gt;0,ROUND(AU246+AT247-ROUND(AS$6+IF(AS$5=$C247,$E$5+$E247,0),2),2)&lt;=AV247,ROUND(AU246+AT247-ROUND(AS$6+IF(AS$5=$C247,$E$5+$E247,0),2),2)*10&lt;=ROUND(AS$6+IF(AS$5=$C247,$E$5+$E247,0),2)),ROUND(AU246+AT247,2),MIN(ROUND(AS$6+IF(AS$5=$C247,$E$5+$E247,0),2),ROUND(AU246+AT247,2))),0)</f>
        <v>0</v>
      </c>
      <c r="AT247" s="24">
        <f>IF(AU246&gt;0,ROUND(ROUND(AU246*100,0)*ROUND(AS$7*10000,0)/12000000,0)/100,0)</f>
        <v>0</v>
      </c>
      <c r="AU247" s="24">
        <f>IF(AU246&gt;0,ROUND(AU246+AT247-AS247,2),0)</f>
        <v>0</v>
      </c>
      <c r="AV247" s="24">
        <f>IF(AU246&gt;0,ROUND(AV246+ROUND(ROUND(AV246*100,0)*ROUND(AS$7*10000,0)/12000000,0)/100+0.02,2),0)</f>
        <v>0</v>
      </c>
    </row>
    <row r="248" spans="1:48" x14ac:dyDescent="0.25">
      <c r="A248" s="17" t="str">
        <f>IF(F248&gt;0,238,"")</f>
        <v/>
      </c>
      <c r="B248" s="18" t="str">
        <f>IF(F248&gt;0,EDATE($E$6,238),"")</f>
        <v/>
      </c>
      <c r="C248" s="21">
        <f>IF(H247&gt;0,MIN(IF(K247&gt;0,I$5,99),IF(O247&gt;0,M$5,99),IF(S247&gt;0,Q$5,99),IF(W247&gt;0,U$5,99),IF(AA247&gt;0,Y$5,99),IF(AE247&gt;0,AC$5,99),IF(AI247&gt;0,AG$5,99),IF(AM247&gt;0,AK$5,99),IF(AQ247&gt;0,AO$5,99),IF(AU247&gt;0,AS$5,99)),0)</f>
        <v>0</v>
      </c>
      <c r="D248" t="str">
        <f>IF(C248&gt;0,INDEX($I$4:$AV$4,1,MATCH(C248,$I$5:$AV$5,0)),"")</f>
        <v/>
      </c>
      <c r="E248" s="24">
        <f>ROUND(IF(AND(I$8&gt;0,K247=0),I$6,0)+IF(AND(M$8&gt;0,O247=0),M$6,0)+IF(AND(Q$8&gt;0,S247=0),Q$6,0)+IF(AND(U$8&gt;0,W247=0),U$6,0)+IF(AND(Y$8&gt;0,AA247=0),Y$6,0)+IF(AND(AC$8&gt;0,AE247=0),AC$6,0)+IF(AND(AG$8&gt;0,AI247=0),AG$6,0)+IF(AND(AK$8&gt;0,AM247=0),AK$6,0)+IF(AND(AO$8&gt;0,AQ247=0),AO$6,0)+IF(AND(AS$8&gt;0,AU247=0),AS$6,0),2)</f>
        <v>325</v>
      </c>
      <c r="F248" s="24">
        <f>ROUND(I248+M248+Q248+U248+Y248+AC248+AG248+AK248+AO248+AS248,2)</f>
        <v>0</v>
      </c>
      <c r="G248" s="24">
        <f>ROUND(J248+N248+R248+V248+Z248+AD248+AH248+AL248+AP248+AT248,2)</f>
        <v>0</v>
      </c>
      <c r="H248" s="24">
        <f>ROUND(K248+O248+S248+W248+AA248+AE248+AI248+AM248+AQ248+AU248,2)</f>
        <v>0</v>
      </c>
      <c r="I248" s="24">
        <f>IF(K247&gt;0,IF(AND(ROUND(K247+J248-ROUND(I$6+IF(I$5=$C248,$E$5+$E248,0),2),2)&gt;0,ROUND(K247+J248-ROUND(I$6+IF(I$5=$C248,$E$5+$E248,0),2),2)&lt;=L248,ROUND(K247+J248-ROUND(I$6+IF(I$5=$C248,$E$5+$E248,0),2),2)*10&lt;=ROUND(I$6+IF(I$5=$C248,$E$5+$E248,0),2)),ROUND(K247+J248,2),MIN(ROUND(I$6+IF(I$5=$C248,$E$5+$E248,0),2),ROUND(K247+J248,2))),0)</f>
        <v>0</v>
      </c>
      <c r="J248" s="24">
        <f>IF(K247&gt;0,ROUND(ROUND(K247*100,0)*ROUND(I$7*10000,0)/12000000,0)/100,0)</f>
        <v>0</v>
      </c>
      <c r="K248" s="24">
        <f>IF(K247&gt;0,ROUND(K247+J248-I248,2),0)</f>
        <v>0</v>
      </c>
      <c r="L248" s="24">
        <f>IF(K247&gt;0,ROUND(L247+ROUND(ROUND(L247*100,0)*ROUND(I$7*10000,0)/12000000,0)/100+0.02,2),0)</f>
        <v>0</v>
      </c>
      <c r="M248" s="24">
        <f>IF(O247&gt;0,IF(AND(ROUND(O247+N248-ROUND(M$6+IF(M$5=$C248,$E$5+$E248,0),2),2)&gt;0,ROUND(O247+N248-ROUND(M$6+IF(M$5=$C248,$E$5+$E248,0),2),2)&lt;=P248,ROUND(O247+N248-ROUND(M$6+IF(M$5=$C248,$E$5+$E248,0),2),2)*10&lt;=ROUND(M$6+IF(M$5=$C248,$E$5+$E248,0),2)),ROUND(O247+N248,2),MIN(ROUND(M$6+IF(M$5=$C248,$E$5+$E248,0),2),ROUND(O247+N248,2))),0)</f>
        <v>0</v>
      </c>
      <c r="N248" s="24">
        <f>IF(O247&gt;0,ROUND(ROUND(O247*100,0)*ROUND(M$7*10000,0)/12000000,0)/100,0)</f>
        <v>0</v>
      </c>
      <c r="O248" s="24">
        <f>IF(O247&gt;0,ROUND(O247+N248-M248,2),0)</f>
        <v>0</v>
      </c>
      <c r="P248" s="24">
        <f>IF(O247&gt;0,ROUND(P247+ROUND(ROUND(P247*100,0)*ROUND(M$7*10000,0)/12000000,0)/100+0.02,2),0)</f>
        <v>0</v>
      </c>
      <c r="Q248" s="24">
        <f>IF(S247&gt;0,IF(AND(ROUND(S247+R248-ROUND(Q$6+IF(Q$5=$C248,$E$5+$E248,0),2),2)&gt;0,ROUND(S247+R248-ROUND(Q$6+IF(Q$5=$C248,$E$5+$E248,0),2),2)&lt;=T248,ROUND(S247+R248-ROUND(Q$6+IF(Q$5=$C248,$E$5+$E248,0),2),2)*10&lt;=ROUND(Q$6+IF(Q$5=$C248,$E$5+$E248,0),2)),ROUND(S247+R248,2),MIN(ROUND(Q$6+IF(Q$5=$C248,$E$5+$E248,0),2),ROUND(S247+R248,2))),0)</f>
        <v>0</v>
      </c>
      <c r="R248" s="24">
        <f>IF(S247&gt;0,ROUND(ROUND(S247*100,0)*ROUND(Q$7*10000,0)/12000000,0)/100,0)</f>
        <v>0</v>
      </c>
      <c r="S248" s="24">
        <f>IF(S247&gt;0,ROUND(S247+R248-Q248,2),0)</f>
        <v>0</v>
      </c>
      <c r="T248" s="24">
        <f>IF(S247&gt;0,ROUND(T247+ROUND(ROUND(T247*100,0)*ROUND(Q$7*10000,0)/12000000,0)/100+0.02,2),0)</f>
        <v>0</v>
      </c>
      <c r="U248" s="24">
        <f>IF(W247&gt;0,IF(AND(ROUND(W247+V248-ROUND(U$6+IF(U$5=$C248,$E$5+$E248,0),2),2)&gt;0,ROUND(W247+V248-ROUND(U$6+IF(U$5=$C248,$E$5+$E248,0),2),2)&lt;=X248,ROUND(W247+V248-ROUND(U$6+IF(U$5=$C248,$E$5+$E248,0),2),2)*10&lt;=ROUND(U$6+IF(U$5=$C248,$E$5+$E248,0),2)),ROUND(W247+V248,2),MIN(ROUND(U$6+IF(U$5=$C248,$E$5+$E248,0),2),ROUND(W247+V248,2))),0)</f>
        <v>0</v>
      </c>
      <c r="V248" s="24">
        <f>IF(W247&gt;0,ROUND(ROUND(W247*100,0)*ROUND(U$7*10000,0)/12000000,0)/100,0)</f>
        <v>0</v>
      </c>
      <c r="W248" s="24">
        <f>IF(W247&gt;0,ROUND(W247+V248-U248,2),0)</f>
        <v>0</v>
      </c>
      <c r="X248" s="24">
        <f>IF(W247&gt;0,ROUND(X247+ROUND(ROUND(X247*100,0)*ROUND(U$7*10000,0)/12000000,0)/100+0.02,2),0)</f>
        <v>0</v>
      </c>
      <c r="Y248" s="24">
        <f>IF(AA247&gt;0,IF(AND(ROUND(AA247+Z248-ROUND(Y$6+IF(Y$5=$C248,$E$5+$E248,0),2),2)&gt;0,ROUND(AA247+Z248-ROUND(Y$6+IF(Y$5=$C248,$E$5+$E248,0),2),2)&lt;=AB248,ROUND(AA247+Z248-ROUND(Y$6+IF(Y$5=$C248,$E$5+$E248,0),2),2)*10&lt;=ROUND(Y$6+IF(Y$5=$C248,$E$5+$E248,0),2)),ROUND(AA247+Z248,2),MIN(ROUND(Y$6+IF(Y$5=$C248,$E$5+$E248,0),2),ROUND(AA247+Z248,2))),0)</f>
        <v>0</v>
      </c>
      <c r="Z248" s="24">
        <f>IF(AA247&gt;0,ROUND(ROUND(AA247*100,0)*ROUND(Y$7*10000,0)/12000000,0)/100,0)</f>
        <v>0</v>
      </c>
      <c r="AA248" s="24">
        <f>IF(AA247&gt;0,ROUND(AA247+Z248-Y248,2),0)</f>
        <v>0</v>
      </c>
      <c r="AB248" s="24">
        <f>IF(AA247&gt;0,ROUND(AB247+ROUND(ROUND(AB247*100,0)*ROUND(Y$7*10000,0)/12000000,0)/100+0.02,2),0)</f>
        <v>0</v>
      </c>
      <c r="AC248" s="24">
        <f>IF(AE247&gt;0,IF(AND(ROUND(AE247+AD248-ROUND(AC$6+IF(AC$5=$C248,$E$5+$E248,0),2),2)&gt;0,ROUND(AE247+AD248-ROUND(AC$6+IF(AC$5=$C248,$E$5+$E248,0),2),2)&lt;=AF248,ROUND(AE247+AD248-ROUND(AC$6+IF(AC$5=$C248,$E$5+$E248,0),2),2)*10&lt;=ROUND(AC$6+IF(AC$5=$C248,$E$5+$E248,0),2)),ROUND(AE247+AD248,2),MIN(ROUND(AC$6+IF(AC$5=$C248,$E$5+$E248,0),2),ROUND(AE247+AD248,2))),0)</f>
        <v>0</v>
      </c>
      <c r="AD248" s="24">
        <f>IF(AE247&gt;0,ROUND(ROUND(AE247*100,0)*ROUND(AC$7*10000,0)/12000000,0)/100,0)</f>
        <v>0</v>
      </c>
      <c r="AE248" s="24">
        <f>IF(AE247&gt;0,ROUND(AE247+AD248-AC248,2),0)</f>
        <v>0</v>
      </c>
      <c r="AF248" s="24">
        <f>IF(AE247&gt;0,ROUND(AF247+ROUND(ROUND(AF247*100,0)*ROUND(AC$7*10000,0)/12000000,0)/100+0.02,2),0)</f>
        <v>0</v>
      </c>
      <c r="AG248" s="24">
        <f>IF(AI247&gt;0,IF(AND(ROUND(AI247+AH248-ROUND(AG$6+IF(AG$5=$C248,$E$5+$E248,0),2),2)&gt;0,ROUND(AI247+AH248-ROUND(AG$6+IF(AG$5=$C248,$E$5+$E248,0),2),2)&lt;=AJ248,ROUND(AI247+AH248-ROUND(AG$6+IF(AG$5=$C248,$E$5+$E248,0),2),2)*10&lt;=ROUND(AG$6+IF(AG$5=$C248,$E$5+$E248,0),2)),ROUND(AI247+AH248,2),MIN(ROUND(AG$6+IF(AG$5=$C248,$E$5+$E248,0),2),ROUND(AI247+AH248,2))),0)</f>
        <v>0</v>
      </c>
      <c r="AH248" s="24">
        <f>IF(AI247&gt;0,ROUND(ROUND(AI247*100,0)*ROUND(AG$7*10000,0)/12000000,0)/100,0)</f>
        <v>0</v>
      </c>
      <c r="AI248" s="24">
        <f>IF(AI247&gt;0,ROUND(AI247+AH248-AG248,2),0)</f>
        <v>0</v>
      </c>
      <c r="AJ248" s="24">
        <f>IF(AI247&gt;0,ROUND(AJ247+ROUND(ROUND(AJ247*100,0)*ROUND(AG$7*10000,0)/12000000,0)/100+0.02,2),0)</f>
        <v>0</v>
      </c>
      <c r="AK248" s="24">
        <f>IF(AM247&gt;0,IF(AND(ROUND(AM247+AL248-ROUND(AK$6+IF(AK$5=$C248,$E$5+$E248,0),2),2)&gt;0,ROUND(AM247+AL248-ROUND(AK$6+IF(AK$5=$C248,$E$5+$E248,0),2),2)&lt;=AN248,ROUND(AM247+AL248-ROUND(AK$6+IF(AK$5=$C248,$E$5+$E248,0),2),2)*10&lt;=ROUND(AK$6+IF(AK$5=$C248,$E$5+$E248,0),2)),ROUND(AM247+AL248,2),MIN(ROUND(AK$6+IF(AK$5=$C248,$E$5+$E248,0),2),ROUND(AM247+AL248,2))),0)</f>
        <v>0</v>
      </c>
      <c r="AL248" s="24">
        <f>IF(AM247&gt;0,ROUND(ROUND(AM247*100,0)*ROUND(AK$7*10000,0)/12000000,0)/100,0)</f>
        <v>0</v>
      </c>
      <c r="AM248" s="24">
        <f>IF(AM247&gt;0,ROUND(AM247+AL248-AK248,2),0)</f>
        <v>0</v>
      </c>
      <c r="AN248" s="24">
        <f>IF(AM247&gt;0,ROUND(AN247+ROUND(ROUND(AN247*100,0)*ROUND(AK$7*10000,0)/12000000,0)/100+0.02,2),0)</f>
        <v>0</v>
      </c>
      <c r="AO248" s="24">
        <f>IF(AQ247&gt;0,IF(AND(ROUND(AQ247+AP248-ROUND(AO$6+IF(AO$5=$C248,$E$5+$E248,0),2),2)&gt;0,ROUND(AQ247+AP248-ROUND(AO$6+IF(AO$5=$C248,$E$5+$E248,0),2),2)&lt;=AR248,ROUND(AQ247+AP248-ROUND(AO$6+IF(AO$5=$C248,$E$5+$E248,0),2),2)*10&lt;=ROUND(AO$6+IF(AO$5=$C248,$E$5+$E248,0),2)),ROUND(AQ247+AP248,2),MIN(ROUND(AO$6+IF(AO$5=$C248,$E$5+$E248,0),2),ROUND(AQ247+AP248,2))),0)</f>
        <v>0</v>
      </c>
      <c r="AP248" s="24">
        <f>IF(AQ247&gt;0,ROUND(ROUND(AQ247*100,0)*ROUND(AO$7*10000,0)/12000000,0)/100,0)</f>
        <v>0</v>
      </c>
      <c r="AQ248" s="24">
        <f>IF(AQ247&gt;0,ROUND(AQ247+AP248-AO248,2),0)</f>
        <v>0</v>
      </c>
      <c r="AR248" s="24">
        <f>IF(AQ247&gt;0,ROUND(AR247+ROUND(ROUND(AR247*100,0)*ROUND(AO$7*10000,0)/12000000,0)/100+0.02,2),0)</f>
        <v>0</v>
      </c>
      <c r="AS248" s="24">
        <f>IF(AU247&gt;0,IF(AND(ROUND(AU247+AT248-ROUND(AS$6+IF(AS$5=$C248,$E$5+$E248,0),2),2)&gt;0,ROUND(AU247+AT248-ROUND(AS$6+IF(AS$5=$C248,$E$5+$E248,0),2),2)&lt;=AV248,ROUND(AU247+AT248-ROUND(AS$6+IF(AS$5=$C248,$E$5+$E248,0),2),2)*10&lt;=ROUND(AS$6+IF(AS$5=$C248,$E$5+$E248,0),2)),ROUND(AU247+AT248,2),MIN(ROUND(AS$6+IF(AS$5=$C248,$E$5+$E248,0),2),ROUND(AU247+AT248,2))),0)</f>
        <v>0</v>
      </c>
      <c r="AT248" s="24">
        <f>IF(AU247&gt;0,ROUND(ROUND(AU247*100,0)*ROUND(AS$7*10000,0)/12000000,0)/100,0)</f>
        <v>0</v>
      </c>
      <c r="AU248" s="24">
        <f>IF(AU247&gt;0,ROUND(AU247+AT248-AS248,2),0)</f>
        <v>0</v>
      </c>
      <c r="AV248" s="24">
        <f>IF(AU247&gt;0,ROUND(AV247+ROUND(ROUND(AV247*100,0)*ROUND(AS$7*10000,0)/12000000,0)/100+0.02,2),0)</f>
        <v>0</v>
      </c>
    </row>
    <row r="249" spans="1:48" x14ac:dyDescent="0.25">
      <c r="A249" s="17" t="str">
        <f>IF(F249&gt;0,239,"")</f>
        <v/>
      </c>
      <c r="B249" s="18" t="str">
        <f>IF(F249&gt;0,EDATE($E$6,239),"")</f>
        <v/>
      </c>
      <c r="C249" s="21">
        <f>IF(H248&gt;0,MIN(IF(K248&gt;0,I$5,99),IF(O248&gt;0,M$5,99),IF(S248&gt;0,Q$5,99),IF(W248&gt;0,U$5,99),IF(AA248&gt;0,Y$5,99),IF(AE248&gt;0,AC$5,99),IF(AI248&gt;0,AG$5,99),IF(AM248&gt;0,AK$5,99),IF(AQ248&gt;0,AO$5,99),IF(AU248&gt;0,AS$5,99)),0)</f>
        <v>0</v>
      </c>
      <c r="D249" t="str">
        <f>IF(C249&gt;0,INDEX($I$4:$AV$4,1,MATCH(C249,$I$5:$AV$5,0)),"")</f>
        <v/>
      </c>
      <c r="E249" s="24">
        <f>ROUND(IF(AND(I$8&gt;0,K248=0),I$6,0)+IF(AND(M$8&gt;0,O248=0),M$6,0)+IF(AND(Q$8&gt;0,S248=0),Q$6,0)+IF(AND(U$8&gt;0,W248=0),U$6,0)+IF(AND(Y$8&gt;0,AA248=0),Y$6,0)+IF(AND(AC$8&gt;0,AE248=0),AC$6,0)+IF(AND(AG$8&gt;0,AI248=0),AG$6,0)+IF(AND(AK$8&gt;0,AM248=0),AK$6,0)+IF(AND(AO$8&gt;0,AQ248=0),AO$6,0)+IF(AND(AS$8&gt;0,AU248=0),AS$6,0),2)</f>
        <v>325</v>
      </c>
      <c r="F249" s="24">
        <f>ROUND(I249+M249+Q249+U249+Y249+AC249+AG249+AK249+AO249+AS249,2)</f>
        <v>0</v>
      </c>
      <c r="G249" s="24">
        <f>ROUND(J249+N249+R249+V249+Z249+AD249+AH249+AL249+AP249+AT249,2)</f>
        <v>0</v>
      </c>
      <c r="H249" s="24">
        <f>ROUND(K249+O249+S249+W249+AA249+AE249+AI249+AM249+AQ249+AU249,2)</f>
        <v>0</v>
      </c>
      <c r="I249" s="24">
        <f>IF(K248&gt;0,IF(AND(ROUND(K248+J249-ROUND(I$6+IF(I$5=$C249,$E$5+$E249,0),2),2)&gt;0,ROUND(K248+J249-ROUND(I$6+IF(I$5=$C249,$E$5+$E249,0),2),2)&lt;=L249,ROUND(K248+J249-ROUND(I$6+IF(I$5=$C249,$E$5+$E249,0),2),2)*10&lt;=ROUND(I$6+IF(I$5=$C249,$E$5+$E249,0),2)),ROUND(K248+J249,2),MIN(ROUND(I$6+IF(I$5=$C249,$E$5+$E249,0),2),ROUND(K248+J249,2))),0)</f>
        <v>0</v>
      </c>
      <c r="J249" s="24">
        <f>IF(K248&gt;0,ROUND(ROUND(K248*100,0)*ROUND(I$7*10000,0)/12000000,0)/100,0)</f>
        <v>0</v>
      </c>
      <c r="K249" s="24">
        <f>IF(K248&gt;0,ROUND(K248+J249-I249,2),0)</f>
        <v>0</v>
      </c>
      <c r="L249" s="24">
        <f>IF(K248&gt;0,ROUND(L248+ROUND(ROUND(L248*100,0)*ROUND(I$7*10000,0)/12000000,0)/100+0.02,2),0)</f>
        <v>0</v>
      </c>
      <c r="M249" s="24">
        <f>IF(O248&gt;0,IF(AND(ROUND(O248+N249-ROUND(M$6+IF(M$5=$C249,$E$5+$E249,0),2),2)&gt;0,ROUND(O248+N249-ROUND(M$6+IF(M$5=$C249,$E$5+$E249,0),2),2)&lt;=P249,ROUND(O248+N249-ROUND(M$6+IF(M$5=$C249,$E$5+$E249,0),2),2)*10&lt;=ROUND(M$6+IF(M$5=$C249,$E$5+$E249,0),2)),ROUND(O248+N249,2),MIN(ROUND(M$6+IF(M$5=$C249,$E$5+$E249,0),2),ROUND(O248+N249,2))),0)</f>
        <v>0</v>
      </c>
      <c r="N249" s="24">
        <f>IF(O248&gt;0,ROUND(ROUND(O248*100,0)*ROUND(M$7*10000,0)/12000000,0)/100,0)</f>
        <v>0</v>
      </c>
      <c r="O249" s="24">
        <f>IF(O248&gt;0,ROUND(O248+N249-M249,2),0)</f>
        <v>0</v>
      </c>
      <c r="P249" s="24">
        <f>IF(O248&gt;0,ROUND(P248+ROUND(ROUND(P248*100,0)*ROUND(M$7*10000,0)/12000000,0)/100+0.02,2),0)</f>
        <v>0</v>
      </c>
      <c r="Q249" s="24">
        <f>IF(S248&gt;0,IF(AND(ROUND(S248+R249-ROUND(Q$6+IF(Q$5=$C249,$E$5+$E249,0),2),2)&gt;0,ROUND(S248+R249-ROUND(Q$6+IF(Q$5=$C249,$E$5+$E249,0),2),2)&lt;=T249,ROUND(S248+R249-ROUND(Q$6+IF(Q$5=$C249,$E$5+$E249,0),2),2)*10&lt;=ROUND(Q$6+IF(Q$5=$C249,$E$5+$E249,0),2)),ROUND(S248+R249,2),MIN(ROUND(Q$6+IF(Q$5=$C249,$E$5+$E249,0),2),ROUND(S248+R249,2))),0)</f>
        <v>0</v>
      </c>
      <c r="R249" s="24">
        <f>IF(S248&gt;0,ROUND(ROUND(S248*100,0)*ROUND(Q$7*10000,0)/12000000,0)/100,0)</f>
        <v>0</v>
      </c>
      <c r="S249" s="24">
        <f>IF(S248&gt;0,ROUND(S248+R249-Q249,2),0)</f>
        <v>0</v>
      </c>
      <c r="T249" s="24">
        <f>IF(S248&gt;0,ROUND(T248+ROUND(ROUND(T248*100,0)*ROUND(Q$7*10000,0)/12000000,0)/100+0.02,2),0)</f>
        <v>0</v>
      </c>
      <c r="U249" s="24">
        <f>IF(W248&gt;0,IF(AND(ROUND(W248+V249-ROUND(U$6+IF(U$5=$C249,$E$5+$E249,0),2),2)&gt;0,ROUND(W248+V249-ROUND(U$6+IF(U$5=$C249,$E$5+$E249,0),2),2)&lt;=X249,ROUND(W248+V249-ROUND(U$6+IF(U$5=$C249,$E$5+$E249,0),2),2)*10&lt;=ROUND(U$6+IF(U$5=$C249,$E$5+$E249,0),2)),ROUND(W248+V249,2),MIN(ROUND(U$6+IF(U$5=$C249,$E$5+$E249,0),2),ROUND(W248+V249,2))),0)</f>
        <v>0</v>
      </c>
      <c r="V249" s="24">
        <f>IF(W248&gt;0,ROUND(ROUND(W248*100,0)*ROUND(U$7*10000,0)/12000000,0)/100,0)</f>
        <v>0</v>
      </c>
      <c r="W249" s="24">
        <f>IF(W248&gt;0,ROUND(W248+V249-U249,2),0)</f>
        <v>0</v>
      </c>
      <c r="X249" s="24">
        <f>IF(W248&gt;0,ROUND(X248+ROUND(ROUND(X248*100,0)*ROUND(U$7*10000,0)/12000000,0)/100+0.02,2),0)</f>
        <v>0</v>
      </c>
      <c r="Y249" s="24">
        <f>IF(AA248&gt;0,IF(AND(ROUND(AA248+Z249-ROUND(Y$6+IF(Y$5=$C249,$E$5+$E249,0),2),2)&gt;0,ROUND(AA248+Z249-ROUND(Y$6+IF(Y$5=$C249,$E$5+$E249,0),2),2)&lt;=AB249,ROUND(AA248+Z249-ROUND(Y$6+IF(Y$5=$C249,$E$5+$E249,0),2),2)*10&lt;=ROUND(Y$6+IF(Y$5=$C249,$E$5+$E249,0),2)),ROUND(AA248+Z249,2),MIN(ROUND(Y$6+IF(Y$5=$C249,$E$5+$E249,0),2),ROUND(AA248+Z249,2))),0)</f>
        <v>0</v>
      </c>
      <c r="Z249" s="24">
        <f>IF(AA248&gt;0,ROUND(ROUND(AA248*100,0)*ROUND(Y$7*10000,0)/12000000,0)/100,0)</f>
        <v>0</v>
      </c>
      <c r="AA249" s="24">
        <f>IF(AA248&gt;0,ROUND(AA248+Z249-Y249,2),0)</f>
        <v>0</v>
      </c>
      <c r="AB249" s="24">
        <f>IF(AA248&gt;0,ROUND(AB248+ROUND(ROUND(AB248*100,0)*ROUND(Y$7*10000,0)/12000000,0)/100+0.02,2),0)</f>
        <v>0</v>
      </c>
      <c r="AC249" s="24">
        <f>IF(AE248&gt;0,IF(AND(ROUND(AE248+AD249-ROUND(AC$6+IF(AC$5=$C249,$E$5+$E249,0),2),2)&gt;0,ROUND(AE248+AD249-ROUND(AC$6+IF(AC$5=$C249,$E$5+$E249,0),2),2)&lt;=AF249,ROUND(AE248+AD249-ROUND(AC$6+IF(AC$5=$C249,$E$5+$E249,0),2),2)*10&lt;=ROUND(AC$6+IF(AC$5=$C249,$E$5+$E249,0),2)),ROUND(AE248+AD249,2),MIN(ROUND(AC$6+IF(AC$5=$C249,$E$5+$E249,0),2),ROUND(AE248+AD249,2))),0)</f>
        <v>0</v>
      </c>
      <c r="AD249" s="24">
        <f>IF(AE248&gt;0,ROUND(ROUND(AE248*100,0)*ROUND(AC$7*10000,0)/12000000,0)/100,0)</f>
        <v>0</v>
      </c>
      <c r="AE249" s="24">
        <f>IF(AE248&gt;0,ROUND(AE248+AD249-AC249,2),0)</f>
        <v>0</v>
      </c>
      <c r="AF249" s="24">
        <f>IF(AE248&gt;0,ROUND(AF248+ROUND(ROUND(AF248*100,0)*ROUND(AC$7*10000,0)/12000000,0)/100+0.02,2),0)</f>
        <v>0</v>
      </c>
      <c r="AG249" s="24">
        <f>IF(AI248&gt;0,IF(AND(ROUND(AI248+AH249-ROUND(AG$6+IF(AG$5=$C249,$E$5+$E249,0),2),2)&gt;0,ROUND(AI248+AH249-ROUND(AG$6+IF(AG$5=$C249,$E$5+$E249,0),2),2)&lt;=AJ249,ROUND(AI248+AH249-ROUND(AG$6+IF(AG$5=$C249,$E$5+$E249,0),2),2)*10&lt;=ROUND(AG$6+IF(AG$5=$C249,$E$5+$E249,0),2)),ROUND(AI248+AH249,2),MIN(ROUND(AG$6+IF(AG$5=$C249,$E$5+$E249,0),2),ROUND(AI248+AH249,2))),0)</f>
        <v>0</v>
      </c>
      <c r="AH249" s="24">
        <f>IF(AI248&gt;0,ROUND(ROUND(AI248*100,0)*ROUND(AG$7*10000,0)/12000000,0)/100,0)</f>
        <v>0</v>
      </c>
      <c r="AI249" s="24">
        <f>IF(AI248&gt;0,ROUND(AI248+AH249-AG249,2),0)</f>
        <v>0</v>
      </c>
      <c r="AJ249" s="24">
        <f>IF(AI248&gt;0,ROUND(AJ248+ROUND(ROUND(AJ248*100,0)*ROUND(AG$7*10000,0)/12000000,0)/100+0.02,2),0)</f>
        <v>0</v>
      </c>
      <c r="AK249" s="24">
        <f>IF(AM248&gt;0,IF(AND(ROUND(AM248+AL249-ROUND(AK$6+IF(AK$5=$C249,$E$5+$E249,0),2),2)&gt;0,ROUND(AM248+AL249-ROUND(AK$6+IF(AK$5=$C249,$E$5+$E249,0),2),2)&lt;=AN249,ROUND(AM248+AL249-ROUND(AK$6+IF(AK$5=$C249,$E$5+$E249,0),2),2)*10&lt;=ROUND(AK$6+IF(AK$5=$C249,$E$5+$E249,0),2)),ROUND(AM248+AL249,2),MIN(ROUND(AK$6+IF(AK$5=$C249,$E$5+$E249,0),2),ROUND(AM248+AL249,2))),0)</f>
        <v>0</v>
      </c>
      <c r="AL249" s="24">
        <f>IF(AM248&gt;0,ROUND(ROUND(AM248*100,0)*ROUND(AK$7*10000,0)/12000000,0)/100,0)</f>
        <v>0</v>
      </c>
      <c r="AM249" s="24">
        <f>IF(AM248&gt;0,ROUND(AM248+AL249-AK249,2),0)</f>
        <v>0</v>
      </c>
      <c r="AN249" s="24">
        <f>IF(AM248&gt;0,ROUND(AN248+ROUND(ROUND(AN248*100,0)*ROUND(AK$7*10000,0)/12000000,0)/100+0.02,2),0)</f>
        <v>0</v>
      </c>
      <c r="AO249" s="24">
        <f>IF(AQ248&gt;0,IF(AND(ROUND(AQ248+AP249-ROUND(AO$6+IF(AO$5=$C249,$E$5+$E249,0),2),2)&gt;0,ROUND(AQ248+AP249-ROUND(AO$6+IF(AO$5=$C249,$E$5+$E249,0),2),2)&lt;=AR249,ROUND(AQ248+AP249-ROUND(AO$6+IF(AO$5=$C249,$E$5+$E249,0),2),2)*10&lt;=ROUND(AO$6+IF(AO$5=$C249,$E$5+$E249,0),2)),ROUND(AQ248+AP249,2),MIN(ROUND(AO$6+IF(AO$5=$C249,$E$5+$E249,0),2),ROUND(AQ248+AP249,2))),0)</f>
        <v>0</v>
      </c>
      <c r="AP249" s="24">
        <f>IF(AQ248&gt;0,ROUND(ROUND(AQ248*100,0)*ROUND(AO$7*10000,0)/12000000,0)/100,0)</f>
        <v>0</v>
      </c>
      <c r="AQ249" s="24">
        <f>IF(AQ248&gt;0,ROUND(AQ248+AP249-AO249,2),0)</f>
        <v>0</v>
      </c>
      <c r="AR249" s="24">
        <f>IF(AQ248&gt;0,ROUND(AR248+ROUND(ROUND(AR248*100,0)*ROUND(AO$7*10000,0)/12000000,0)/100+0.02,2),0)</f>
        <v>0</v>
      </c>
      <c r="AS249" s="24">
        <f>IF(AU248&gt;0,IF(AND(ROUND(AU248+AT249-ROUND(AS$6+IF(AS$5=$C249,$E$5+$E249,0),2),2)&gt;0,ROUND(AU248+AT249-ROUND(AS$6+IF(AS$5=$C249,$E$5+$E249,0),2),2)&lt;=AV249,ROUND(AU248+AT249-ROUND(AS$6+IF(AS$5=$C249,$E$5+$E249,0),2),2)*10&lt;=ROUND(AS$6+IF(AS$5=$C249,$E$5+$E249,0),2)),ROUND(AU248+AT249,2),MIN(ROUND(AS$6+IF(AS$5=$C249,$E$5+$E249,0),2),ROUND(AU248+AT249,2))),0)</f>
        <v>0</v>
      </c>
      <c r="AT249" s="24">
        <f>IF(AU248&gt;0,ROUND(ROUND(AU248*100,0)*ROUND(AS$7*10000,0)/12000000,0)/100,0)</f>
        <v>0</v>
      </c>
      <c r="AU249" s="24">
        <f>IF(AU248&gt;0,ROUND(AU248+AT249-AS249,2),0)</f>
        <v>0</v>
      </c>
      <c r="AV249" s="24">
        <f>IF(AU248&gt;0,ROUND(AV248+ROUND(ROUND(AV248*100,0)*ROUND(AS$7*10000,0)/12000000,0)/100+0.02,2),0)</f>
        <v>0</v>
      </c>
    </row>
    <row r="250" spans="1:48" x14ac:dyDescent="0.25">
      <c r="A250" s="17" t="str">
        <f>IF(F250&gt;0,240,"")</f>
        <v/>
      </c>
      <c r="B250" s="18" t="str">
        <f>IF(F250&gt;0,EDATE($E$6,240),"")</f>
        <v/>
      </c>
      <c r="C250" s="21">
        <f>IF(H249&gt;0,MIN(IF(K249&gt;0,I$5,99),IF(O249&gt;0,M$5,99),IF(S249&gt;0,Q$5,99),IF(W249&gt;0,U$5,99),IF(AA249&gt;0,Y$5,99),IF(AE249&gt;0,AC$5,99),IF(AI249&gt;0,AG$5,99),IF(AM249&gt;0,AK$5,99),IF(AQ249&gt;0,AO$5,99),IF(AU249&gt;0,AS$5,99)),0)</f>
        <v>0</v>
      </c>
      <c r="D250" t="str">
        <f>IF(C250&gt;0,INDEX($I$4:$AV$4,1,MATCH(C250,$I$5:$AV$5,0)),"")</f>
        <v/>
      </c>
      <c r="E250" s="24">
        <f>ROUND(IF(AND(I$8&gt;0,K249=0),I$6,0)+IF(AND(M$8&gt;0,O249=0),M$6,0)+IF(AND(Q$8&gt;0,S249=0),Q$6,0)+IF(AND(U$8&gt;0,W249=0),U$6,0)+IF(AND(Y$8&gt;0,AA249=0),Y$6,0)+IF(AND(AC$8&gt;0,AE249=0),AC$6,0)+IF(AND(AG$8&gt;0,AI249=0),AG$6,0)+IF(AND(AK$8&gt;0,AM249=0),AK$6,0)+IF(AND(AO$8&gt;0,AQ249=0),AO$6,0)+IF(AND(AS$8&gt;0,AU249=0),AS$6,0),2)</f>
        <v>325</v>
      </c>
      <c r="F250" s="24">
        <f>ROUND(I250+M250+Q250+U250+Y250+AC250+AG250+AK250+AO250+AS250,2)</f>
        <v>0</v>
      </c>
      <c r="G250" s="24">
        <f>ROUND(J250+N250+R250+V250+Z250+AD250+AH250+AL250+AP250+AT250,2)</f>
        <v>0</v>
      </c>
      <c r="H250" s="24">
        <f>ROUND(K250+O250+S250+W250+AA250+AE250+AI250+AM250+AQ250+AU250,2)</f>
        <v>0</v>
      </c>
      <c r="I250" s="24">
        <f>IF(K249&gt;0,IF(AND(ROUND(K249+J250-ROUND(I$6+IF(I$5=$C250,$E$5+$E250,0),2),2)&gt;0,ROUND(K249+J250-ROUND(I$6+IF(I$5=$C250,$E$5+$E250,0),2),2)&lt;=L250,ROUND(K249+J250-ROUND(I$6+IF(I$5=$C250,$E$5+$E250,0),2),2)*10&lt;=ROUND(I$6+IF(I$5=$C250,$E$5+$E250,0),2)),ROUND(K249+J250,2),MIN(ROUND(I$6+IF(I$5=$C250,$E$5+$E250,0),2),ROUND(K249+J250,2))),0)</f>
        <v>0</v>
      </c>
      <c r="J250" s="24">
        <f>IF(K249&gt;0,ROUND(ROUND(K249*100,0)*ROUND(I$7*10000,0)/12000000,0)/100,0)</f>
        <v>0</v>
      </c>
      <c r="K250" s="24">
        <f>IF(K249&gt;0,ROUND(K249+J250-I250,2),0)</f>
        <v>0</v>
      </c>
      <c r="L250" s="24">
        <f>IF(K249&gt;0,ROUND(L249+ROUND(ROUND(L249*100,0)*ROUND(I$7*10000,0)/12000000,0)/100+0.02,2),0)</f>
        <v>0</v>
      </c>
      <c r="M250" s="24">
        <f>IF(O249&gt;0,IF(AND(ROUND(O249+N250-ROUND(M$6+IF(M$5=$C250,$E$5+$E250,0),2),2)&gt;0,ROUND(O249+N250-ROUND(M$6+IF(M$5=$C250,$E$5+$E250,0),2),2)&lt;=P250,ROUND(O249+N250-ROUND(M$6+IF(M$5=$C250,$E$5+$E250,0),2),2)*10&lt;=ROUND(M$6+IF(M$5=$C250,$E$5+$E250,0),2)),ROUND(O249+N250,2),MIN(ROUND(M$6+IF(M$5=$C250,$E$5+$E250,0),2),ROUND(O249+N250,2))),0)</f>
        <v>0</v>
      </c>
      <c r="N250" s="24">
        <f>IF(O249&gt;0,ROUND(ROUND(O249*100,0)*ROUND(M$7*10000,0)/12000000,0)/100,0)</f>
        <v>0</v>
      </c>
      <c r="O250" s="24">
        <f>IF(O249&gt;0,ROUND(O249+N250-M250,2),0)</f>
        <v>0</v>
      </c>
      <c r="P250" s="24">
        <f>IF(O249&gt;0,ROUND(P249+ROUND(ROUND(P249*100,0)*ROUND(M$7*10000,0)/12000000,0)/100+0.02,2),0)</f>
        <v>0</v>
      </c>
      <c r="Q250" s="24">
        <f>IF(S249&gt;0,IF(AND(ROUND(S249+R250-ROUND(Q$6+IF(Q$5=$C250,$E$5+$E250,0),2),2)&gt;0,ROUND(S249+R250-ROUND(Q$6+IF(Q$5=$C250,$E$5+$E250,0),2),2)&lt;=T250,ROUND(S249+R250-ROUND(Q$6+IF(Q$5=$C250,$E$5+$E250,0),2),2)*10&lt;=ROUND(Q$6+IF(Q$5=$C250,$E$5+$E250,0),2)),ROUND(S249+R250,2),MIN(ROUND(Q$6+IF(Q$5=$C250,$E$5+$E250,0),2),ROUND(S249+R250,2))),0)</f>
        <v>0</v>
      </c>
      <c r="R250" s="24">
        <f>IF(S249&gt;0,ROUND(ROUND(S249*100,0)*ROUND(Q$7*10000,0)/12000000,0)/100,0)</f>
        <v>0</v>
      </c>
      <c r="S250" s="24">
        <f>IF(S249&gt;0,ROUND(S249+R250-Q250,2),0)</f>
        <v>0</v>
      </c>
      <c r="T250" s="24">
        <f>IF(S249&gt;0,ROUND(T249+ROUND(ROUND(T249*100,0)*ROUND(Q$7*10000,0)/12000000,0)/100+0.02,2),0)</f>
        <v>0</v>
      </c>
      <c r="U250" s="24">
        <f>IF(W249&gt;0,IF(AND(ROUND(W249+V250-ROUND(U$6+IF(U$5=$C250,$E$5+$E250,0),2),2)&gt;0,ROUND(W249+V250-ROUND(U$6+IF(U$5=$C250,$E$5+$E250,0),2),2)&lt;=X250,ROUND(W249+V250-ROUND(U$6+IF(U$5=$C250,$E$5+$E250,0),2),2)*10&lt;=ROUND(U$6+IF(U$5=$C250,$E$5+$E250,0),2)),ROUND(W249+V250,2),MIN(ROUND(U$6+IF(U$5=$C250,$E$5+$E250,0),2),ROUND(W249+V250,2))),0)</f>
        <v>0</v>
      </c>
      <c r="V250" s="24">
        <f>IF(W249&gt;0,ROUND(ROUND(W249*100,0)*ROUND(U$7*10000,0)/12000000,0)/100,0)</f>
        <v>0</v>
      </c>
      <c r="W250" s="24">
        <f>IF(W249&gt;0,ROUND(W249+V250-U250,2),0)</f>
        <v>0</v>
      </c>
      <c r="X250" s="24">
        <f>IF(W249&gt;0,ROUND(X249+ROUND(ROUND(X249*100,0)*ROUND(U$7*10000,0)/12000000,0)/100+0.02,2),0)</f>
        <v>0</v>
      </c>
      <c r="Y250" s="24">
        <f>IF(AA249&gt;0,IF(AND(ROUND(AA249+Z250-ROUND(Y$6+IF(Y$5=$C250,$E$5+$E250,0),2),2)&gt;0,ROUND(AA249+Z250-ROUND(Y$6+IF(Y$5=$C250,$E$5+$E250,0),2),2)&lt;=AB250,ROUND(AA249+Z250-ROUND(Y$6+IF(Y$5=$C250,$E$5+$E250,0),2),2)*10&lt;=ROUND(Y$6+IF(Y$5=$C250,$E$5+$E250,0),2)),ROUND(AA249+Z250,2),MIN(ROUND(Y$6+IF(Y$5=$C250,$E$5+$E250,0),2),ROUND(AA249+Z250,2))),0)</f>
        <v>0</v>
      </c>
      <c r="Z250" s="24">
        <f>IF(AA249&gt;0,ROUND(ROUND(AA249*100,0)*ROUND(Y$7*10000,0)/12000000,0)/100,0)</f>
        <v>0</v>
      </c>
      <c r="AA250" s="24">
        <f>IF(AA249&gt;0,ROUND(AA249+Z250-Y250,2),0)</f>
        <v>0</v>
      </c>
      <c r="AB250" s="24">
        <f>IF(AA249&gt;0,ROUND(AB249+ROUND(ROUND(AB249*100,0)*ROUND(Y$7*10000,0)/12000000,0)/100+0.02,2),0)</f>
        <v>0</v>
      </c>
      <c r="AC250" s="24">
        <f>IF(AE249&gt;0,IF(AND(ROUND(AE249+AD250-ROUND(AC$6+IF(AC$5=$C250,$E$5+$E250,0),2),2)&gt;0,ROUND(AE249+AD250-ROUND(AC$6+IF(AC$5=$C250,$E$5+$E250,0),2),2)&lt;=AF250,ROUND(AE249+AD250-ROUND(AC$6+IF(AC$5=$C250,$E$5+$E250,0),2),2)*10&lt;=ROUND(AC$6+IF(AC$5=$C250,$E$5+$E250,0),2)),ROUND(AE249+AD250,2),MIN(ROUND(AC$6+IF(AC$5=$C250,$E$5+$E250,0),2),ROUND(AE249+AD250,2))),0)</f>
        <v>0</v>
      </c>
      <c r="AD250" s="24">
        <f>IF(AE249&gt;0,ROUND(ROUND(AE249*100,0)*ROUND(AC$7*10000,0)/12000000,0)/100,0)</f>
        <v>0</v>
      </c>
      <c r="AE250" s="24">
        <f>IF(AE249&gt;0,ROUND(AE249+AD250-AC250,2),0)</f>
        <v>0</v>
      </c>
      <c r="AF250" s="24">
        <f>IF(AE249&gt;0,ROUND(AF249+ROUND(ROUND(AF249*100,0)*ROUND(AC$7*10000,0)/12000000,0)/100+0.02,2),0)</f>
        <v>0</v>
      </c>
      <c r="AG250" s="24">
        <f>IF(AI249&gt;0,IF(AND(ROUND(AI249+AH250-ROUND(AG$6+IF(AG$5=$C250,$E$5+$E250,0),2),2)&gt;0,ROUND(AI249+AH250-ROUND(AG$6+IF(AG$5=$C250,$E$5+$E250,0),2),2)&lt;=AJ250,ROUND(AI249+AH250-ROUND(AG$6+IF(AG$5=$C250,$E$5+$E250,0),2),2)*10&lt;=ROUND(AG$6+IF(AG$5=$C250,$E$5+$E250,0),2)),ROUND(AI249+AH250,2),MIN(ROUND(AG$6+IF(AG$5=$C250,$E$5+$E250,0),2),ROUND(AI249+AH250,2))),0)</f>
        <v>0</v>
      </c>
      <c r="AH250" s="24">
        <f>IF(AI249&gt;0,ROUND(ROUND(AI249*100,0)*ROUND(AG$7*10000,0)/12000000,0)/100,0)</f>
        <v>0</v>
      </c>
      <c r="AI250" s="24">
        <f>IF(AI249&gt;0,ROUND(AI249+AH250-AG250,2),0)</f>
        <v>0</v>
      </c>
      <c r="AJ250" s="24">
        <f>IF(AI249&gt;0,ROUND(AJ249+ROUND(ROUND(AJ249*100,0)*ROUND(AG$7*10000,0)/12000000,0)/100+0.02,2),0)</f>
        <v>0</v>
      </c>
      <c r="AK250" s="24">
        <f>IF(AM249&gt;0,IF(AND(ROUND(AM249+AL250-ROUND(AK$6+IF(AK$5=$C250,$E$5+$E250,0),2),2)&gt;0,ROUND(AM249+AL250-ROUND(AK$6+IF(AK$5=$C250,$E$5+$E250,0),2),2)&lt;=AN250,ROUND(AM249+AL250-ROUND(AK$6+IF(AK$5=$C250,$E$5+$E250,0),2),2)*10&lt;=ROUND(AK$6+IF(AK$5=$C250,$E$5+$E250,0),2)),ROUND(AM249+AL250,2),MIN(ROUND(AK$6+IF(AK$5=$C250,$E$5+$E250,0),2),ROUND(AM249+AL250,2))),0)</f>
        <v>0</v>
      </c>
      <c r="AL250" s="24">
        <f>IF(AM249&gt;0,ROUND(ROUND(AM249*100,0)*ROUND(AK$7*10000,0)/12000000,0)/100,0)</f>
        <v>0</v>
      </c>
      <c r="AM250" s="24">
        <f>IF(AM249&gt;0,ROUND(AM249+AL250-AK250,2),0)</f>
        <v>0</v>
      </c>
      <c r="AN250" s="24">
        <f>IF(AM249&gt;0,ROUND(AN249+ROUND(ROUND(AN249*100,0)*ROUND(AK$7*10000,0)/12000000,0)/100+0.02,2),0)</f>
        <v>0</v>
      </c>
      <c r="AO250" s="24">
        <f>IF(AQ249&gt;0,IF(AND(ROUND(AQ249+AP250-ROUND(AO$6+IF(AO$5=$C250,$E$5+$E250,0),2),2)&gt;0,ROUND(AQ249+AP250-ROUND(AO$6+IF(AO$5=$C250,$E$5+$E250,0),2),2)&lt;=AR250,ROUND(AQ249+AP250-ROUND(AO$6+IF(AO$5=$C250,$E$5+$E250,0),2),2)*10&lt;=ROUND(AO$6+IF(AO$5=$C250,$E$5+$E250,0),2)),ROUND(AQ249+AP250,2),MIN(ROUND(AO$6+IF(AO$5=$C250,$E$5+$E250,0),2),ROUND(AQ249+AP250,2))),0)</f>
        <v>0</v>
      </c>
      <c r="AP250" s="24">
        <f>IF(AQ249&gt;0,ROUND(ROUND(AQ249*100,0)*ROUND(AO$7*10000,0)/12000000,0)/100,0)</f>
        <v>0</v>
      </c>
      <c r="AQ250" s="24">
        <f>IF(AQ249&gt;0,ROUND(AQ249+AP250-AO250,2),0)</f>
        <v>0</v>
      </c>
      <c r="AR250" s="24">
        <f>IF(AQ249&gt;0,ROUND(AR249+ROUND(ROUND(AR249*100,0)*ROUND(AO$7*10000,0)/12000000,0)/100+0.02,2),0)</f>
        <v>0</v>
      </c>
      <c r="AS250" s="24">
        <f>IF(AU249&gt;0,IF(AND(ROUND(AU249+AT250-ROUND(AS$6+IF(AS$5=$C250,$E$5+$E250,0),2),2)&gt;0,ROUND(AU249+AT250-ROUND(AS$6+IF(AS$5=$C250,$E$5+$E250,0),2),2)&lt;=AV250,ROUND(AU249+AT250-ROUND(AS$6+IF(AS$5=$C250,$E$5+$E250,0),2),2)*10&lt;=ROUND(AS$6+IF(AS$5=$C250,$E$5+$E250,0),2)),ROUND(AU249+AT250,2),MIN(ROUND(AS$6+IF(AS$5=$C250,$E$5+$E250,0),2),ROUND(AU249+AT250,2))),0)</f>
        <v>0</v>
      </c>
      <c r="AT250" s="24">
        <f>IF(AU249&gt;0,ROUND(ROUND(AU249*100,0)*ROUND(AS$7*10000,0)/12000000,0)/100,0)</f>
        <v>0</v>
      </c>
      <c r="AU250" s="24">
        <f>IF(AU249&gt;0,ROUND(AU249+AT250-AS250,2),0)</f>
        <v>0</v>
      </c>
      <c r="AV250" s="24">
        <f>IF(AU249&gt;0,ROUND(AV249+ROUND(ROUND(AV249*100,0)*ROUND(AS$7*10000,0)/12000000,0)/100+0.02,2),0)</f>
        <v>0</v>
      </c>
    </row>
    <row r="251" spans="1:48" x14ac:dyDescent="0.25">
      <c r="A251" s="17" t="str">
        <f>IF(F251&gt;0,241,"")</f>
        <v/>
      </c>
      <c r="B251" s="18" t="str">
        <f>IF(F251&gt;0,EDATE($E$6,241),"")</f>
        <v/>
      </c>
      <c r="C251" s="21">
        <f>IF(H250&gt;0,MIN(IF(K250&gt;0,I$5,99),IF(O250&gt;0,M$5,99),IF(S250&gt;0,Q$5,99),IF(W250&gt;0,U$5,99),IF(AA250&gt;0,Y$5,99),IF(AE250&gt;0,AC$5,99),IF(AI250&gt;0,AG$5,99),IF(AM250&gt;0,AK$5,99),IF(AQ250&gt;0,AO$5,99),IF(AU250&gt;0,AS$5,99)),0)</f>
        <v>0</v>
      </c>
      <c r="D251" t="str">
        <f>IF(C251&gt;0,INDEX($I$4:$AV$4,1,MATCH(C251,$I$5:$AV$5,0)),"")</f>
        <v/>
      </c>
      <c r="E251" s="24">
        <f>ROUND(IF(AND(I$8&gt;0,K250=0),I$6,0)+IF(AND(M$8&gt;0,O250=0),M$6,0)+IF(AND(Q$8&gt;0,S250=0),Q$6,0)+IF(AND(U$8&gt;0,W250=0),U$6,0)+IF(AND(Y$8&gt;0,AA250=0),Y$6,0)+IF(AND(AC$8&gt;0,AE250=0),AC$6,0)+IF(AND(AG$8&gt;0,AI250=0),AG$6,0)+IF(AND(AK$8&gt;0,AM250=0),AK$6,0)+IF(AND(AO$8&gt;0,AQ250=0),AO$6,0)+IF(AND(AS$8&gt;0,AU250=0),AS$6,0),2)</f>
        <v>325</v>
      </c>
      <c r="F251" s="24">
        <f>ROUND(I251+M251+Q251+U251+Y251+AC251+AG251+AK251+AO251+AS251,2)</f>
        <v>0</v>
      </c>
      <c r="G251" s="24">
        <f>ROUND(J251+N251+R251+V251+Z251+AD251+AH251+AL251+AP251+AT251,2)</f>
        <v>0</v>
      </c>
      <c r="H251" s="24">
        <f>ROUND(K251+O251+S251+W251+AA251+AE251+AI251+AM251+AQ251+AU251,2)</f>
        <v>0</v>
      </c>
      <c r="I251" s="24">
        <f>IF(K250&gt;0,IF(AND(ROUND(K250+J251-ROUND(I$6+IF(I$5=$C251,$E$5+$E251,0),2),2)&gt;0,ROUND(K250+J251-ROUND(I$6+IF(I$5=$C251,$E$5+$E251,0),2),2)&lt;=L251,ROUND(K250+J251-ROUND(I$6+IF(I$5=$C251,$E$5+$E251,0),2),2)*10&lt;=ROUND(I$6+IF(I$5=$C251,$E$5+$E251,0),2)),ROUND(K250+J251,2),MIN(ROUND(I$6+IF(I$5=$C251,$E$5+$E251,0),2),ROUND(K250+J251,2))),0)</f>
        <v>0</v>
      </c>
      <c r="J251" s="24">
        <f>IF(K250&gt;0,ROUND(ROUND(K250*100,0)*ROUND(I$7*10000,0)/12000000,0)/100,0)</f>
        <v>0</v>
      </c>
      <c r="K251" s="24">
        <f>IF(K250&gt;0,ROUND(K250+J251-I251,2),0)</f>
        <v>0</v>
      </c>
      <c r="L251" s="24">
        <f>IF(K250&gt;0,ROUND(L250+ROUND(ROUND(L250*100,0)*ROUND(I$7*10000,0)/12000000,0)/100+0.02,2),0)</f>
        <v>0</v>
      </c>
      <c r="M251" s="24">
        <f>IF(O250&gt;0,IF(AND(ROUND(O250+N251-ROUND(M$6+IF(M$5=$C251,$E$5+$E251,0),2),2)&gt;0,ROUND(O250+N251-ROUND(M$6+IF(M$5=$C251,$E$5+$E251,0),2),2)&lt;=P251,ROUND(O250+N251-ROUND(M$6+IF(M$5=$C251,$E$5+$E251,0),2),2)*10&lt;=ROUND(M$6+IF(M$5=$C251,$E$5+$E251,0),2)),ROUND(O250+N251,2),MIN(ROUND(M$6+IF(M$5=$C251,$E$5+$E251,0),2),ROUND(O250+N251,2))),0)</f>
        <v>0</v>
      </c>
      <c r="N251" s="24">
        <f>IF(O250&gt;0,ROUND(ROUND(O250*100,0)*ROUND(M$7*10000,0)/12000000,0)/100,0)</f>
        <v>0</v>
      </c>
      <c r="O251" s="24">
        <f>IF(O250&gt;0,ROUND(O250+N251-M251,2),0)</f>
        <v>0</v>
      </c>
      <c r="P251" s="24">
        <f>IF(O250&gt;0,ROUND(P250+ROUND(ROUND(P250*100,0)*ROUND(M$7*10000,0)/12000000,0)/100+0.02,2),0)</f>
        <v>0</v>
      </c>
      <c r="Q251" s="24">
        <f>IF(S250&gt;0,IF(AND(ROUND(S250+R251-ROUND(Q$6+IF(Q$5=$C251,$E$5+$E251,0),2),2)&gt;0,ROUND(S250+R251-ROUND(Q$6+IF(Q$5=$C251,$E$5+$E251,0),2),2)&lt;=T251,ROUND(S250+R251-ROUND(Q$6+IF(Q$5=$C251,$E$5+$E251,0),2),2)*10&lt;=ROUND(Q$6+IF(Q$5=$C251,$E$5+$E251,0),2)),ROUND(S250+R251,2),MIN(ROUND(Q$6+IF(Q$5=$C251,$E$5+$E251,0),2),ROUND(S250+R251,2))),0)</f>
        <v>0</v>
      </c>
      <c r="R251" s="24">
        <f>IF(S250&gt;0,ROUND(ROUND(S250*100,0)*ROUND(Q$7*10000,0)/12000000,0)/100,0)</f>
        <v>0</v>
      </c>
      <c r="S251" s="24">
        <f>IF(S250&gt;0,ROUND(S250+R251-Q251,2),0)</f>
        <v>0</v>
      </c>
      <c r="T251" s="24">
        <f>IF(S250&gt;0,ROUND(T250+ROUND(ROUND(T250*100,0)*ROUND(Q$7*10000,0)/12000000,0)/100+0.02,2),0)</f>
        <v>0</v>
      </c>
      <c r="U251" s="24">
        <f>IF(W250&gt;0,IF(AND(ROUND(W250+V251-ROUND(U$6+IF(U$5=$C251,$E$5+$E251,0),2),2)&gt;0,ROUND(W250+V251-ROUND(U$6+IF(U$5=$C251,$E$5+$E251,0),2),2)&lt;=X251,ROUND(W250+V251-ROUND(U$6+IF(U$5=$C251,$E$5+$E251,0),2),2)*10&lt;=ROUND(U$6+IF(U$5=$C251,$E$5+$E251,0),2)),ROUND(W250+V251,2),MIN(ROUND(U$6+IF(U$5=$C251,$E$5+$E251,0),2),ROUND(W250+V251,2))),0)</f>
        <v>0</v>
      </c>
      <c r="V251" s="24">
        <f>IF(W250&gt;0,ROUND(ROUND(W250*100,0)*ROUND(U$7*10000,0)/12000000,0)/100,0)</f>
        <v>0</v>
      </c>
      <c r="W251" s="24">
        <f>IF(W250&gt;0,ROUND(W250+V251-U251,2),0)</f>
        <v>0</v>
      </c>
      <c r="X251" s="24">
        <f>IF(W250&gt;0,ROUND(X250+ROUND(ROUND(X250*100,0)*ROUND(U$7*10000,0)/12000000,0)/100+0.02,2),0)</f>
        <v>0</v>
      </c>
      <c r="Y251" s="24">
        <f>IF(AA250&gt;0,IF(AND(ROUND(AA250+Z251-ROUND(Y$6+IF(Y$5=$C251,$E$5+$E251,0),2),2)&gt;0,ROUND(AA250+Z251-ROUND(Y$6+IF(Y$5=$C251,$E$5+$E251,0),2),2)&lt;=AB251,ROUND(AA250+Z251-ROUND(Y$6+IF(Y$5=$C251,$E$5+$E251,0),2),2)*10&lt;=ROUND(Y$6+IF(Y$5=$C251,$E$5+$E251,0),2)),ROUND(AA250+Z251,2),MIN(ROUND(Y$6+IF(Y$5=$C251,$E$5+$E251,0),2),ROUND(AA250+Z251,2))),0)</f>
        <v>0</v>
      </c>
      <c r="Z251" s="24">
        <f>IF(AA250&gt;0,ROUND(ROUND(AA250*100,0)*ROUND(Y$7*10000,0)/12000000,0)/100,0)</f>
        <v>0</v>
      </c>
      <c r="AA251" s="24">
        <f>IF(AA250&gt;0,ROUND(AA250+Z251-Y251,2),0)</f>
        <v>0</v>
      </c>
      <c r="AB251" s="24">
        <f>IF(AA250&gt;0,ROUND(AB250+ROUND(ROUND(AB250*100,0)*ROUND(Y$7*10000,0)/12000000,0)/100+0.02,2),0)</f>
        <v>0</v>
      </c>
      <c r="AC251" s="24">
        <f>IF(AE250&gt;0,IF(AND(ROUND(AE250+AD251-ROUND(AC$6+IF(AC$5=$C251,$E$5+$E251,0),2),2)&gt;0,ROUND(AE250+AD251-ROUND(AC$6+IF(AC$5=$C251,$E$5+$E251,0),2),2)&lt;=AF251,ROUND(AE250+AD251-ROUND(AC$6+IF(AC$5=$C251,$E$5+$E251,0),2),2)*10&lt;=ROUND(AC$6+IF(AC$5=$C251,$E$5+$E251,0),2)),ROUND(AE250+AD251,2),MIN(ROUND(AC$6+IF(AC$5=$C251,$E$5+$E251,0),2),ROUND(AE250+AD251,2))),0)</f>
        <v>0</v>
      </c>
      <c r="AD251" s="24">
        <f>IF(AE250&gt;0,ROUND(ROUND(AE250*100,0)*ROUND(AC$7*10000,0)/12000000,0)/100,0)</f>
        <v>0</v>
      </c>
      <c r="AE251" s="24">
        <f>IF(AE250&gt;0,ROUND(AE250+AD251-AC251,2),0)</f>
        <v>0</v>
      </c>
      <c r="AF251" s="24">
        <f>IF(AE250&gt;0,ROUND(AF250+ROUND(ROUND(AF250*100,0)*ROUND(AC$7*10000,0)/12000000,0)/100+0.02,2),0)</f>
        <v>0</v>
      </c>
      <c r="AG251" s="24">
        <f>IF(AI250&gt;0,IF(AND(ROUND(AI250+AH251-ROUND(AG$6+IF(AG$5=$C251,$E$5+$E251,0),2),2)&gt;0,ROUND(AI250+AH251-ROUND(AG$6+IF(AG$5=$C251,$E$5+$E251,0),2),2)&lt;=AJ251,ROUND(AI250+AH251-ROUND(AG$6+IF(AG$5=$C251,$E$5+$E251,0),2),2)*10&lt;=ROUND(AG$6+IF(AG$5=$C251,$E$5+$E251,0),2)),ROUND(AI250+AH251,2),MIN(ROUND(AG$6+IF(AG$5=$C251,$E$5+$E251,0),2),ROUND(AI250+AH251,2))),0)</f>
        <v>0</v>
      </c>
      <c r="AH251" s="24">
        <f>IF(AI250&gt;0,ROUND(ROUND(AI250*100,0)*ROUND(AG$7*10000,0)/12000000,0)/100,0)</f>
        <v>0</v>
      </c>
      <c r="AI251" s="24">
        <f>IF(AI250&gt;0,ROUND(AI250+AH251-AG251,2),0)</f>
        <v>0</v>
      </c>
      <c r="AJ251" s="24">
        <f>IF(AI250&gt;0,ROUND(AJ250+ROUND(ROUND(AJ250*100,0)*ROUND(AG$7*10000,0)/12000000,0)/100+0.02,2),0)</f>
        <v>0</v>
      </c>
      <c r="AK251" s="24">
        <f>IF(AM250&gt;0,IF(AND(ROUND(AM250+AL251-ROUND(AK$6+IF(AK$5=$C251,$E$5+$E251,0),2),2)&gt;0,ROUND(AM250+AL251-ROUND(AK$6+IF(AK$5=$C251,$E$5+$E251,0),2),2)&lt;=AN251,ROUND(AM250+AL251-ROUND(AK$6+IF(AK$5=$C251,$E$5+$E251,0),2),2)*10&lt;=ROUND(AK$6+IF(AK$5=$C251,$E$5+$E251,0),2)),ROUND(AM250+AL251,2),MIN(ROUND(AK$6+IF(AK$5=$C251,$E$5+$E251,0),2),ROUND(AM250+AL251,2))),0)</f>
        <v>0</v>
      </c>
      <c r="AL251" s="24">
        <f>IF(AM250&gt;0,ROUND(ROUND(AM250*100,0)*ROUND(AK$7*10000,0)/12000000,0)/100,0)</f>
        <v>0</v>
      </c>
      <c r="AM251" s="24">
        <f>IF(AM250&gt;0,ROUND(AM250+AL251-AK251,2),0)</f>
        <v>0</v>
      </c>
      <c r="AN251" s="24">
        <f>IF(AM250&gt;0,ROUND(AN250+ROUND(ROUND(AN250*100,0)*ROUND(AK$7*10000,0)/12000000,0)/100+0.02,2),0)</f>
        <v>0</v>
      </c>
      <c r="AO251" s="24">
        <f>IF(AQ250&gt;0,IF(AND(ROUND(AQ250+AP251-ROUND(AO$6+IF(AO$5=$C251,$E$5+$E251,0),2),2)&gt;0,ROUND(AQ250+AP251-ROUND(AO$6+IF(AO$5=$C251,$E$5+$E251,0),2),2)&lt;=AR251,ROUND(AQ250+AP251-ROUND(AO$6+IF(AO$5=$C251,$E$5+$E251,0),2),2)*10&lt;=ROUND(AO$6+IF(AO$5=$C251,$E$5+$E251,0),2)),ROUND(AQ250+AP251,2),MIN(ROUND(AO$6+IF(AO$5=$C251,$E$5+$E251,0),2),ROUND(AQ250+AP251,2))),0)</f>
        <v>0</v>
      </c>
      <c r="AP251" s="24">
        <f>IF(AQ250&gt;0,ROUND(ROUND(AQ250*100,0)*ROUND(AO$7*10000,0)/12000000,0)/100,0)</f>
        <v>0</v>
      </c>
      <c r="AQ251" s="24">
        <f>IF(AQ250&gt;0,ROUND(AQ250+AP251-AO251,2),0)</f>
        <v>0</v>
      </c>
      <c r="AR251" s="24">
        <f>IF(AQ250&gt;0,ROUND(AR250+ROUND(ROUND(AR250*100,0)*ROUND(AO$7*10000,0)/12000000,0)/100+0.02,2),0)</f>
        <v>0</v>
      </c>
      <c r="AS251" s="24">
        <f>IF(AU250&gt;0,IF(AND(ROUND(AU250+AT251-ROUND(AS$6+IF(AS$5=$C251,$E$5+$E251,0),2),2)&gt;0,ROUND(AU250+AT251-ROUND(AS$6+IF(AS$5=$C251,$E$5+$E251,0),2),2)&lt;=AV251,ROUND(AU250+AT251-ROUND(AS$6+IF(AS$5=$C251,$E$5+$E251,0),2),2)*10&lt;=ROUND(AS$6+IF(AS$5=$C251,$E$5+$E251,0),2)),ROUND(AU250+AT251,2),MIN(ROUND(AS$6+IF(AS$5=$C251,$E$5+$E251,0),2),ROUND(AU250+AT251,2))),0)</f>
        <v>0</v>
      </c>
      <c r="AT251" s="24">
        <f>IF(AU250&gt;0,ROUND(ROUND(AU250*100,0)*ROUND(AS$7*10000,0)/12000000,0)/100,0)</f>
        <v>0</v>
      </c>
      <c r="AU251" s="24">
        <f>IF(AU250&gt;0,ROUND(AU250+AT251-AS251,2),0)</f>
        <v>0</v>
      </c>
      <c r="AV251" s="24">
        <f>IF(AU250&gt;0,ROUND(AV250+ROUND(ROUND(AV250*100,0)*ROUND(AS$7*10000,0)/12000000,0)/100+0.02,2),0)</f>
        <v>0</v>
      </c>
    </row>
    <row r="252" spans="1:48" x14ac:dyDescent="0.25">
      <c r="A252" s="17" t="str">
        <f>IF(F252&gt;0,242,"")</f>
        <v/>
      </c>
      <c r="B252" s="18" t="str">
        <f>IF(F252&gt;0,EDATE($E$6,242),"")</f>
        <v/>
      </c>
      <c r="C252" s="21">
        <f>IF(H251&gt;0,MIN(IF(K251&gt;0,I$5,99),IF(O251&gt;0,M$5,99),IF(S251&gt;0,Q$5,99),IF(W251&gt;0,U$5,99),IF(AA251&gt;0,Y$5,99),IF(AE251&gt;0,AC$5,99),IF(AI251&gt;0,AG$5,99),IF(AM251&gt;0,AK$5,99),IF(AQ251&gt;0,AO$5,99),IF(AU251&gt;0,AS$5,99)),0)</f>
        <v>0</v>
      </c>
      <c r="D252" t="str">
        <f>IF(C252&gt;0,INDEX($I$4:$AV$4,1,MATCH(C252,$I$5:$AV$5,0)),"")</f>
        <v/>
      </c>
      <c r="E252" s="24">
        <f>ROUND(IF(AND(I$8&gt;0,K251=0),I$6,0)+IF(AND(M$8&gt;0,O251=0),M$6,0)+IF(AND(Q$8&gt;0,S251=0),Q$6,0)+IF(AND(U$8&gt;0,W251=0),U$6,0)+IF(AND(Y$8&gt;0,AA251=0),Y$6,0)+IF(AND(AC$8&gt;0,AE251=0),AC$6,0)+IF(AND(AG$8&gt;0,AI251=0),AG$6,0)+IF(AND(AK$8&gt;0,AM251=0),AK$6,0)+IF(AND(AO$8&gt;0,AQ251=0),AO$6,0)+IF(AND(AS$8&gt;0,AU251=0),AS$6,0),2)</f>
        <v>325</v>
      </c>
      <c r="F252" s="24">
        <f>ROUND(I252+M252+Q252+U252+Y252+AC252+AG252+AK252+AO252+AS252,2)</f>
        <v>0</v>
      </c>
      <c r="G252" s="24">
        <f>ROUND(J252+N252+R252+V252+Z252+AD252+AH252+AL252+AP252+AT252,2)</f>
        <v>0</v>
      </c>
      <c r="H252" s="24">
        <f>ROUND(K252+O252+S252+W252+AA252+AE252+AI252+AM252+AQ252+AU252,2)</f>
        <v>0</v>
      </c>
      <c r="I252" s="24">
        <f>IF(K251&gt;0,IF(AND(ROUND(K251+J252-ROUND(I$6+IF(I$5=$C252,$E$5+$E252,0),2),2)&gt;0,ROUND(K251+J252-ROUND(I$6+IF(I$5=$C252,$E$5+$E252,0),2),2)&lt;=L252,ROUND(K251+J252-ROUND(I$6+IF(I$5=$C252,$E$5+$E252,0),2),2)*10&lt;=ROUND(I$6+IF(I$5=$C252,$E$5+$E252,0),2)),ROUND(K251+J252,2),MIN(ROUND(I$6+IF(I$5=$C252,$E$5+$E252,0),2),ROUND(K251+J252,2))),0)</f>
        <v>0</v>
      </c>
      <c r="J252" s="24">
        <f>IF(K251&gt;0,ROUND(ROUND(K251*100,0)*ROUND(I$7*10000,0)/12000000,0)/100,0)</f>
        <v>0</v>
      </c>
      <c r="K252" s="24">
        <f>IF(K251&gt;0,ROUND(K251+J252-I252,2),0)</f>
        <v>0</v>
      </c>
      <c r="L252" s="24">
        <f>IF(K251&gt;0,ROUND(L251+ROUND(ROUND(L251*100,0)*ROUND(I$7*10000,0)/12000000,0)/100+0.02,2),0)</f>
        <v>0</v>
      </c>
      <c r="M252" s="24">
        <f>IF(O251&gt;0,IF(AND(ROUND(O251+N252-ROUND(M$6+IF(M$5=$C252,$E$5+$E252,0),2),2)&gt;0,ROUND(O251+N252-ROUND(M$6+IF(M$5=$C252,$E$5+$E252,0),2),2)&lt;=P252,ROUND(O251+N252-ROUND(M$6+IF(M$5=$C252,$E$5+$E252,0),2),2)*10&lt;=ROUND(M$6+IF(M$5=$C252,$E$5+$E252,0),2)),ROUND(O251+N252,2),MIN(ROUND(M$6+IF(M$5=$C252,$E$5+$E252,0),2),ROUND(O251+N252,2))),0)</f>
        <v>0</v>
      </c>
      <c r="N252" s="24">
        <f>IF(O251&gt;0,ROUND(ROUND(O251*100,0)*ROUND(M$7*10000,0)/12000000,0)/100,0)</f>
        <v>0</v>
      </c>
      <c r="O252" s="24">
        <f>IF(O251&gt;0,ROUND(O251+N252-M252,2),0)</f>
        <v>0</v>
      </c>
      <c r="P252" s="24">
        <f>IF(O251&gt;0,ROUND(P251+ROUND(ROUND(P251*100,0)*ROUND(M$7*10000,0)/12000000,0)/100+0.02,2),0)</f>
        <v>0</v>
      </c>
      <c r="Q252" s="24">
        <f>IF(S251&gt;0,IF(AND(ROUND(S251+R252-ROUND(Q$6+IF(Q$5=$C252,$E$5+$E252,0),2),2)&gt;0,ROUND(S251+R252-ROUND(Q$6+IF(Q$5=$C252,$E$5+$E252,0),2),2)&lt;=T252,ROUND(S251+R252-ROUND(Q$6+IF(Q$5=$C252,$E$5+$E252,0),2),2)*10&lt;=ROUND(Q$6+IF(Q$5=$C252,$E$5+$E252,0),2)),ROUND(S251+R252,2),MIN(ROUND(Q$6+IF(Q$5=$C252,$E$5+$E252,0),2),ROUND(S251+R252,2))),0)</f>
        <v>0</v>
      </c>
      <c r="R252" s="24">
        <f>IF(S251&gt;0,ROUND(ROUND(S251*100,0)*ROUND(Q$7*10000,0)/12000000,0)/100,0)</f>
        <v>0</v>
      </c>
      <c r="S252" s="24">
        <f>IF(S251&gt;0,ROUND(S251+R252-Q252,2),0)</f>
        <v>0</v>
      </c>
      <c r="T252" s="24">
        <f>IF(S251&gt;0,ROUND(T251+ROUND(ROUND(T251*100,0)*ROUND(Q$7*10000,0)/12000000,0)/100+0.02,2),0)</f>
        <v>0</v>
      </c>
      <c r="U252" s="24">
        <f>IF(W251&gt;0,IF(AND(ROUND(W251+V252-ROUND(U$6+IF(U$5=$C252,$E$5+$E252,0),2),2)&gt;0,ROUND(W251+V252-ROUND(U$6+IF(U$5=$C252,$E$5+$E252,0),2),2)&lt;=X252,ROUND(W251+V252-ROUND(U$6+IF(U$5=$C252,$E$5+$E252,0),2),2)*10&lt;=ROUND(U$6+IF(U$5=$C252,$E$5+$E252,0),2)),ROUND(W251+V252,2),MIN(ROUND(U$6+IF(U$5=$C252,$E$5+$E252,0),2),ROUND(W251+V252,2))),0)</f>
        <v>0</v>
      </c>
      <c r="V252" s="24">
        <f>IF(W251&gt;0,ROUND(ROUND(W251*100,0)*ROUND(U$7*10000,0)/12000000,0)/100,0)</f>
        <v>0</v>
      </c>
      <c r="W252" s="24">
        <f>IF(W251&gt;0,ROUND(W251+V252-U252,2),0)</f>
        <v>0</v>
      </c>
      <c r="X252" s="24">
        <f>IF(W251&gt;0,ROUND(X251+ROUND(ROUND(X251*100,0)*ROUND(U$7*10000,0)/12000000,0)/100+0.02,2),0)</f>
        <v>0</v>
      </c>
      <c r="Y252" s="24">
        <f>IF(AA251&gt;0,IF(AND(ROUND(AA251+Z252-ROUND(Y$6+IF(Y$5=$C252,$E$5+$E252,0),2),2)&gt;0,ROUND(AA251+Z252-ROUND(Y$6+IF(Y$5=$C252,$E$5+$E252,0),2),2)&lt;=AB252,ROUND(AA251+Z252-ROUND(Y$6+IF(Y$5=$C252,$E$5+$E252,0),2),2)*10&lt;=ROUND(Y$6+IF(Y$5=$C252,$E$5+$E252,0),2)),ROUND(AA251+Z252,2),MIN(ROUND(Y$6+IF(Y$5=$C252,$E$5+$E252,0),2),ROUND(AA251+Z252,2))),0)</f>
        <v>0</v>
      </c>
      <c r="Z252" s="24">
        <f>IF(AA251&gt;0,ROUND(ROUND(AA251*100,0)*ROUND(Y$7*10000,0)/12000000,0)/100,0)</f>
        <v>0</v>
      </c>
      <c r="AA252" s="24">
        <f>IF(AA251&gt;0,ROUND(AA251+Z252-Y252,2),0)</f>
        <v>0</v>
      </c>
      <c r="AB252" s="24">
        <f>IF(AA251&gt;0,ROUND(AB251+ROUND(ROUND(AB251*100,0)*ROUND(Y$7*10000,0)/12000000,0)/100+0.02,2),0)</f>
        <v>0</v>
      </c>
      <c r="AC252" s="24">
        <f>IF(AE251&gt;0,IF(AND(ROUND(AE251+AD252-ROUND(AC$6+IF(AC$5=$C252,$E$5+$E252,0),2),2)&gt;0,ROUND(AE251+AD252-ROUND(AC$6+IF(AC$5=$C252,$E$5+$E252,0),2),2)&lt;=AF252,ROUND(AE251+AD252-ROUND(AC$6+IF(AC$5=$C252,$E$5+$E252,0),2),2)*10&lt;=ROUND(AC$6+IF(AC$5=$C252,$E$5+$E252,0),2)),ROUND(AE251+AD252,2),MIN(ROUND(AC$6+IF(AC$5=$C252,$E$5+$E252,0),2),ROUND(AE251+AD252,2))),0)</f>
        <v>0</v>
      </c>
      <c r="AD252" s="24">
        <f>IF(AE251&gt;0,ROUND(ROUND(AE251*100,0)*ROUND(AC$7*10000,0)/12000000,0)/100,0)</f>
        <v>0</v>
      </c>
      <c r="AE252" s="24">
        <f>IF(AE251&gt;0,ROUND(AE251+AD252-AC252,2),0)</f>
        <v>0</v>
      </c>
      <c r="AF252" s="24">
        <f>IF(AE251&gt;0,ROUND(AF251+ROUND(ROUND(AF251*100,0)*ROUND(AC$7*10000,0)/12000000,0)/100+0.02,2),0)</f>
        <v>0</v>
      </c>
      <c r="AG252" s="24">
        <f>IF(AI251&gt;0,IF(AND(ROUND(AI251+AH252-ROUND(AG$6+IF(AG$5=$C252,$E$5+$E252,0),2),2)&gt;0,ROUND(AI251+AH252-ROUND(AG$6+IF(AG$5=$C252,$E$5+$E252,0),2),2)&lt;=AJ252,ROUND(AI251+AH252-ROUND(AG$6+IF(AG$5=$C252,$E$5+$E252,0),2),2)*10&lt;=ROUND(AG$6+IF(AG$5=$C252,$E$5+$E252,0),2)),ROUND(AI251+AH252,2),MIN(ROUND(AG$6+IF(AG$5=$C252,$E$5+$E252,0),2),ROUND(AI251+AH252,2))),0)</f>
        <v>0</v>
      </c>
      <c r="AH252" s="24">
        <f>IF(AI251&gt;0,ROUND(ROUND(AI251*100,0)*ROUND(AG$7*10000,0)/12000000,0)/100,0)</f>
        <v>0</v>
      </c>
      <c r="AI252" s="24">
        <f>IF(AI251&gt;0,ROUND(AI251+AH252-AG252,2),0)</f>
        <v>0</v>
      </c>
      <c r="AJ252" s="24">
        <f>IF(AI251&gt;0,ROUND(AJ251+ROUND(ROUND(AJ251*100,0)*ROUND(AG$7*10000,0)/12000000,0)/100+0.02,2),0)</f>
        <v>0</v>
      </c>
      <c r="AK252" s="24">
        <f>IF(AM251&gt;0,IF(AND(ROUND(AM251+AL252-ROUND(AK$6+IF(AK$5=$C252,$E$5+$E252,0),2),2)&gt;0,ROUND(AM251+AL252-ROUND(AK$6+IF(AK$5=$C252,$E$5+$E252,0),2),2)&lt;=AN252,ROUND(AM251+AL252-ROUND(AK$6+IF(AK$5=$C252,$E$5+$E252,0),2),2)*10&lt;=ROUND(AK$6+IF(AK$5=$C252,$E$5+$E252,0),2)),ROUND(AM251+AL252,2),MIN(ROUND(AK$6+IF(AK$5=$C252,$E$5+$E252,0),2),ROUND(AM251+AL252,2))),0)</f>
        <v>0</v>
      </c>
      <c r="AL252" s="24">
        <f>IF(AM251&gt;0,ROUND(ROUND(AM251*100,0)*ROUND(AK$7*10000,0)/12000000,0)/100,0)</f>
        <v>0</v>
      </c>
      <c r="AM252" s="24">
        <f>IF(AM251&gt;0,ROUND(AM251+AL252-AK252,2),0)</f>
        <v>0</v>
      </c>
      <c r="AN252" s="24">
        <f>IF(AM251&gt;0,ROUND(AN251+ROUND(ROUND(AN251*100,0)*ROUND(AK$7*10000,0)/12000000,0)/100+0.02,2),0)</f>
        <v>0</v>
      </c>
      <c r="AO252" s="24">
        <f>IF(AQ251&gt;0,IF(AND(ROUND(AQ251+AP252-ROUND(AO$6+IF(AO$5=$C252,$E$5+$E252,0),2),2)&gt;0,ROUND(AQ251+AP252-ROUND(AO$6+IF(AO$5=$C252,$E$5+$E252,0),2),2)&lt;=AR252,ROUND(AQ251+AP252-ROUND(AO$6+IF(AO$5=$C252,$E$5+$E252,0),2),2)*10&lt;=ROUND(AO$6+IF(AO$5=$C252,$E$5+$E252,0),2)),ROUND(AQ251+AP252,2),MIN(ROUND(AO$6+IF(AO$5=$C252,$E$5+$E252,0),2),ROUND(AQ251+AP252,2))),0)</f>
        <v>0</v>
      </c>
      <c r="AP252" s="24">
        <f>IF(AQ251&gt;0,ROUND(ROUND(AQ251*100,0)*ROUND(AO$7*10000,0)/12000000,0)/100,0)</f>
        <v>0</v>
      </c>
      <c r="AQ252" s="24">
        <f>IF(AQ251&gt;0,ROUND(AQ251+AP252-AO252,2),0)</f>
        <v>0</v>
      </c>
      <c r="AR252" s="24">
        <f>IF(AQ251&gt;0,ROUND(AR251+ROUND(ROUND(AR251*100,0)*ROUND(AO$7*10000,0)/12000000,0)/100+0.02,2),0)</f>
        <v>0</v>
      </c>
      <c r="AS252" s="24">
        <f>IF(AU251&gt;0,IF(AND(ROUND(AU251+AT252-ROUND(AS$6+IF(AS$5=$C252,$E$5+$E252,0),2),2)&gt;0,ROUND(AU251+AT252-ROUND(AS$6+IF(AS$5=$C252,$E$5+$E252,0),2),2)&lt;=AV252,ROUND(AU251+AT252-ROUND(AS$6+IF(AS$5=$C252,$E$5+$E252,0),2),2)*10&lt;=ROUND(AS$6+IF(AS$5=$C252,$E$5+$E252,0),2)),ROUND(AU251+AT252,2),MIN(ROUND(AS$6+IF(AS$5=$C252,$E$5+$E252,0),2),ROUND(AU251+AT252,2))),0)</f>
        <v>0</v>
      </c>
      <c r="AT252" s="24">
        <f>IF(AU251&gt;0,ROUND(ROUND(AU251*100,0)*ROUND(AS$7*10000,0)/12000000,0)/100,0)</f>
        <v>0</v>
      </c>
      <c r="AU252" s="24">
        <f>IF(AU251&gt;0,ROUND(AU251+AT252-AS252,2),0)</f>
        <v>0</v>
      </c>
      <c r="AV252" s="24">
        <f>IF(AU251&gt;0,ROUND(AV251+ROUND(ROUND(AV251*100,0)*ROUND(AS$7*10000,0)/12000000,0)/100+0.02,2),0)</f>
        <v>0</v>
      </c>
    </row>
    <row r="253" spans="1:48" x14ac:dyDescent="0.25">
      <c r="A253" s="17" t="str">
        <f>IF(F253&gt;0,243,"")</f>
        <v/>
      </c>
      <c r="B253" s="18" t="str">
        <f>IF(F253&gt;0,EDATE($E$6,243),"")</f>
        <v/>
      </c>
      <c r="C253" s="21">
        <f>IF(H252&gt;0,MIN(IF(K252&gt;0,I$5,99),IF(O252&gt;0,M$5,99),IF(S252&gt;0,Q$5,99),IF(W252&gt;0,U$5,99),IF(AA252&gt;0,Y$5,99),IF(AE252&gt;0,AC$5,99),IF(AI252&gt;0,AG$5,99),IF(AM252&gt;0,AK$5,99),IF(AQ252&gt;0,AO$5,99),IF(AU252&gt;0,AS$5,99)),0)</f>
        <v>0</v>
      </c>
      <c r="D253" t="str">
        <f>IF(C253&gt;0,INDEX($I$4:$AV$4,1,MATCH(C253,$I$5:$AV$5,0)),"")</f>
        <v/>
      </c>
      <c r="E253" s="24">
        <f>ROUND(IF(AND(I$8&gt;0,K252=0),I$6,0)+IF(AND(M$8&gt;0,O252=0),M$6,0)+IF(AND(Q$8&gt;0,S252=0),Q$6,0)+IF(AND(U$8&gt;0,W252=0),U$6,0)+IF(AND(Y$8&gt;0,AA252=0),Y$6,0)+IF(AND(AC$8&gt;0,AE252=0),AC$6,0)+IF(AND(AG$8&gt;0,AI252=0),AG$6,0)+IF(AND(AK$8&gt;0,AM252=0),AK$6,0)+IF(AND(AO$8&gt;0,AQ252=0),AO$6,0)+IF(AND(AS$8&gt;0,AU252=0),AS$6,0),2)</f>
        <v>325</v>
      </c>
      <c r="F253" s="24">
        <f>ROUND(I253+M253+Q253+U253+Y253+AC253+AG253+AK253+AO253+AS253,2)</f>
        <v>0</v>
      </c>
      <c r="G253" s="24">
        <f>ROUND(J253+N253+R253+V253+Z253+AD253+AH253+AL253+AP253+AT253,2)</f>
        <v>0</v>
      </c>
      <c r="H253" s="24">
        <f>ROUND(K253+O253+S253+W253+AA253+AE253+AI253+AM253+AQ253+AU253,2)</f>
        <v>0</v>
      </c>
      <c r="I253" s="24">
        <f>IF(K252&gt;0,IF(AND(ROUND(K252+J253-ROUND(I$6+IF(I$5=$C253,$E$5+$E253,0),2),2)&gt;0,ROUND(K252+J253-ROUND(I$6+IF(I$5=$C253,$E$5+$E253,0),2),2)&lt;=L253,ROUND(K252+J253-ROUND(I$6+IF(I$5=$C253,$E$5+$E253,0),2),2)*10&lt;=ROUND(I$6+IF(I$5=$C253,$E$5+$E253,0),2)),ROUND(K252+J253,2),MIN(ROUND(I$6+IF(I$5=$C253,$E$5+$E253,0),2),ROUND(K252+J253,2))),0)</f>
        <v>0</v>
      </c>
      <c r="J253" s="24">
        <f>IF(K252&gt;0,ROUND(ROUND(K252*100,0)*ROUND(I$7*10000,0)/12000000,0)/100,0)</f>
        <v>0</v>
      </c>
      <c r="K253" s="24">
        <f>IF(K252&gt;0,ROUND(K252+J253-I253,2),0)</f>
        <v>0</v>
      </c>
      <c r="L253" s="24">
        <f>IF(K252&gt;0,ROUND(L252+ROUND(ROUND(L252*100,0)*ROUND(I$7*10000,0)/12000000,0)/100+0.02,2),0)</f>
        <v>0</v>
      </c>
      <c r="M253" s="24">
        <f>IF(O252&gt;0,IF(AND(ROUND(O252+N253-ROUND(M$6+IF(M$5=$C253,$E$5+$E253,0),2),2)&gt;0,ROUND(O252+N253-ROUND(M$6+IF(M$5=$C253,$E$5+$E253,0),2),2)&lt;=P253,ROUND(O252+N253-ROUND(M$6+IF(M$5=$C253,$E$5+$E253,0),2),2)*10&lt;=ROUND(M$6+IF(M$5=$C253,$E$5+$E253,0),2)),ROUND(O252+N253,2),MIN(ROUND(M$6+IF(M$5=$C253,$E$5+$E253,0),2),ROUND(O252+N253,2))),0)</f>
        <v>0</v>
      </c>
      <c r="N253" s="24">
        <f>IF(O252&gt;0,ROUND(ROUND(O252*100,0)*ROUND(M$7*10000,0)/12000000,0)/100,0)</f>
        <v>0</v>
      </c>
      <c r="O253" s="24">
        <f>IF(O252&gt;0,ROUND(O252+N253-M253,2),0)</f>
        <v>0</v>
      </c>
      <c r="P253" s="24">
        <f>IF(O252&gt;0,ROUND(P252+ROUND(ROUND(P252*100,0)*ROUND(M$7*10000,0)/12000000,0)/100+0.02,2),0)</f>
        <v>0</v>
      </c>
      <c r="Q253" s="24">
        <f>IF(S252&gt;0,IF(AND(ROUND(S252+R253-ROUND(Q$6+IF(Q$5=$C253,$E$5+$E253,0),2),2)&gt;0,ROUND(S252+R253-ROUND(Q$6+IF(Q$5=$C253,$E$5+$E253,0),2),2)&lt;=T253,ROUND(S252+R253-ROUND(Q$6+IF(Q$5=$C253,$E$5+$E253,0),2),2)*10&lt;=ROUND(Q$6+IF(Q$5=$C253,$E$5+$E253,0),2)),ROUND(S252+R253,2),MIN(ROUND(Q$6+IF(Q$5=$C253,$E$5+$E253,0),2),ROUND(S252+R253,2))),0)</f>
        <v>0</v>
      </c>
      <c r="R253" s="24">
        <f>IF(S252&gt;0,ROUND(ROUND(S252*100,0)*ROUND(Q$7*10000,0)/12000000,0)/100,0)</f>
        <v>0</v>
      </c>
      <c r="S253" s="24">
        <f>IF(S252&gt;0,ROUND(S252+R253-Q253,2),0)</f>
        <v>0</v>
      </c>
      <c r="T253" s="24">
        <f>IF(S252&gt;0,ROUND(T252+ROUND(ROUND(T252*100,0)*ROUND(Q$7*10000,0)/12000000,0)/100+0.02,2),0)</f>
        <v>0</v>
      </c>
      <c r="U253" s="24">
        <f>IF(W252&gt;0,IF(AND(ROUND(W252+V253-ROUND(U$6+IF(U$5=$C253,$E$5+$E253,0),2),2)&gt;0,ROUND(W252+V253-ROUND(U$6+IF(U$5=$C253,$E$5+$E253,0),2),2)&lt;=X253,ROUND(W252+V253-ROUND(U$6+IF(U$5=$C253,$E$5+$E253,0),2),2)*10&lt;=ROUND(U$6+IF(U$5=$C253,$E$5+$E253,0),2)),ROUND(W252+V253,2),MIN(ROUND(U$6+IF(U$5=$C253,$E$5+$E253,0),2),ROUND(W252+V253,2))),0)</f>
        <v>0</v>
      </c>
      <c r="V253" s="24">
        <f>IF(W252&gt;0,ROUND(ROUND(W252*100,0)*ROUND(U$7*10000,0)/12000000,0)/100,0)</f>
        <v>0</v>
      </c>
      <c r="W253" s="24">
        <f>IF(W252&gt;0,ROUND(W252+V253-U253,2),0)</f>
        <v>0</v>
      </c>
      <c r="X253" s="24">
        <f>IF(W252&gt;0,ROUND(X252+ROUND(ROUND(X252*100,0)*ROUND(U$7*10000,0)/12000000,0)/100+0.02,2),0)</f>
        <v>0</v>
      </c>
      <c r="Y253" s="24">
        <f>IF(AA252&gt;0,IF(AND(ROUND(AA252+Z253-ROUND(Y$6+IF(Y$5=$C253,$E$5+$E253,0),2),2)&gt;0,ROUND(AA252+Z253-ROUND(Y$6+IF(Y$5=$C253,$E$5+$E253,0),2),2)&lt;=AB253,ROUND(AA252+Z253-ROUND(Y$6+IF(Y$5=$C253,$E$5+$E253,0),2),2)*10&lt;=ROUND(Y$6+IF(Y$5=$C253,$E$5+$E253,0),2)),ROUND(AA252+Z253,2),MIN(ROUND(Y$6+IF(Y$5=$C253,$E$5+$E253,0),2),ROUND(AA252+Z253,2))),0)</f>
        <v>0</v>
      </c>
      <c r="Z253" s="24">
        <f>IF(AA252&gt;0,ROUND(ROUND(AA252*100,0)*ROUND(Y$7*10000,0)/12000000,0)/100,0)</f>
        <v>0</v>
      </c>
      <c r="AA253" s="24">
        <f>IF(AA252&gt;0,ROUND(AA252+Z253-Y253,2),0)</f>
        <v>0</v>
      </c>
      <c r="AB253" s="24">
        <f>IF(AA252&gt;0,ROUND(AB252+ROUND(ROUND(AB252*100,0)*ROUND(Y$7*10000,0)/12000000,0)/100+0.02,2),0)</f>
        <v>0</v>
      </c>
      <c r="AC253" s="24">
        <f>IF(AE252&gt;0,IF(AND(ROUND(AE252+AD253-ROUND(AC$6+IF(AC$5=$C253,$E$5+$E253,0),2),2)&gt;0,ROUND(AE252+AD253-ROUND(AC$6+IF(AC$5=$C253,$E$5+$E253,0),2),2)&lt;=AF253,ROUND(AE252+AD253-ROUND(AC$6+IF(AC$5=$C253,$E$5+$E253,0),2),2)*10&lt;=ROUND(AC$6+IF(AC$5=$C253,$E$5+$E253,0),2)),ROUND(AE252+AD253,2),MIN(ROUND(AC$6+IF(AC$5=$C253,$E$5+$E253,0),2),ROUND(AE252+AD253,2))),0)</f>
        <v>0</v>
      </c>
      <c r="AD253" s="24">
        <f>IF(AE252&gt;0,ROUND(ROUND(AE252*100,0)*ROUND(AC$7*10000,0)/12000000,0)/100,0)</f>
        <v>0</v>
      </c>
      <c r="AE253" s="24">
        <f>IF(AE252&gt;0,ROUND(AE252+AD253-AC253,2),0)</f>
        <v>0</v>
      </c>
      <c r="AF253" s="24">
        <f>IF(AE252&gt;0,ROUND(AF252+ROUND(ROUND(AF252*100,0)*ROUND(AC$7*10000,0)/12000000,0)/100+0.02,2),0)</f>
        <v>0</v>
      </c>
      <c r="AG253" s="24">
        <f>IF(AI252&gt;0,IF(AND(ROUND(AI252+AH253-ROUND(AG$6+IF(AG$5=$C253,$E$5+$E253,0),2),2)&gt;0,ROUND(AI252+AH253-ROUND(AG$6+IF(AG$5=$C253,$E$5+$E253,0),2),2)&lt;=AJ253,ROUND(AI252+AH253-ROUND(AG$6+IF(AG$5=$C253,$E$5+$E253,0),2),2)*10&lt;=ROUND(AG$6+IF(AG$5=$C253,$E$5+$E253,0),2)),ROUND(AI252+AH253,2),MIN(ROUND(AG$6+IF(AG$5=$C253,$E$5+$E253,0),2),ROUND(AI252+AH253,2))),0)</f>
        <v>0</v>
      </c>
      <c r="AH253" s="24">
        <f>IF(AI252&gt;0,ROUND(ROUND(AI252*100,0)*ROUND(AG$7*10000,0)/12000000,0)/100,0)</f>
        <v>0</v>
      </c>
      <c r="AI253" s="24">
        <f>IF(AI252&gt;0,ROUND(AI252+AH253-AG253,2),0)</f>
        <v>0</v>
      </c>
      <c r="AJ253" s="24">
        <f>IF(AI252&gt;0,ROUND(AJ252+ROUND(ROUND(AJ252*100,0)*ROUND(AG$7*10000,0)/12000000,0)/100+0.02,2),0)</f>
        <v>0</v>
      </c>
      <c r="AK253" s="24">
        <f>IF(AM252&gt;0,IF(AND(ROUND(AM252+AL253-ROUND(AK$6+IF(AK$5=$C253,$E$5+$E253,0),2),2)&gt;0,ROUND(AM252+AL253-ROUND(AK$6+IF(AK$5=$C253,$E$5+$E253,0),2),2)&lt;=AN253,ROUND(AM252+AL253-ROUND(AK$6+IF(AK$5=$C253,$E$5+$E253,0),2),2)*10&lt;=ROUND(AK$6+IF(AK$5=$C253,$E$5+$E253,0),2)),ROUND(AM252+AL253,2),MIN(ROUND(AK$6+IF(AK$5=$C253,$E$5+$E253,0),2),ROUND(AM252+AL253,2))),0)</f>
        <v>0</v>
      </c>
      <c r="AL253" s="24">
        <f>IF(AM252&gt;0,ROUND(ROUND(AM252*100,0)*ROUND(AK$7*10000,0)/12000000,0)/100,0)</f>
        <v>0</v>
      </c>
      <c r="AM253" s="24">
        <f>IF(AM252&gt;0,ROUND(AM252+AL253-AK253,2),0)</f>
        <v>0</v>
      </c>
      <c r="AN253" s="24">
        <f>IF(AM252&gt;0,ROUND(AN252+ROUND(ROUND(AN252*100,0)*ROUND(AK$7*10000,0)/12000000,0)/100+0.02,2),0)</f>
        <v>0</v>
      </c>
      <c r="AO253" s="24">
        <f>IF(AQ252&gt;0,IF(AND(ROUND(AQ252+AP253-ROUND(AO$6+IF(AO$5=$C253,$E$5+$E253,0),2),2)&gt;0,ROUND(AQ252+AP253-ROUND(AO$6+IF(AO$5=$C253,$E$5+$E253,0),2),2)&lt;=AR253,ROUND(AQ252+AP253-ROUND(AO$6+IF(AO$5=$C253,$E$5+$E253,0),2),2)*10&lt;=ROUND(AO$6+IF(AO$5=$C253,$E$5+$E253,0),2)),ROUND(AQ252+AP253,2),MIN(ROUND(AO$6+IF(AO$5=$C253,$E$5+$E253,0),2),ROUND(AQ252+AP253,2))),0)</f>
        <v>0</v>
      </c>
      <c r="AP253" s="24">
        <f>IF(AQ252&gt;0,ROUND(ROUND(AQ252*100,0)*ROUND(AO$7*10000,0)/12000000,0)/100,0)</f>
        <v>0</v>
      </c>
      <c r="AQ253" s="24">
        <f>IF(AQ252&gt;0,ROUND(AQ252+AP253-AO253,2),0)</f>
        <v>0</v>
      </c>
      <c r="AR253" s="24">
        <f>IF(AQ252&gt;0,ROUND(AR252+ROUND(ROUND(AR252*100,0)*ROUND(AO$7*10000,0)/12000000,0)/100+0.02,2),0)</f>
        <v>0</v>
      </c>
      <c r="AS253" s="24">
        <f>IF(AU252&gt;0,IF(AND(ROUND(AU252+AT253-ROUND(AS$6+IF(AS$5=$C253,$E$5+$E253,0),2),2)&gt;0,ROUND(AU252+AT253-ROUND(AS$6+IF(AS$5=$C253,$E$5+$E253,0),2),2)&lt;=AV253,ROUND(AU252+AT253-ROUND(AS$6+IF(AS$5=$C253,$E$5+$E253,0),2),2)*10&lt;=ROUND(AS$6+IF(AS$5=$C253,$E$5+$E253,0),2)),ROUND(AU252+AT253,2),MIN(ROUND(AS$6+IF(AS$5=$C253,$E$5+$E253,0),2),ROUND(AU252+AT253,2))),0)</f>
        <v>0</v>
      </c>
      <c r="AT253" s="24">
        <f>IF(AU252&gt;0,ROUND(ROUND(AU252*100,0)*ROUND(AS$7*10000,0)/12000000,0)/100,0)</f>
        <v>0</v>
      </c>
      <c r="AU253" s="24">
        <f>IF(AU252&gt;0,ROUND(AU252+AT253-AS253,2),0)</f>
        <v>0</v>
      </c>
      <c r="AV253" s="24">
        <f>IF(AU252&gt;0,ROUND(AV252+ROUND(ROUND(AV252*100,0)*ROUND(AS$7*10000,0)/12000000,0)/100+0.02,2),0)</f>
        <v>0</v>
      </c>
    </row>
    <row r="254" spans="1:48" x14ac:dyDescent="0.25">
      <c r="A254" s="17" t="str">
        <f>IF(F254&gt;0,244,"")</f>
        <v/>
      </c>
      <c r="B254" s="18" t="str">
        <f>IF(F254&gt;0,EDATE($E$6,244),"")</f>
        <v/>
      </c>
      <c r="C254" s="21">
        <f>IF(H253&gt;0,MIN(IF(K253&gt;0,I$5,99),IF(O253&gt;0,M$5,99),IF(S253&gt;0,Q$5,99),IF(W253&gt;0,U$5,99),IF(AA253&gt;0,Y$5,99),IF(AE253&gt;0,AC$5,99),IF(AI253&gt;0,AG$5,99),IF(AM253&gt;0,AK$5,99),IF(AQ253&gt;0,AO$5,99),IF(AU253&gt;0,AS$5,99)),0)</f>
        <v>0</v>
      </c>
      <c r="D254" t="str">
        <f>IF(C254&gt;0,INDEX($I$4:$AV$4,1,MATCH(C254,$I$5:$AV$5,0)),"")</f>
        <v/>
      </c>
      <c r="E254" s="24">
        <f>ROUND(IF(AND(I$8&gt;0,K253=0),I$6,0)+IF(AND(M$8&gt;0,O253=0),M$6,0)+IF(AND(Q$8&gt;0,S253=0),Q$6,0)+IF(AND(U$8&gt;0,W253=0),U$6,0)+IF(AND(Y$8&gt;0,AA253=0),Y$6,0)+IF(AND(AC$8&gt;0,AE253=0),AC$6,0)+IF(AND(AG$8&gt;0,AI253=0),AG$6,0)+IF(AND(AK$8&gt;0,AM253=0),AK$6,0)+IF(AND(AO$8&gt;0,AQ253=0),AO$6,0)+IF(AND(AS$8&gt;0,AU253=0),AS$6,0),2)</f>
        <v>325</v>
      </c>
      <c r="F254" s="24">
        <f>ROUND(I254+M254+Q254+U254+Y254+AC254+AG254+AK254+AO254+AS254,2)</f>
        <v>0</v>
      </c>
      <c r="G254" s="24">
        <f>ROUND(J254+N254+R254+V254+Z254+AD254+AH254+AL254+AP254+AT254,2)</f>
        <v>0</v>
      </c>
      <c r="H254" s="24">
        <f>ROUND(K254+O254+S254+W254+AA254+AE254+AI254+AM254+AQ254+AU254,2)</f>
        <v>0</v>
      </c>
      <c r="I254" s="24">
        <f>IF(K253&gt;0,IF(AND(ROUND(K253+J254-ROUND(I$6+IF(I$5=$C254,$E$5+$E254,0),2),2)&gt;0,ROUND(K253+J254-ROUND(I$6+IF(I$5=$C254,$E$5+$E254,0),2),2)&lt;=L254,ROUND(K253+J254-ROUND(I$6+IF(I$5=$C254,$E$5+$E254,0),2),2)*10&lt;=ROUND(I$6+IF(I$5=$C254,$E$5+$E254,0),2)),ROUND(K253+J254,2),MIN(ROUND(I$6+IF(I$5=$C254,$E$5+$E254,0),2),ROUND(K253+J254,2))),0)</f>
        <v>0</v>
      </c>
      <c r="J254" s="24">
        <f>IF(K253&gt;0,ROUND(ROUND(K253*100,0)*ROUND(I$7*10000,0)/12000000,0)/100,0)</f>
        <v>0</v>
      </c>
      <c r="K254" s="24">
        <f>IF(K253&gt;0,ROUND(K253+J254-I254,2),0)</f>
        <v>0</v>
      </c>
      <c r="L254" s="24">
        <f>IF(K253&gt;0,ROUND(L253+ROUND(ROUND(L253*100,0)*ROUND(I$7*10000,0)/12000000,0)/100+0.02,2),0)</f>
        <v>0</v>
      </c>
      <c r="M254" s="24">
        <f>IF(O253&gt;0,IF(AND(ROUND(O253+N254-ROUND(M$6+IF(M$5=$C254,$E$5+$E254,0),2),2)&gt;0,ROUND(O253+N254-ROUND(M$6+IF(M$5=$C254,$E$5+$E254,0),2),2)&lt;=P254,ROUND(O253+N254-ROUND(M$6+IF(M$5=$C254,$E$5+$E254,0),2),2)*10&lt;=ROUND(M$6+IF(M$5=$C254,$E$5+$E254,0),2)),ROUND(O253+N254,2),MIN(ROUND(M$6+IF(M$5=$C254,$E$5+$E254,0),2),ROUND(O253+N254,2))),0)</f>
        <v>0</v>
      </c>
      <c r="N254" s="24">
        <f>IF(O253&gt;0,ROUND(ROUND(O253*100,0)*ROUND(M$7*10000,0)/12000000,0)/100,0)</f>
        <v>0</v>
      </c>
      <c r="O254" s="24">
        <f>IF(O253&gt;0,ROUND(O253+N254-M254,2),0)</f>
        <v>0</v>
      </c>
      <c r="P254" s="24">
        <f>IF(O253&gt;0,ROUND(P253+ROUND(ROUND(P253*100,0)*ROUND(M$7*10000,0)/12000000,0)/100+0.02,2),0)</f>
        <v>0</v>
      </c>
      <c r="Q254" s="24">
        <f>IF(S253&gt;0,IF(AND(ROUND(S253+R254-ROUND(Q$6+IF(Q$5=$C254,$E$5+$E254,0),2),2)&gt;0,ROUND(S253+R254-ROUND(Q$6+IF(Q$5=$C254,$E$5+$E254,0),2),2)&lt;=T254,ROUND(S253+R254-ROUND(Q$6+IF(Q$5=$C254,$E$5+$E254,0),2),2)*10&lt;=ROUND(Q$6+IF(Q$5=$C254,$E$5+$E254,0),2)),ROUND(S253+R254,2),MIN(ROUND(Q$6+IF(Q$5=$C254,$E$5+$E254,0),2),ROUND(S253+R254,2))),0)</f>
        <v>0</v>
      </c>
      <c r="R254" s="24">
        <f>IF(S253&gt;0,ROUND(ROUND(S253*100,0)*ROUND(Q$7*10000,0)/12000000,0)/100,0)</f>
        <v>0</v>
      </c>
      <c r="S254" s="24">
        <f>IF(S253&gt;0,ROUND(S253+R254-Q254,2),0)</f>
        <v>0</v>
      </c>
      <c r="T254" s="24">
        <f>IF(S253&gt;0,ROUND(T253+ROUND(ROUND(T253*100,0)*ROUND(Q$7*10000,0)/12000000,0)/100+0.02,2),0)</f>
        <v>0</v>
      </c>
      <c r="U254" s="24">
        <f>IF(W253&gt;0,IF(AND(ROUND(W253+V254-ROUND(U$6+IF(U$5=$C254,$E$5+$E254,0),2),2)&gt;0,ROUND(W253+V254-ROUND(U$6+IF(U$5=$C254,$E$5+$E254,0),2),2)&lt;=X254,ROUND(W253+V254-ROUND(U$6+IF(U$5=$C254,$E$5+$E254,0),2),2)*10&lt;=ROUND(U$6+IF(U$5=$C254,$E$5+$E254,0),2)),ROUND(W253+V254,2),MIN(ROUND(U$6+IF(U$5=$C254,$E$5+$E254,0),2),ROUND(W253+V254,2))),0)</f>
        <v>0</v>
      </c>
      <c r="V254" s="24">
        <f>IF(W253&gt;0,ROUND(ROUND(W253*100,0)*ROUND(U$7*10000,0)/12000000,0)/100,0)</f>
        <v>0</v>
      </c>
      <c r="W254" s="24">
        <f>IF(W253&gt;0,ROUND(W253+V254-U254,2),0)</f>
        <v>0</v>
      </c>
      <c r="X254" s="24">
        <f>IF(W253&gt;0,ROUND(X253+ROUND(ROUND(X253*100,0)*ROUND(U$7*10000,0)/12000000,0)/100+0.02,2),0)</f>
        <v>0</v>
      </c>
      <c r="Y254" s="24">
        <f>IF(AA253&gt;0,IF(AND(ROUND(AA253+Z254-ROUND(Y$6+IF(Y$5=$C254,$E$5+$E254,0),2),2)&gt;0,ROUND(AA253+Z254-ROUND(Y$6+IF(Y$5=$C254,$E$5+$E254,0),2),2)&lt;=AB254,ROUND(AA253+Z254-ROUND(Y$6+IF(Y$5=$C254,$E$5+$E254,0),2),2)*10&lt;=ROUND(Y$6+IF(Y$5=$C254,$E$5+$E254,0),2)),ROUND(AA253+Z254,2),MIN(ROUND(Y$6+IF(Y$5=$C254,$E$5+$E254,0),2),ROUND(AA253+Z254,2))),0)</f>
        <v>0</v>
      </c>
      <c r="Z254" s="24">
        <f>IF(AA253&gt;0,ROUND(ROUND(AA253*100,0)*ROUND(Y$7*10000,0)/12000000,0)/100,0)</f>
        <v>0</v>
      </c>
      <c r="AA254" s="24">
        <f>IF(AA253&gt;0,ROUND(AA253+Z254-Y254,2),0)</f>
        <v>0</v>
      </c>
      <c r="AB254" s="24">
        <f>IF(AA253&gt;0,ROUND(AB253+ROUND(ROUND(AB253*100,0)*ROUND(Y$7*10000,0)/12000000,0)/100+0.02,2),0)</f>
        <v>0</v>
      </c>
      <c r="AC254" s="24">
        <f>IF(AE253&gt;0,IF(AND(ROUND(AE253+AD254-ROUND(AC$6+IF(AC$5=$C254,$E$5+$E254,0),2),2)&gt;0,ROUND(AE253+AD254-ROUND(AC$6+IF(AC$5=$C254,$E$5+$E254,0),2),2)&lt;=AF254,ROUND(AE253+AD254-ROUND(AC$6+IF(AC$5=$C254,$E$5+$E254,0),2),2)*10&lt;=ROUND(AC$6+IF(AC$5=$C254,$E$5+$E254,0),2)),ROUND(AE253+AD254,2),MIN(ROUND(AC$6+IF(AC$5=$C254,$E$5+$E254,0),2),ROUND(AE253+AD254,2))),0)</f>
        <v>0</v>
      </c>
      <c r="AD254" s="24">
        <f>IF(AE253&gt;0,ROUND(ROUND(AE253*100,0)*ROUND(AC$7*10000,0)/12000000,0)/100,0)</f>
        <v>0</v>
      </c>
      <c r="AE254" s="24">
        <f>IF(AE253&gt;0,ROUND(AE253+AD254-AC254,2),0)</f>
        <v>0</v>
      </c>
      <c r="AF254" s="24">
        <f>IF(AE253&gt;0,ROUND(AF253+ROUND(ROUND(AF253*100,0)*ROUND(AC$7*10000,0)/12000000,0)/100+0.02,2),0)</f>
        <v>0</v>
      </c>
      <c r="AG254" s="24">
        <f>IF(AI253&gt;0,IF(AND(ROUND(AI253+AH254-ROUND(AG$6+IF(AG$5=$C254,$E$5+$E254,0),2),2)&gt;0,ROUND(AI253+AH254-ROUND(AG$6+IF(AG$5=$C254,$E$5+$E254,0),2),2)&lt;=AJ254,ROUND(AI253+AH254-ROUND(AG$6+IF(AG$5=$C254,$E$5+$E254,0),2),2)*10&lt;=ROUND(AG$6+IF(AG$5=$C254,$E$5+$E254,0),2)),ROUND(AI253+AH254,2),MIN(ROUND(AG$6+IF(AG$5=$C254,$E$5+$E254,0),2),ROUND(AI253+AH254,2))),0)</f>
        <v>0</v>
      </c>
      <c r="AH254" s="24">
        <f>IF(AI253&gt;0,ROUND(ROUND(AI253*100,0)*ROUND(AG$7*10000,0)/12000000,0)/100,0)</f>
        <v>0</v>
      </c>
      <c r="AI254" s="24">
        <f>IF(AI253&gt;0,ROUND(AI253+AH254-AG254,2),0)</f>
        <v>0</v>
      </c>
      <c r="AJ254" s="24">
        <f>IF(AI253&gt;0,ROUND(AJ253+ROUND(ROUND(AJ253*100,0)*ROUND(AG$7*10000,0)/12000000,0)/100+0.02,2),0)</f>
        <v>0</v>
      </c>
      <c r="AK254" s="24">
        <f>IF(AM253&gt;0,IF(AND(ROUND(AM253+AL254-ROUND(AK$6+IF(AK$5=$C254,$E$5+$E254,0),2),2)&gt;0,ROUND(AM253+AL254-ROUND(AK$6+IF(AK$5=$C254,$E$5+$E254,0),2),2)&lt;=AN254,ROUND(AM253+AL254-ROUND(AK$6+IF(AK$5=$C254,$E$5+$E254,0),2),2)*10&lt;=ROUND(AK$6+IF(AK$5=$C254,$E$5+$E254,0),2)),ROUND(AM253+AL254,2),MIN(ROUND(AK$6+IF(AK$5=$C254,$E$5+$E254,0),2),ROUND(AM253+AL254,2))),0)</f>
        <v>0</v>
      </c>
      <c r="AL254" s="24">
        <f>IF(AM253&gt;0,ROUND(ROUND(AM253*100,0)*ROUND(AK$7*10000,0)/12000000,0)/100,0)</f>
        <v>0</v>
      </c>
      <c r="AM254" s="24">
        <f>IF(AM253&gt;0,ROUND(AM253+AL254-AK254,2),0)</f>
        <v>0</v>
      </c>
      <c r="AN254" s="24">
        <f>IF(AM253&gt;0,ROUND(AN253+ROUND(ROUND(AN253*100,0)*ROUND(AK$7*10000,0)/12000000,0)/100+0.02,2),0)</f>
        <v>0</v>
      </c>
      <c r="AO254" s="24">
        <f>IF(AQ253&gt;0,IF(AND(ROUND(AQ253+AP254-ROUND(AO$6+IF(AO$5=$C254,$E$5+$E254,0),2),2)&gt;0,ROUND(AQ253+AP254-ROUND(AO$6+IF(AO$5=$C254,$E$5+$E254,0),2),2)&lt;=AR254,ROUND(AQ253+AP254-ROUND(AO$6+IF(AO$5=$C254,$E$5+$E254,0),2),2)*10&lt;=ROUND(AO$6+IF(AO$5=$C254,$E$5+$E254,0),2)),ROUND(AQ253+AP254,2),MIN(ROUND(AO$6+IF(AO$5=$C254,$E$5+$E254,0),2),ROUND(AQ253+AP254,2))),0)</f>
        <v>0</v>
      </c>
      <c r="AP254" s="24">
        <f>IF(AQ253&gt;0,ROUND(ROUND(AQ253*100,0)*ROUND(AO$7*10000,0)/12000000,0)/100,0)</f>
        <v>0</v>
      </c>
      <c r="AQ254" s="24">
        <f>IF(AQ253&gt;0,ROUND(AQ253+AP254-AO254,2),0)</f>
        <v>0</v>
      </c>
      <c r="AR254" s="24">
        <f>IF(AQ253&gt;0,ROUND(AR253+ROUND(ROUND(AR253*100,0)*ROUND(AO$7*10000,0)/12000000,0)/100+0.02,2),0)</f>
        <v>0</v>
      </c>
      <c r="AS254" s="24">
        <f>IF(AU253&gt;0,IF(AND(ROUND(AU253+AT254-ROUND(AS$6+IF(AS$5=$C254,$E$5+$E254,0),2),2)&gt;0,ROUND(AU253+AT254-ROUND(AS$6+IF(AS$5=$C254,$E$5+$E254,0),2),2)&lt;=AV254,ROUND(AU253+AT254-ROUND(AS$6+IF(AS$5=$C254,$E$5+$E254,0),2),2)*10&lt;=ROUND(AS$6+IF(AS$5=$C254,$E$5+$E254,0),2)),ROUND(AU253+AT254,2),MIN(ROUND(AS$6+IF(AS$5=$C254,$E$5+$E254,0),2),ROUND(AU253+AT254,2))),0)</f>
        <v>0</v>
      </c>
      <c r="AT254" s="24">
        <f>IF(AU253&gt;0,ROUND(ROUND(AU253*100,0)*ROUND(AS$7*10000,0)/12000000,0)/100,0)</f>
        <v>0</v>
      </c>
      <c r="AU254" s="24">
        <f>IF(AU253&gt;0,ROUND(AU253+AT254-AS254,2),0)</f>
        <v>0</v>
      </c>
      <c r="AV254" s="24">
        <f>IF(AU253&gt;0,ROUND(AV253+ROUND(ROUND(AV253*100,0)*ROUND(AS$7*10000,0)/12000000,0)/100+0.02,2),0)</f>
        <v>0</v>
      </c>
    </row>
    <row r="255" spans="1:48" x14ac:dyDescent="0.25">
      <c r="A255" s="17" t="str">
        <f>IF(F255&gt;0,245,"")</f>
        <v/>
      </c>
      <c r="B255" s="18" t="str">
        <f>IF(F255&gt;0,EDATE($E$6,245),"")</f>
        <v/>
      </c>
      <c r="C255" s="21">
        <f>IF(H254&gt;0,MIN(IF(K254&gt;0,I$5,99),IF(O254&gt;0,M$5,99),IF(S254&gt;0,Q$5,99),IF(W254&gt;0,U$5,99),IF(AA254&gt;0,Y$5,99),IF(AE254&gt;0,AC$5,99),IF(AI254&gt;0,AG$5,99),IF(AM254&gt;0,AK$5,99),IF(AQ254&gt;0,AO$5,99),IF(AU254&gt;0,AS$5,99)),0)</f>
        <v>0</v>
      </c>
      <c r="D255" t="str">
        <f>IF(C255&gt;0,INDEX($I$4:$AV$4,1,MATCH(C255,$I$5:$AV$5,0)),"")</f>
        <v/>
      </c>
      <c r="E255" s="24">
        <f>ROUND(IF(AND(I$8&gt;0,K254=0),I$6,0)+IF(AND(M$8&gt;0,O254=0),M$6,0)+IF(AND(Q$8&gt;0,S254=0),Q$6,0)+IF(AND(U$8&gt;0,W254=0),U$6,0)+IF(AND(Y$8&gt;0,AA254=0),Y$6,0)+IF(AND(AC$8&gt;0,AE254=0),AC$6,0)+IF(AND(AG$8&gt;0,AI254=0),AG$6,0)+IF(AND(AK$8&gt;0,AM254=0),AK$6,0)+IF(AND(AO$8&gt;0,AQ254=0),AO$6,0)+IF(AND(AS$8&gt;0,AU254=0),AS$6,0),2)</f>
        <v>325</v>
      </c>
      <c r="F255" s="24">
        <f>ROUND(I255+M255+Q255+U255+Y255+AC255+AG255+AK255+AO255+AS255,2)</f>
        <v>0</v>
      </c>
      <c r="G255" s="24">
        <f>ROUND(J255+N255+R255+V255+Z255+AD255+AH255+AL255+AP255+AT255,2)</f>
        <v>0</v>
      </c>
      <c r="H255" s="24">
        <f>ROUND(K255+O255+S255+W255+AA255+AE255+AI255+AM255+AQ255+AU255,2)</f>
        <v>0</v>
      </c>
      <c r="I255" s="24">
        <f>IF(K254&gt;0,IF(AND(ROUND(K254+J255-ROUND(I$6+IF(I$5=$C255,$E$5+$E255,0),2),2)&gt;0,ROUND(K254+J255-ROUND(I$6+IF(I$5=$C255,$E$5+$E255,0),2),2)&lt;=L255,ROUND(K254+J255-ROUND(I$6+IF(I$5=$C255,$E$5+$E255,0),2),2)*10&lt;=ROUND(I$6+IF(I$5=$C255,$E$5+$E255,0),2)),ROUND(K254+J255,2),MIN(ROUND(I$6+IF(I$5=$C255,$E$5+$E255,0),2),ROUND(K254+J255,2))),0)</f>
        <v>0</v>
      </c>
      <c r="J255" s="24">
        <f>IF(K254&gt;0,ROUND(ROUND(K254*100,0)*ROUND(I$7*10000,0)/12000000,0)/100,0)</f>
        <v>0</v>
      </c>
      <c r="K255" s="24">
        <f>IF(K254&gt;0,ROUND(K254+J255-I255,2),0)</f>
        <v>0</v>
      </c>
      <c r="L255" s="24">
        <f>IF(K254&gt;0,ROUND(L254+ROUND(ROUND(L254*100,0)*ROUND(I$7*10000,0)/12000000,0)/100+0.02,2),0)</f>
        <v>0</v>
      </c>
      <c r="M255" s="24">
        <f>IF(O254&gt;0,IF(AND(ROUND(O254+N255-ROUND(M$6+IF(M$5=$C255,$E$5+$E255,0),2),2)&gt;0,ROUND(O254+N255-ROUND(M$6+IF(M$5=$C255,$E$5+$E255,0),2),2)&lt;=P255,ROUND(O254+N255-ROUND(M$6+IF(M$5=$C255,$E$5+$E255,0),2),2)*10&lt;=ROUND(M$6+IF(M$5=$C255,$E$5+$E255,0),2)),ROUND(O254+N255,2),MIN(ROUND(M$6+IF(M$5=$C255,$E$5+$E255,0),2),ROUND(O254+N255,2))),0)</f>
        <v>0</v>
      </c>
      <c r="N255" s="24">
        <f>IF(O254&gt;0,ROUND(ROUND(O254*100,0)*ROUND(M$7*10000,0)/12000000,0)/100,0)</f>
        <v>0</v>
      </c>
      <c r="O255" s="24">
        <f>IF(O254&gt;0,ROUND(O254+N255-M255,2),0)</f>
        <v>0</v>
      </c>
      <c r="P255" s="24">
        <f>IF(O254&gt;0,ROUND(P254+ROUND(ROUND(P254*100,0)*ROUND(M$7*10000,0)/12000000,0)/100+0.02,2),0)</f>
        <v>0</v>
      </c>
      <c r="Q255" s="24">
        <f>IF(S254&gt;0,IF(AND(ROUND(S254+R255-ROUND(Q$6+IF(Q$5=$C255,$E$5+$E255,0),2),2)&gt;0,ROUND(S254+R255-ROUND(Q$6+IF(Q$5=$C255,$E$5+$E255,0),2),2)&lt;=T255,ROUND(S254+R255-ROUND(Q$6+IF(Q$5=$C255,$E$5+$E255,0),2),2)*10&lt;=ROUND(Q$6+IF(Q$5=$C255,$E$5+$E255,0),2)),ROUND(S254+R255,2),MIN(ROUND(Q$6+IF(Q$5=$C255,$E$5+$E255,0),2),ROUND(S254+R255,2))),0)</f>
        <v>0</v>
      </c>
      <c r="R255" s="24">
        <f>IF(S254&gt;0,ROUND(ROUND(S254*100,0)*ROUND(Q$7*10000,0)/12000000,0)/100,0)</f>
        <v>0</v>
      </c>
      <c r="S255" s="24">
        <f>IF(S254&gt;0,ROUND(S254+R255-Q255,2),0)</f>
        <v>0</v>
      </c>
      <c r="T255" s="24">
        <f>IF(S254&gt;0,ROUND(T254+ROUND(ROUND(T254*100,0)*ROUND(Q$7*10000,0)/12000000,0)/100+0.02,2),0)</f>
        <v>0</v>
      </c>
      <c r="U255" s="24">
        <f>IF(W254&gt;0,IF(AND(ROUND(W254+V255-ROUND(U$6+IF(U$5=$C255,$E$5+$E255,0),2),2)&gt;0,ROUND(W254+V255-ROUND(U$6+IF(U$5=$C255,$E$5+$E255,0),2),2)&lt;=X255,ROUND(W254+V255-ROUND(U$6+IF(U$5=$C255,$E$5+$E255,0),2),2)*10&lt;=ROUND(U$6+IF(U$5=$C255,$E$5+$E255,0),2)),ROUND(W254+V255,2),MIN(ROUND(U$6+IF(U$5=$C255,$E$5+$E255,0),2),ROUND(W254+V255,2))),0)</f>
        <v>0</v>
      </c>
      <c r="V255" s="24">
        <f>IF(W254&gt;0,ROUND(ROUND(W254*100,0)*ROUND(U$7*10000,0)/12000000,0)/100,0)</f>
        <v>0</v>
      </c>
      <c r="W255" s="24">
        <f>IF(W254&gt;0,ROUND(W254+V255-U255,2),0)</f>
        <v>0</v>
      </c>
      <c r="X255" s="24">
        <f>IF(W254&gt;0,ROUND(X254+ROUND(ROUND(X254*100,0)*ROUND(U$7*10000,0)/12000000,0)/100+0.02,2),0)</f>
        <v>0</v>
      </c>
      <c r="Y255" s="24">
        <f>IF(AA254&gt;0,IF(AND(ROUND(AA254+Z255-ROUND(Y$6+IF(Y$5=$C255,$E$5+$E255,0),2),2)&gt;0,ROUND(AA254+Z255-ROUND(Y$6+IF(Y$5=$C255,$E$5+$E255,0),2),2)&lt;=AB255,ROUND(AA254+Z255-ROUND(Y$6+IF(Y$5=$C255,$E$5+$E255,0),2),2)*10&lt;=ROUND(Y$6+IF(Y$5=$C255,$E$5+$E255,0),2)),ROUND(AA254+Z255,2),MIN(ROUND(Y$6+IF(Y$5=$C255,$E$5+$E255,0),2),ROUND(AA254+Z255,2))),0)</f>
        <v>0</v>
      </c>
      <c r="Z255" s="24">
        <f>IF(AA254&gt;0,ROUND(ROUND(AA254*100,0)*ROUND(Y$7*10000,0)/12000000,0)/100,0)</f>
        <v>0</v>
      </c>
      <c r="AA255" s="24">
        <f>IF(AA254&gt;0,ROUND(AA254+Z255-Y255,2),0)</f>
        <v>0</v>
      </c>
      <c r="AB255" s="24">
        <f>IF(AA254&gt;0,ROUND(AB254+ROUND(ROUND(AB254*100,0)*ROUND(Y$7*10000,0)/12000000,0)/100+0.02,2),0)</f>
        <v>0</v>
      </c>
      <c r="AC255" s="24">
        <f>IF(AE254&gt;0,IF(AND(ROUND(AE254+AD255-ROUND(AC$6+IF(AC$5=$C255,$E$5+$E255,0),2),2)&gt;0,ROUND(AE254+AD255-ROUND(AC$6+IF(AC$5=$C255,$E$5+$E255,0),2),2)&lt;=AF255,ROUND(AE254+AD255-ROUND(AC$6+IF(AC$5=$C255,$E$5+$E255,0),2),2)*10&lt;=ROUND(AC$6+IF(AC$5=$C255,$E$5+$E255,0),2)),ROUND(AE254+AD255,2),MIN(ROUND(AC$6+IF(AC$5=$C255,$E$5+$E255,0),2),ROUND(AE254+AD255,2))),0)</f>
        <v>0</v>
      </c>
      <c r="AD255" s="24">
        <f>IF(AE254&gt;0,ROUND(ROUND(AE254*100,0)*ROUND(AC$7*10000,0)/12000000,0)/100,0)</f>
        <v>0</v>
      </c>
      <c r="AE255" s="24">
        <f>IF(AE254&gt;0,ROUND(AE254+AD255-AC255,2),0)</f>
        <v>0</v>
      </c>
      <c r="AF255" s="24">
        <f>IF(AE254&gt;0,ROUND(AF254+ROUND(ROUND(AF254*100,0)*ROUND(AC$7*10000,0)/12000000,0)/100+0.02,2),0)</f>
        <v>0</v>
      </c>
      <c r="AG255" s="24">
        <f>IF(AI254&gt;0,IF(AND(ROUND(AI254+AH255-ROUND(AG$6+IF(AG$5=$C255,$E$5+$E255,0),2),2)&gt;0,ROUND(AI254+AH255-ROUND(AG$6+IF(AG$5=$C255,$E$5+$E255,0),2),2)&lt;=AJ255,ROUND(AI254+AH255-ROUND(AG$6+IF(AG$5=$C255,$E$5+$E255,0),2),2)*10&lt;=ROUND(AG$6+IF(AG$5=$C255,$E$5+$E255,0),2)),ROUND(AI254+AH255,2),MIN(ROUND(AG$6+IF(AG$5=$C255,$E$5+$E255,0),2),ROUND(AI254+AH255,2))),0)</f>
        <v>0</v>
      </c>
      <c r="AH255" s="24">
        <f>IF(AI254&gt;0,ROUND(ROUND(AI254*100,0)*ROUND(AG$7*10000,0)/12000000,0)/100,0)</f>
        <v>0</v>
      </c>
      <c r="AI255" s="24">
        <f>IF(AI254&gt;0,ROUND(AI254+AH255-AG255,2),0)</f>
        <v>0</v>
      </c>
      <c r="AJ255" s="24">
        <f>IF(AI254&gt;0,ROUND(AJ254+ROUND(ROUND(AJ254*100,0)*ROUND(AG$7*10000,0)/12000000,0)/100+0.02,2),0)</f>
        <v>0</v>
      </c>
      <c r="AK255" s="24">
        <f>IF(AM254&gt;0,IF(AND(ROUND(AM254+AL255-ROUND(AK$6+IF(AK$5=$C255,$E$5+$E255,0),2),2)&gt;0,ROUND(AM254+AL255-ROUND(AK$6+IF(AK$5=$C255,$E$5+$E255,0),2),2)&lt;=AN255,ROUND(AM254+AL255-ROUND(AK$6+IF(AK$5=$C255,$E$5+$E255,0),2),2)*10&lt;=ROUND(AK$6+IF(AK$5=$C255,$E$5+$E255,0),2)),ROUND(AM254+AL255,2),MIN(ROUND(AK$6+IF(AK$5=$C255,$E$5+$E255,0),2),ROUND(AM254+AL255,2))),0)</f>
        <v>0</v>
      </c>
      <c r="AL255" s="24">
        <f>IF(AM254&gt;0,ROUND(ROUND(AM254*100,0)*ROUND(AK$7*10000,0)/12000000,0)/100,0)</f>
        <v>0</v>
      </c>
      <c r="AM255" s="24">
        <f>IF(AM254&gt;0,ROUND(AM254+AL255-AK255,2),0)</f>
        <v>0</v>
      </c>
      <c r="AN255" s="24">
        <f>IF(AM254&gt;0,ROUND(AN254+ROUND(ROUND(AN254*100,0)*ROUND(AK$7*10000,0)/12000000,0)/100+0.02,2),0)</f>
        <v>0</v>
      </c>
      <c r="AO255" s="24">
        <f>IF(AQ254&gt;0,IF(AND(ROUND(AQ254+AP255-ROUND(AO$6+IF(AO$5=$C255,$E$5+$E255,0),2),2)&gt;0,ROUND(AQ254+AP255-ROUND(AO$6+IF(AO$5=$C255,$E$5+$E255,0),2),2)&lt;=AR255,ROUND(AQ254+AP255-ROUND(AO$6+IF(AO$5=$C255,$E$5+$E255,0),2),2)*10&lt;=ROUND(AO$6+IF(AO$5=$C255,$E$5+$E255,0),2)),ROUND(AQ254+AP255,2),MIN(ROUND(AO$6+IF(AO$5=$C255,$E$5+$E255,0),2),ROUND(AQ254+AP255,2))),0)</f>
        <v>0</v>
      </c>
      <c r="AP255" s="24">
        <f>IF(AQ254&gt;0,ROUND(ROUND(AQ254*100,0)*ROUND(AO$7*10000,0)/12000000,0)/100,0)</f>
        <v>0</v>
      </c>
      <c r="AQ255" s="24">
        <f>IF(AQ254&gt;0,ROUND(AQ254+AP255-AO255,2),0)</f>
        <v>0</v>
      </c>
      <c r="AR255" s="24">
        <f>IF(AQ254&gt;0,ROUND(AR254+ROUND(ROUND(AR254*100,0)*ROUND(AO$7*10000,0)/12000000,0)/100+0.02,2),0)</f>
        <v>0</v>
      </c>
      <c r="AS255" s="24">
        <f>IF(AU254&gt;0,IF(AND(ROUND(AU254+AT255-ROUND(AS$6+IF(AS$5=$C255,$E$5+$E255,0),2),2)&gt;0,ROUND(AU254+AT255-ROUND(AS$6+IF(AS$5=$C255,$E$5+$E255,0),2),2)&lt;=AV255,ROUND(AU254+AT255-ROUND(AS$6+IF(AS$5=$C255,$E$5+$E255,0),2),2)*10&lt;=ROUND(AS$6+IF(AS$5=$C255,$E$5+$E255,0),2)),ROUND(AU254+AT255,2),MIN(ROUND(AS$6+IF(AS$5=$C255,$E$5+$E255,0),2),ROUND(AU254+AT255,2))),0)</f>
        <v>0</v>
      </c>
      <c r="AT255" s="24">
        <f>IF(AU254&gt;0,ROUND(ROUND(AU254*100,0)*ROUND(AS$7*10000,0)/12000000,0)/100,0)</f>
        <v>0</v>
      </c>
      <c r="AU255" s="24">
        <f>IF(AU254&gt;0,ROUND(AU254+AT255-AS255,2),0)</f>
        <v>0</v>
      </c>
      <c r="AV255" s="24">
        <f>IF(AU254&gt;0,ROUND(AV254+ROUND(ROUND(AV254*100,0)*ROUND(AS$7*10000,0)/12000000,0)/100+0.02,2),0)</f>
        <v>0</v>
      </c>
    </row>
    <row r="256" spans="1:48" x14ac:dyDescent="0.25">
      <c r="A256" s="17" t="str">
        <f>IF(F256&gt;0,246,"")</f>
        <v/>
      </c>
      <c r="B256" s="18" t="str">
        <f>IF(F256&gt;0,EDATE($E$6,246),"")</f>
        <v/>
      </c>
      <c r="C256" s="21">
        <f>IF(H255&gt;0,MIN(IF(K255&gt;0,I$5,99),IF(O255&gt;0,M$5,99),IF(S255&gt;0,Q$5,99),IF(W255&gt;0,U$5,99),IF(AA255&gt;0,Y$5,99),IF(AE255&gt;0,AC$5,99),IF(AI255&gt;0,AG$5,99),IF(AM255&gt;0,AK$5,99),IF(AQ255&gt;0,AO$5,99),IF(AU255&gt;0,AS$5,99)),0)</f>
        <v>0</v>
      </c>
      <c r="D256" t="str">
        <f>IF(C256&gt;0,INDEX($I$4:$AV$4,1,MATCH(C256,$I$5:$AV$5,0)),"")</f>
        <v/>
      </c>
      <c r="E256" s="24">
        <f>ROUND(IF(AND(I$8&gt;0,K255=0),I$6,0)+IF(AND(M$8&gt;0,O255=0),M$6,0)+IF(AND(Q$8&gt;0,S255=0),Q$6,0)+IF(AND(U$8&gt;0,W255=0),U$6,0)+IF(AND(Y$8&gt;0,AA255=0),Y$6,0)+IF(AND(AC$8&gt;0,AE255=0),AC$6,0)+IF(AND(AG$8&gt;0,AI255=0),AG$6,0)+IF(AND(AK$8&gt;0,AM255=0),AK$6,0)+IF(AND(AO$8&gt;0,AQ255=0),AO$6,0)+IF(AND(AS$8&gt;0,AU255=0),AS$6,0),2)</f>
        <v>325</v>
      </c>
      <c r="F256" s="24">
        <f>ROUND(I256+M256+Q256+U256+Y256+AC256+AG256+AK256+AO256+AS256,2)</f>
        <v>0</v>
      </c>
      <c r="G256" s="24">
        <f>ROUND(J256+N256+R256+V256+Z256+AD256+AH256+AL256+AP256+AT256,2)</f>
        <v>0</v>
      </c>
      <c r="H256" s="24">
        <f>ROUND(K256+O256+S256+W256+AA256+AE256+AI256+AM256+AQ256+AU256,2)</f>
        <v>0</v>
      </c>
      <c r="I256" s="24">
        <f>IF(K255&gt;0,IF(AND(ROUND(K255+J256-ROUND(I$6+IF(I$5=$C256,$E$5+$E256,0),2),2)&gt;0,ROUND(K255+J256-ROUND(I$6+IF(I$5=$C256,$E$5+$E256,0),2),2)&lt;=L256,ROUND(K255+J256-ROUND(I$6+IF(I$5=$C256,$E$5+$E256,0),2),2)*10&lt;=ROUND(I$6+IF(I$5=$C256,$E$5+$E256,0),2)),ROUND(K255+J256,2),MIN(ROUND(I$6+IF(I$5=$C256,$E$5+$E256,0),2),ROUND(K255+J256,2))),0)</f>
        <v>0</v>
      </c>
      <c r="J256" s="24">
        <f>IF(K255&gt;0,ROUND(ROUND(K255*100,0)*ROUND(I$7*10000,0)/12000000,0)/100,0)</f>
        <v>0</v>
      </c>
      <c r="K256" s="24">
        <f>IF(K255&gt;0,ROUND(K255+J256-I256,2),0)</f>
        <v>0</v>
      </c>
      <c r="L256" s="24">
        <f>IF(K255&gt;0,ROUND(L255+ROUND(ROUND(L255*100,0)*ROUND(I$7*10000,0)/12000000,0)/100+0.02,2),0)</f>
        <v>0</v>
      </c>
      <c r="M256" s="24">
        <f>IF(O255&gt;0,IF(AND(ROUND(O255+N256-ROUND(M$6+IF(M$5=$C256,$E$5+$E256,0),2),2)&gt;0,ROUND(O255+N256-ROUND(M$6+IF(M$5=$C256,$E$5+$E256,0),2),2)&lt;=P256,ROUND(O255+N256-ROUND(M$6+IF(M$5=$C256,$E$5+$E256,0),2),2)*10&lt;=ROUND(M$6+IF(M$5=$C256,$E$5+$E256,0),2)),ROUND(O255+N256,2),MIN(ROUND(M$6+IF(M$5=$C256,$E$5+$E256,0),2),ROUND(O255+N256,2))),0)</f>
        <v>0</v>
      </c>
      <c r="N256" s="24">
        <f>IF(O255&gt;0,ROUND(ROUND(O255*100,0)*ROUND(M$7*10000,0)/12000000,0)/100,0)</f>
        <v>0</v>
      </c>
      <c r="O256" s="24">
        <f>IF(O255&gt;0,ROUND(O255+N256-M256,2),0)</f>
        <v>0</v>
      </c>
      <c r="P256" s="24">
        <f>IF(O255&gt;0,ROUND(P255+ROUND(ROUND(P255*100,0)*ROUND(M$7*10000,0)/12000000,0)/100+0.02,2),0)</f>
        <v>0</v>
      </c>
      <c r="Q256" s="24">
        <f>IF(S255&gt;0,IF(AND(ROUND(S255+R256-ROUND(Q$6+IF(Q$5=$C256,$E$5+$E256,0),2),2)&gt;0,ROUND(S255+R256-ROUND(Q$6+IF(Q$5=$C256,$E$5+$E256,0),2),2)&lt;=T256,ROUND(S255+R256-ROUND(Q$6+IF(Q$5=$C256,$E$5+$E256,0),2),2)*10&lt;=ROUND(Q$6+IF(Q$5=$C256,$E$5+$E256,0),2)),ROUND(S255+R256,2),MIN(ROUND(Q$6+IF(Q$5=$C256,$E$5+$E256,0),2),ROUND(S255+R256,2))),0)</f>
        <v>0</v>
      </c>
      <c r="R256" s="24">
        <f>IF(S255&gt;0,ROUND(ROUND(S255*100,0)*ROUND(Q$7*10000,0)/12000000,0)/100,0)</f>
        <v>0</v>
      </c>
      <c r="S256" s="24">
        <f>IF(S255&gt;0,ROUND(S255+R256-Q256,2),0)</f>
        <v>0</v>
      </c>
      <c r="T256" s="24">
        <f>IF(S255&gt;0,ROUND(T255+ROUND(ROUND(T255*100,0)*ROUND(Q$7*10000,0)/12000000,0)/100+0.02,2),0)</f>
        <v>0</v>
      </c>
      <c r="U256" s="24">
        <f>IF(W255&gt;0,IF(AND(ROUND(W255+V256-ROUND(U$6+IF(U$5=$C256,$E$5+$E256,0),2),2)&gt;0,ROUND(W255+V256-ROUND(U$6+IF(U$5=$C256,$E$5+$E256,0),2),2)&lt;=X256,ROUND(W255+V256-ROUND(U$6+IF(U$5=$C256,$E$5+$E256,0),2),2)*10&lt;=ROUND(U$6+IF(U$5=$C256,$E$5+$E256,0),2)),ROUND(W255+V256,2),MIN(ROUND(U$6+IF(U$5=$C256,$E$5+$E256,0),2),ROUND(W255+V256,2))),0)</f>
        <v>0</v>
      </c>
      <c r="V256" s="24">
        <f>IF(W255&gt;0,ROUND(ROUND(W255*100,0)*ROUND(U$7*10000,0)/12000000,0)/100,0)</f>
        <v>0</v>
      </c>
      <c r="W256" s="24">
        <f>IF(W255&gt;0,ROUND(W255+V256-U256,2),0)</f>
        <v>0</v>
      </c>
      <c r="X256" s="24">
        <f>IF(W255&gt;0,ROUND(X255+ROUND(ROUND(X255*100,0)*ROUND(U$7*10000,0)/12000000,0)/100+0.02,2),0)</f>
        <v>0</v>
      </c>
      <c r="Y256" s="24">
        <f>IF(AA255&gt;0,IF(AND(ROUND(AA255+Z256-ROUND(Y$6+IF(Y$5=$C256,$E$5+$E256,0),2),2)&gt;0,ROUND(AA255+Z256-ROUND(Y$6+IF(Y$5=$C256,$E$5+$E256,0),2),2)&lt;=AB256,ROUND(AA255+Z256-ROUND(Y$6+IF(Y$5=$C256,$E$5+$E256,0),2),2)*10&lt;=ROUND(Y$6+IF(Y$5=$C256,$E$5+$E256,0),2)),ROUND(AA255+Z256,2),MIN(ROUND(Y$6+IF(Y$5=$C256,$E$5+$E256,0),2),ROUND(AA255+Z256,2))),0)</f>
        <v>0</v>
      </c>
      <c r="Z256" s="24">
        <f>IF(AA255&gt;0,ROUND(ROUND(AA255*100,0)*ROUND(Y$7*10000,0)/12000000,0)/100,0)</f>
        <v>0</v>
      </c>
      <c r="AA256" s="24">
        <f>IF(AA255&gt;0,ROUND(AA255+Z256-Y256,2),0)</f>
        <v>0</v>
      </c>
      <c r="AB256" s="24">
        <f>IF(AA255&gt;0,ROUND(AB255+ROUND(ROUND(AB255*100,0)*ROUND(Y$7*10000,0)/12000000,0)/100+0.02,2),0)</f>
        <v>0</v>
      </c>
      <c r="AC256" s="24">
        <f>IF(AE255&gt;0,IF(AND(ROUND(AE255+AD256-ROUND(AC$6+IF(AC$5=$C256,$E$5+$E256,0),2),2)&gt;0,ROUND(AE255+AD256-ROUND(AC$6+IF(AC$5=$C256,$E$5+$E256,0),2),2)&lt;=AF256,ROUND(AE255+AD256-ROUND(AC$6+IF(AC$5=$C256,$E$5+$E256,0),2),2)*10&lt;=ROUND(AC$6+IF(AC$5=$C256,$E$5+$E256,0),2)),ROUND(AE255+AD256,2),MIN(ROUND(AC$6+IF(AC$5=$C256,$E$5+$E256,0),2),ROUND(AE255+AD256,2))),0)</f>
        <v>0</v>
      </c>
      <c r="AD256" s="24">
        <f>IF(AE255&gt;0,ROUND(ROUND(AE255*100,0)*ROUND(AC$7*10000,0)/12000000,0)/100,0)</f>
        <v>0</v>
      </c>
      <c r="AE256" s="24">
        <f>IF(AE255&gt;0,ROUND(AE255+AD256-AC256,2),0)</f>
        <v>0</v>
      </c>
      <c r="AF256" s="24">
        <f>IF(AE255&gt;0,ROUND(AF255+ROUND(ROUND(AF255*100,0)*ROUND(AC$7*10000,0)/12000000,0)/100+0.02,2),0)</f>
        <v>0</v>
      </c>
      <c r="AG256" s="24">
        <f>IF(AI255&gt;0,IF(AND(ROUND(AI255+AH256-ROUND(AG$6+IF(AG$5=$C256,$E$5+$E256,0),2),2)&gt;0,ROUND(AI255+AH256-ROUND(AG$6+IF(AG$5=$C256,$E$5+$E256,0),2),2)&lt;=AJ256,ROUND(AI255+AH256-ROUND(AG$6+IF(AG$5=$C256,$E$5+$E256,0),2),2)*10&lt;=ROUND(AG$6+IF(AG$5=$C256,$E$5+$E256,0),2)),ROUND(AI255+AH256,2),MIN(ROUND(AG$6+IF(AG$5=$C256,$E$5+$E256,0),2),ROUND(AI255+AH256,2))),0)</f>
        <v>0</v>
      </c>
      <c r="AH256" s="24">
        <f>IF(AI255&gt;0,ROUND(ROUND(AI255*100,0)*ROUND(AG$7*10000,0)/12000000,0)/100,0)</f>
        <v>0</v>
      </c>
      <c r="AI256" s="24">
        <f>IF(AI255&gt;0,ROUND(AI255+AH256-AG256,2),0)</f>
        <v>0</v>
      </c>
      <c r="AJ256" s="24">
        <f>IF(AI255&gt;0,ROUND(AJ255+ROUND(ROUND(AJ255*100,0)*ROUND(AG$7*10000,0)/12000000,0)/100+0.02,2),0)</f>
        <v>0</v>
      </c>
      <c r="AK256" s="24">
        <f>IF(AM255&gt;0,IF(AND(ROUND(AM255+AL256-ROUND(AK$6+IF(AK$5=$C256,$E$5+$E256,0),2),2)&gt;0,ROUND(AM255+AL256-ROUND(AK$6+IF(AK$5=$C256,$E$5+$E256,0),2),2)&lt;=AN256,ROUND(AM255+AL256-ROUND(AK$6+IF(AK$5=$C256,$E$5+$E256,0),2),2)*10&lt;=ROUND(AK$6+IF(AK$5=$C256,$E$5+$E256,0),2)),ROUND(AM255+AL256,2),MIN(ROUND(AK$6+IF(AK$5=$C256,$E$5+$E256,0),2),ROUND(AM255+AL256,2))),0)</f>
        <v>0</v>
      </c>
      <c r="AL256" s="24">
        <f>IF(AM255&gt;0,ROUND(ROUND(AM255*100,0)*ROUND(AK$7*10000,0)/12000000,0)/100,0)</f>
        <v>0</v>
      </c>
      <c r="AM256" s="24">
        <f>IF(AM255&gt;0,ROUND(AM255+AL256-AK256,2),0)</f>
        <v>0</v>
      </c>
      <c r="AN256" s="24">
        <f>IF(AM255&gt;0,ROUND(AN255+ROUND(ROUND(AN255*100,0)*ROUND(AK$7*10000,0)/12000000,0)/100+0.02,2),0)</f>
        <v>0</v>
      </c>
      <c r="AO256" s="24">
        <f>IF(AQ255&gt;0,IF(AND(ROUND(AQ255+AP256-ROUND(AO$6+IF(AO$5=$C256,$E$5+$E256,0),2),2)&gt;0,ROUND(AQ255+AP256-ROUND(AO$6+IF(AO$5=$C256,$E$5+$E256,0),2),2)&lt;=AR256,ROUND(AQ255+AP256-ROUND(AO$6+IF(AO$5=$C256,$E$5+$E256,0),2),2)*10&lt;=ROUND(AO$6+IF(AO$5=$C256,$E$5+$E256,0),2)),ROUND(AQ255+AP256,2),MIN(ROUND(AO$6+IF(AO$5=$C256,$E$5+$E256,0),2),ROUND(AQ255+AP256,2))),0)</f>
        <v>0</v>
      </c>
      <c r="AP256" s="24">
        <f>IF(AQ255&gt;0,ROUND(ROUND(AQ255*100,0)*ROUND(AO$7*10000,0)/12000000,0)/100,0)</f>
        <v>0</v>
      </c>
      <c r="AQ256" s="24">
        <f>IF(AQ255&gt;0,ROUND(AQ255+AP256-AO256,2),0)</f>
        <v>0</v>
      </c>
      <c r="AR256" s="24">
        <f>IF(AQ255&gt;0,ROUND(AR255+ROUND(ROUND(AR255*100,0)*ROUND(AO$7*10000,0)/12000000,0)/100+0.02,2),0)</f>
        <v>0</v>
      </c>
      <c r="AS256" s="24">
        <f>IF(AU255&gt;0,IF(AND(ROUND(AU255+AT256-ROUND(AS$6+IF(AS$5=$C256,$E$5+$E256,0),2),2)&gt;0,ROUND(AU255+AT256-ROUND(AS$6+IF(AS$5=$C256,$E$5+$E256,0),2),2)&lt;=AV256,ROUND(AU255+AT256-ROUND(AS$6+IF(AS$5=$C256,$E$5+$E256,0),2),2)*10&lt;=ROUND(AS$6+IF(AS$5=$C256,$E$5+$E256,0),2)),ROUND(AU255+AT256,2),MIN(ROUND(AS$6+IF(AS$5=$C256,$E$5+$E256,0),2),ROUND(AU255+AT256,2))),0)</f>
        <v>0</v>
      </c>
      <c r="AT256" s="24">
        <f>IF(AU255&gt;0,ROUND(ROUND(AU255*100,0)*ROUND(AS$7*10000,0)/12000000,0)/100,0)</f>
        <v>0</v>
      </c>
      <c r="AU256" s="24">
        <f>IF(AU255&gt;0,ROUND(AU255+AT256-AS256,2),0)</f>
        <v>0</v>
      </c>
      <c r="AV256" s="24">
        <f>IF(AU255&gt;0,ROUND(AV255+ROUND(ROUND(AV255*100,0)*ROUND(AS$7*10000,0)/12000000,0)/100+0.02,2),0)</f>
        <v>0</v>
      </c>
    </row>
    <row r="257" spans="1:48" x14ac:dyDescent="0.25">
      <c r="A257" s="17" t="str">
        <f>IF(F257&gt;0,247,"")</f>
        <v/>
      </c>
      <c r="B257" s="18" t="str">
        <f>IF(F257&gt;0,EDATE($E$6,247),"")</f>
        <v/>
      </c>
      <c r="C257" s="21">
        <f>IF(H256&gt;0,MIN(IF(K256&gt;0,I$5,99),IF(O256&gt;0,M$5,99),IF(S256&gt;0,Q$5,99),IF(W256&gt;0,U$5,99),IF(AA256&gt;0,Y$5,99),IF(AE256&gt;0,AC$5,99),IF(AI256&gt;0,AG$5,99),IF(AM256&gt;0,AK$5,99),IF(AQ256&gt;0,AO$5,99),IF(AU256&gt;0,AS$5,99)),0)</f>
        <v>0</v>
      </c>
      <c r="D257" t="str">
        <f>IF(C257&gt;0,INDEX($I$4:$AV$4,1,MATCH(C257,$I$5:$AV$5,0)),"")</f>
        <v/>
      </c>
      <c r="E257" s="24">
        <f>ROUND(IF(AND(I$8&gt;0,K256=0),I$6,0)+IF(AND(M$8&gt;0,O256=0),M$6,0)+IF(AND(Q$8&gt;0,S256=0),Q$6,0)+IF(AND(U$8&gt;0,W256=0),U$6,0)+IF(AND(Y$8&gt;0,AA256=0),Y$6,0)+IF(AND(AC$8&gt;0,AE256=0),AC$6,0)+IF(AND(AG$8&gt;0,AI256=0),AG$6,0)+IF(AND(AK$8&gt;0,AM256=0),AK$6,0)+IF(AND(AO$8&gt;0,AQ256=0),AO$6,0)+IF(AND(AS$8&gt;0,AU256=0),AS$6,0),2)</f>
        <v>325</v>
      </c>
      <c r="F257" s="24">
        <f>ROUND(I257+M257+Q257+U257+Y257+AC257+AG257+AK257+AO257+AS257,2)</f>
        <v>0</v>
      </c>
      <c r="G257" s="24">
        <f>ROUND(J257+N257+R257+V257+Z257+AD257+AH257+AL257+AP257+AT257,2)</f>
        <v>0</v>
      </c>
      <c r="H257" s="24">
        <f>ROUND(K257+O257+S257+W257+AA257+AE257+AI257+AM257+AQ257+AU257,2)</f>
        <v>0</v>
      </c>
      <c r="I257" s="24">
        <f>IF(K256&gt;0,IF(AND(ROUND(K256+J257-ROUND(I$6+IF(I$5=$C257,$E$5+$E257,0),2),2)&gt;0,ROUND(K256+J257-ROUND(I$6+IF(I$5=$C257,$E$5+$E257,0),2),2)&lt;=L257,ROUND(K256+J257-ROUND(I$6+IF(I$5=$C257,$E$5+$E257,0),2),2)*10&lt;=ROUND(I$6+IF(I$5=$C257,$E$5+$E257,0),2)),ROUND(K256+J257,2),MIN(ROUND(I$6+IF(I$5=$C257,$E$5+$E257,0),2),ROUND(K256+J257,2))),0)</f>
        <v>0</v>
      </c>
      <c r="J257" s="24">
        <f>IF(K256&gt;0,ROUND(ROUND(K256*100,0)*ROUND(I$7*10000,0)/12000000,0)/100,0)</f>
        <v>0</v>
      </c>
      <c r="K257" s="24">
        <f>IF(K256&gt;0,ROUND(K256+J257-I257,2),0)</f>
        <v>0</v>
      </c>
      <c r="L257" s="24">
        <f>IF(K256&gt;0,ROUND(L256+ROUND(ROUND(L256*100,0)*ROUND(I$7*10000,0)/12000000,0)/100+0.02,2),0)</f>
        <v>0</v>
      </c>
      <c r="M257" s="24">
        <f>IF(O256&gt;0,IF(AND(ROUND(O256+N257-ROUND(M$6+IF(M$5=$C257,$E$5+$E257,0),2),2)&gt;0,ROUND(O256+N257-ROUND(M$6+IF(M$5=$C257,$E$5+$E257,0),2),2)&lt;=P257,ROUND(O256+N257-ROUND(M$6+IF(M$5=$C257,$E$5+$E257,0),2),2)*10&lt;=ROUND(M$6+IF(M$5=$C257,$E$5+$E257,0),2)),ROUND(O256+N257,2),MIN(ROUND(M$6+IF(M$5=$C257,$E$5+$E257,0),2),ROUND(O256+N257,2))),0)</f>
        <v>0</v>
      </c>
      <c r="N257" s="24">
        <f>IF(O256&gt;0,ROUND(ROUND(O256*100,0)*ROUND(M$7*10000,0)/12000000,0)/100,0)</f>
        <v>0</v>
      </c>
      <c r="O257" s="24">
        <f>IF(O256&gt;0,ROUND(O256+N257-M257,2),0)</f>
        <v>0</v>
      </c>
      <c r="P257" s="24">
        <f>IF(O256&gt;0,ROUND(P256+ROUND(ROUND(P256*100,0)*ROUND(M$7*10000,0)/12000000,0)/100+0.02,2),0)</f>
        <v>0</v>
      </c>
      <c r="Q257" s="24">
        <f>IF(S256&gt;0,IF(AND(ROUND(S256+R257-ROUND(Q$6+IF(Q$5=$C257,$E$5+$E257,0),2),2)&gt;0,ROUND(S256+R257-ROUND(Q$6+IF(Q$5=$C257,$E$5+$E257,0),2),2)&lt;=T257,ROUND(S256+R257-ROUND(Q$6+IF(Q$5=$C257,$E$5+$E257,0),2),2)*10&lt;=ROUND(Q$6+IF(Q$5=$C257,$E$5+$E257,0),2)),ROUND(S256+R257,2),MIN(ROUND(Q$6+IF(Q$5=$C257,$E$5+$E257,0),2),ROUND(S256+R257,2))),0)</f>
        <v>0</v>
      </c>
      <c r="R257" s="24">
        <f>IF(S256&gt;0,ROUND(ROUND(S256*100,0)*ROUND(Q$7*10000,0)/12000000,0)/100,0)</f>
        <v>0</v>
      </c>
      <c r="S257" s="24">
        <f>IF(S256&gt;0,ROUND(S256+R257-Q257,2),0)</f>
        <v>0</v>
      </c>
      <c r="T257" s="24">
        <f>IF(S256&gt;0,ROUND(T256+ROUND(ROUND(T256*100,0)*ROUND(Q$7*10000,0)/12000000,0)/100+0.02,2),0)</f>
        <v>0</v>
      </c>
      <c r="U257" s="24">
        <f>IF(W256&gt;0,IF(AND(ROUND(W256+V257-ROUND(U$6+IF(U$5=$C257,$E$5+$E257,0),2),2)&gt;0,ROUND(W256+V257-ROUND(U$6+IF(U$5=$C257,$E$5+$E257,0),2),2)&lt;=X257,ROUND(W256+V257-ROUND(U$6+IF(U$5=$C257,$E$5+$E257,0),2),2)*10&lt;=ROUND(U$6+IF(U$5=$C257,$E$5+$E257,0),2)),ROUND(W256+V257,2),MIN(ROUND(U$6+IF(U$5=$C257,$E$5+$E257,0),2),ROUND(W256+V257,2))),0)</f>
        <v>0</v>
      </c>
      <c r="V257" s="24">
        <f>IF(W256&gt;0,ROUND(ROUND(W256*100,0)*ROUND(U$7*10000,0)/12000000,0)/100,0)</f>
        <v>0</v>
      </c>
      <c r="W257" s="24">
        <f>IF(W256&gt;0,ROUND(W256+V257-U257,2),0)</f>
        <v>0</v>
      </c>
      <c r="X257" s="24">
        <f>IF(W256&gt;0,ROUND(X256+ROUND(ROUND(X256*100,0)*ROUND(U$7*10000,0)/12000000,0)/100+0.02,2),0)</f>
        <v>0</v>
      </c>
      <c r="Y257" s="24">
        <f>IF(AA256&gt;0,IF(AND(ROUND(AA256+Z257-ROUND(Y$6+IF(Y$5=$C257,$E$5+$E257,0),2),2)&gt;0,ROUND(AA256+Z257-ROUND(Y$6+IF(Y$5=$C257,$E$5+$E257,0),2),2)&lt;=AB257,ROUND(AA256+Z257-ROUND(Y$6+IF(Y$5=$C257,$E$5+$E257,0),2),2)*10&lt;=ROUND(Y$6+IF(Y$5=$C257,$E$5+$E257,0),2)),ROUND(AA256+Z257,2),MIN(ROUND(Y$6+IF(Y$5=$C257,$E$5+$E257,0),2),ROUND(AA256+Z257,2))),0)</f>
        <v>0</v>
      </c>
      <c r="Z257" s="24">
        <f>IF(AA256&gt;0,ROUND(ROUND(AA256*100,0)*ROUND(Y$7*10000,0)/12000000,0)/100,0)</f>
        <v>0</v>
      </c>
      <c r="AA257" s="24">
        <f>IF(AA256&gt;0,ROUND(AA256+Z257-Y257,2),0)</f>
        <v>0</v>
      </c>
      <c r="AB257" s="24">
        <f>IF(AA256&gt;0,ROUND(AB256+ROUND(ROUND(AB256*100,0)*ROUND(Y$7*10000,0)/12000000,0)/100+0.02,2),0)</f>
        <v>0</v>
      </c>
      <c r="AC257" s="24">
        <f>IF(AE256&gt;0,IF(AND(ROUND(AE256+AD257-ROUND(AC$6+IF(AC$5=$C257,$E$5+$E257,0),2),2)&gt;0,ROUND(AE256+AD257-ROUND(AC$6+IF(AC$5=$C257,$E$5+$E257,0),2),2)&lt;=AF257,ROUND(AE256+AD257-ROUND(AC$6+IF(AC$5=$C257,$E$5+$E257,0),2),2)*10&lt;=ROUND(AC$6+IF(AC$5=$C257,$E$5+$E257,0),2)),ROUND(AE256+AD257,2),MIN(ROUND(AC$6+IF(AC$5=$C257,$E$5+$E257,0),2),ROUND(AE256+AD257,2))),0)</f>
        <v>0</v>
      </c>
      <c r="AD257" s="24">
        <f>IF(AE256&gt;0,ROUND(ROUND(AE256*100,0)*ROUND(AC$7*10000,0)/12000000,0)/100,0)</f>
        <v>0</v>
      </c>
      <c r="AE257" s="24">
        <f>IF(AE256&gt;0,ROUND(AE256+AD257-AC257,2),0)</f>
        <v>0</v>
      </c>
      <c r="AF257" s="24">
        <f>IF(AE256&gt;0,ROUND(AF256+ROUND(ROUND(AF256*100,0)*ROUND(AC$7*10000,0)/12000000,0)/100+0.02,2),0)</f>
        <v>0</v>
      </c>
      <c r="AG257" s="24">
        <f>IF(AI256&gt;0,IF(AND(ROUND(AI256+AH257-ROUND(AG$6+IF(AG$5=$C257,$E$5+$E257,0),2),2)&gt;0,ROUND(AI256+AH257-ROUND(AG$6+IF(AG$5=$C257,$E$5+$E257,0),2),2)&lt;=AJ257,ROUND(AI256+AH257-ROUND(AG$6+IF(AG$5=$C257,$E$5+$E257,0),2),2)*10&lt;=ROUND(AG$6+IF(AG$5=$C257,$E$5+$E257,0),2)),ROUND(AI256+AH257,2),MIN(ROUND(AG$6+IF(AG$5=$C257,$E$5+$E257,0),2),ROUND(AI256+AH257,2))),0)</f>
        <v>0</v>
      </c>
      <c r="AH257" s="24">
        <f>IF(AI256&gt;0,ROUND(ROUND(AI256*100,0)*ROUND(AG$7*10000,0)/12000000,0)/100,0)</f>
        <v>0</v>
      </c>
      <c r="AI257" s="24">
        <f>IF(AI256&gt;0,ROUND(AI256+AH257-AG257,2),0)</f>
        <v>0</v>
      </c>
      <c r="AJ257" s="24">
        <f>IF(AI256&gt;0,ROUND(AJ256+ROUND(ROUND(AJ256*100,0)*ROUND(AG$7*10000,0)/12000000,0)/100+0.02,2),0)</f>
        <v>0</v>
      </c>
      <c r="AK257" s="24">
        <f>IF(AM256&gt;0,IF(AND(ROUND(AM256+AL257-ROUND(AK$6+IF(AK$5=$C257,$E$5+$E257,0),2),2)&gt;0,ROUND(AM256+AL257-ROUND(AK$6+IF(AK$5=$C257,$E$5+$E257,0),2),2)&lt;=AN257,ROUND(AM256+AL257-ROUND(AK$6+IF(AK$5=$C257,$E$5+$E257,0),2),2)*10&lt;=ROUND(AK$6+IF(AK$5=$C257,$E$5+$E257,0),2)),ROUND(AM256+AL257,2),MIN(ROUND(AK$6+IF(AK$5=$C257,$E$5+$E257,0),2),ROUND(AM256+AL257,2))),0)</f>
        <v>0</v>
      </c>
      <c r="AL257" s="24">
        <f>IF(AM256&gt;0,ROUND(ROUND(AM256*100,0)*ROUND(AK$7*10000,0)/12000000,0)/100,0)</f>
        <v>0</v>
      </c>
      <c r="AM257" s="24">
        <f>IF(AM256&gt;0,ROUND(AM256+AL257-AK257,2),0)</f>
        <v>0</v>
      </c>
      <c r="AN257" s="24">
        <f>IF(AM256&gt;0,ROUND(AN256+ROUND(ROUND(AN256*100,0)*ROUND(AK$7*10000,0)/12000000,0)/100+0.02,2),0)</f>
        <v>0</v>
      </c>
      <c r="AO257" s="24">
        <f>IF(AQ256&gt;0,IF(AND(ROUND(AQ256+AP257-ROUND(AO$6+IF(AO$5=$C257,$E$5+$E257,0),2),2)&gt;0,ROUND(AQ256+AP257-ROUND(AO$6+IF(AO$5=$C257,$E$5+$E257,0),2),2)&lt;=AR257,ROUND(AQ256+AP257-ROUND(AO$6+IF(AO$5=$C257,$E$5+$E257,0),2),2)*10&lt;=ROUND(AO$6+IF(AO$5=$C257,$E$5+$E257,0),2)),ROUND(AQ256+AP257,2),MIN(ROUND(AO$6+IF(AO$5=$C257,$E$5+$E257,0),2),ROUND(AQ256+AP257,2))),0)</f>
        <v>0</v>
      </c>
      <c r="AP257" s="24">
        <f>IF(AQ256&gt;0,ROUND(ROUND(AQ256*100,0)*ROUND(AO$7*10000,0)/12000000,0)/100,0)</f>
        <v>0</v>
      </c>
      <c r="AQ257" s="24">
        <f>IF(AQ256&gt;0,ROUND(AQ256+AP257-AO257,2),0)</f>
        <v>0</v>
      </c>
      <c r="AR257" s="24">
        <f>IF(AQ256&gt;0,ROUND(AR256+ROUND(ROUND(AR256*100,0)*ROUND(AO$7*10000,0)/12000000,0)/100+0.02,2),0)</f>
        <v>0</v>
      </c>
      <c r="AS257" s="24">
        <f>IF(AU256&gt;0,IF(AND(ROUND(AU256+AT257-ROUND(AS$6+IF(AS$5=$C257,$E$5+$E257,0),2),2)&gt;0,ROUND(AU256+AT257-ROUND(AS$6+IF(AS$5=$C257,$E$5+$E257,0),2),2)&lt;=AV257,ROUND(AU256+AT257-ROUND(AS$6+IF(AS$5=$C257,$E$5+$E257,0),2),2)*10&lt;=ROUND(AS$6+IF(AS$5=$C257,$E$5+$E257,0),2)),ROUND(AU256+AT257,2),MIN(ROUND(AS$6+IF(AS$5=$C257,$E$5+$E257,0),2),ROUND(AU256+AT257,2))),0)</f>
        <v>0</v>
      </c>
      <c r="AT257" s="24">
        <f>IF(AU256&gt;0,ROUND(ROUND(AU256*100,0)*ROUND(AS$7*10000,0)/12000000,0)/100,0)</f>
        <v>0</v>
      </c>
      <c r="AU257" s="24">
        <f>IF(AU256&gt;0,ROUND(AU256+AT257-AS257,2),0)</f>
        <v>0</v>
      </c>
      <c r="AV257" s="24">
        <f>IF(AU256&gt;0,ROUND(AV256+ROUND(ROUND(AV256*100,0)*ROUND(AS$7*10000,0)/12000000,0)/100+0.02,2),0)</f>
        <v>0</v>
      </c>
    </row>
    <row r="258" spans="1:48" x14ac:dyDescent="0.25">
      <c r="A258" s="17" t="str">
        <f>IF(F258&gt;0,248,"")</f>
        <v/>
      </c>
      <c r="B258" s="18" t="str">
        <f>IF(F258&gt;0,EDATE($E$6,248),"")</f>
        <v/>
      </c>
      <c r="C258" s="21">
        <f>IF(H257&gt;0,MIN(IF(K257&gt;0,I$5,99),IF(O257&gt;0,M$5,99),IF(S257&gt;0,Q$5,99),IF(W257&gt;0,U$5,99),IF(AA257&gt;0,Y$5,99),IF(AE257&gt;0,AC$5,99),IF(AI257&gt;0,AG$5,99),IF(AM257&gt;0,AK$5,99),IF(AQ257&gt;0,AO$5,99),IF(AU257&gt;0,AS$5,99)),0)</f>
        <v>0</v>
      </c>
      <c r="D258" t="str">
        <f>IF(C258&gt;0,INDEX($I$4:$AV$4,1,MATCH(C258,$I$5:$AV$5,0)),"")</f>
        <v/>
      </c>
      <c r="E258" s="24">
        <f>ROUND(IF(AND(I$8&gt;0,K257=0),I$6,0)+IF(AND(M$8&gt;0,O257=0),M$6,0)+IF(AND(Q$8&gt;0,S257=0),Q$6,0)+IF(AND(U$8&gt;0,W257=0),U$6,0)+IF(AND(Y$8&gt;0,AA257=0),Y$6,0)+IF(AND(AC$8&gt;0,AE257=0),AC$6,0)+IF(AND(AG$8&gt;0,AI257=0),AG$6,0)+IF(AND(AK$8&gt;0,AM257=0),AK$6,0)+IF(AND(AO$8&gt;0,AQ257=0),AO$6,0)+IF(AND(AS$8&gt;0,AU257=0),AS$6,0),2)</f>
        <v>325</v>
      </c>
      <c r="F258" s="24">
        <f>ROUND(I258+M258+Q258+U258+Y258+AC258+AG258+AK258+AO258+AS258,2)</f>
        <v>0</v>
      </c>
      <c r="G258" s="24">
        <f>ROUND(J258+N258+R258+V258+Z258+AD258+AH258+AL258+AP258+AT258,2)</f>
        <v>0</v>
      </c>
      <c r="H258" s="24">
        <f>ROUND(K258+O258+S258+W258+AA258+AE258+AI258+AM258+AQ258+AU258,2)</f>
        <v>0</v>
      </c>
      <c r="I258" s="24">
        <f>IF(K257&gt;0,IF(AND(ROUND(K257+J258-ROUND(I$6+IF(I$5=$C258,$E$5+$E258,0),2),2)&gt;0,ROUND(K257+J258-ROUND(I$6+IF(I$5=$C258,$E$5+$E258,0),2),2)&lt;=L258,ROUND(K257+J258-ROUND(I$6+IF(I$5=$C258,$E$5+$E258,0),2),2)*10&lt;=ROUND(I$6+IF(I$5=$C258,$E$5+$E258,0),2)),ROUND(K257+J258,2),MIN(ROUND(I$6+IF(I$5=$C258,$E$5+$E258,0),2),ROUND(K257+J258,2))),0)</f>
        <v>0</v>
      </c>
      <c r="J258" s="24">
        <f>IF(K257&gt;0,ROUND(ROUND(K257*100,0)*ROUND(I$7*10000,0)/12000000,0)/100,0)</f>
        <v>0</v>
      </c>
      <c r="K258" s="24">
        <f>IF(K257&gt;0,ROUND(K257+J258-I258,2),0)</f>
        <v>0</v>
      </c>
      <c r="L258" s="24">
        <f>IF(K257&gt;0,ROUND(L257+ROUND(ROUND(L257*100,0)*ROUND(I$7*10000,0)/12000000,0)/100+0.02,2),0)</f>
        <v>0</v>
      </c>
      <c r="M258" s="24">
        <f>IF(O257&gt;0,IF(AND(ROUND(O257+N258-ROUND(M$6+IF(M$5=$C258,$E$5+$E258,0),2),2)&gt;0,ROUND(O257+N258-ROUND(M$6+IF(M$5=$C258,$E$5+$E258,0),2),2)&lt;=P258,ROUND(O257+N258-ROUND(M$6+IF(M$5=$C258,$E$5+$E258,0),2),2)*10&lt;=ROUND(M$6+IF(M$5=$C258,$E$5+$E258,0),2)),ROUND(O257+N258,2),MIN(ROUND(M$6+IF(M$5=$C258,$E$5+$E258,0),2),ROUND(O257+N258,2))),0)</f>
        <v>0</v>
      </c>
      <c r="N258" s="24">
        <f>IF(O257&gt;0,ROUND(ROUND(O257*100,0)*ROUND(M$7*10000,0)/12000000,0)/100,0)</f>
        <v>0</v>
      </c>
      <c r="O258" s="24">
        <f>IF(O257&gt;0,ROUND(O257+N258-M258,2),0)</f>
        <v>0</v>
      </c>
      <c r="P258" s="24">
        <f>IF(O257&gt;0,ROUND(P257+ROUND(ROUND(P257*100,0)*ROUND(M$7*10000,0)/12000000,0)/100+0.02,2),0)</f>
        <v>0</v>
      </c>
      <c r="Q258" s="24">
        <f>IF(S257&gt;0,IF(AND(ROUND(S257+R258-ROUND(Q$6+IF(Q$5=$C258,$E$5+$E258,0),2),2)&gt;0,ROUND(S257+R258-ROUND(Q$6+IF(Q$5=$C258,$E$5+$E258,0),2),2)&lt;=T258,ROUND(S257+R258-ROUND(Q$6+IF(Q$5=$C258,$E$5+$E258,0),2),2)*10&lt;=ROUND(Q$6+IF(Q$5=$C258,$E$5+$E258,0),2)),ROUND(S257+R258,2),MIN(ROUND(Q$6+IF(Q$5=$C258,$E$5+$E258,0),2),ROUND(S257+R258,2))),0)</f>
        <v>0</v>
      </c>
      <c r="R258" s="24">
        <f>IF(S257&gt;0,ROUND(ROUND(S257*100,0)*ROUND(Q$7*10000,0)/12000000,0)/100,0)</f>
        <v>0</v>
      </c>
      <c r="S258" s="24">
        <f>IF(S257&gt;0,ROUND(S257+R258-Q258,2),0)</f>
        <v>0</v>
      </c>
      <c r="T258" s="24">
        <f>IF(S257&gt;0,ROUND(T257+ROUND(ROUND(T257*100,0)*ROUND(Q$7*10000,0)/12000000,0)/100+0.02,2),0)</f>
        <v>0</v>
      </c>
      <c r="U258" s="24">
        <f>IF(W257&gt;0,IF(AND(ROUND(W257+V258-ROUND(U$6+IF(U$5=$C258,$E$5+$E258,0),2),2)&gt;0,ROUND(W257+V258-ROUND(U$6+IF(U$5=$C258,$E$5+$E258,0),2),2)&lt;=X258,ROUND(W257+V258-ROUND(U$6+IF(U$5=$C258,$E$5+$E258,0),2),2)*10&lt;=ROUND(U$6+IF(U$5=$C258,$E$5+$E258,0),2)),ROUND(W257+V258,2),MIN(ROUND(U$6+IF(U$5=$C258,$E$5+$E258,0),2),ROUND(W257+V258,2))),0)</f>
        <v>0</v>
      </c>
      <c r="V258" s="24">
        <f>IF(W257&gt;0,ROUND(ROUND(W257*100,0)*ROUND(U$7*10000,0)/12000000,0)/100,0)</f>
        <v>0</v>
      </c>
      <c r="W258" s="24">
        <f>IF(W257&gt;0,ROUND(W257+V258-U258,2),0)</f>
        <v>0</v>
      </c>
      <c r="X258" s="24">
        <f>IF(W257&gt;0,ROUND(X257+ROUND(ROUND(X257*100,0)*ROUND(U$7*10000,0)/12000000,0)/100+0.02,2),0)</f>
        <v>0</v>
      </c>
      <c r="Y258" s="24">
        <f>IF(AA257&gt;0,IF(AND(ROUND(AA257+Z258-ROUND(Y$6+IF(Y$5=$C258,$E$5+$E258,0),2),2)&gt;0,ROUND(AA257+Z258-ROUND(Y$6+IF(Y$5=$C258,$E$5+$E258,0),2),2)&lt;=AB258,ROUND(AA257+Z258-ROUND(Y$6+IF(Y$5=$C258,$E$5+$E258,0),2),2)*10&lt;=ROUND(Y$6+IF(Y$5=$C258,$E$5+$E258,0),2)),ROUND(AA257+Z258,2),MIN(ROUND(Y$6+IF(Y$5=$C258,$E$5+$E258,0),2),ROUND(AA257+Z258,2))),0)</f>
        <v>0</v>
      </c>
      <c r="Z258" s="24">
        <f>IF(AA257&gt;0,ROUND(ROUND(AA257*100,0)*ROUND(Y$7*10000,0)/12000000,0)/100,0)</f>
        <v>0</v>
      </c>
      <c r="AA258" s="24">
        <f>IF(AA257&gt;0,ROUND(AA257+Z258-Y258,2),0)</f>
        <v>0</v>
      </c>
      <c r="AB258" s="24">
        <f>IF(AA257&gt;0,ROUND(AB257+ROUND(ROUND(AB257*100,0)*ROUND(Y$7*10000,0)/12000000,0)/100+0.02,2),0)</f>
        <v>0</v>
      </c>
      <c r="AC258" s="24">
        <f>IF(AE257&gt;0,IF(AND(ROUND(AE257+AD258-ROUND(AC$6+IF(AC$5=$C258,$E$5+$E258,0),2),2)&gt;0,ROUND(AE257+AD258-ROUND(AC$6+IF(AC$5=$C258,$E$5+$E258,0),2),2)&lt;=AF258,ROUND(AE257+AD258-ROUND(AC$6+IF(AC$5=$C258,$E$5+$E258,0),2),2)*10&lt;=ROUND(AC$6+IF(AC$5=$C258,$E$5+$E258,0),2)),ROUND(AE257+AD258,2),MIN(ROUND(AC$6+IF(AC$5=$C258,$E$5+$E258,0),2),ROUND(AE257+AD258,2))),0)</f>
        <v>0</v>
      </c>
      <c r="AD258" s="24">
        <f>IF(AE257&gt;0,ROUND(ROUND(AE257*100,0)*ROUND(AC$7*10000,0)/12000000,0)/100,0)</f>
        <v>0</v>
      </c>
      <c r="AE258" s="24">
        <f>IF(AE257&gt;0,ROUND(AE257+AD258-AC258,2),0)</f>
        <v>0</v>
      </c>
      <c r="AF258" s="24">
        <f>IF(AE257&gt;0,ROUND(AF257+ROUND(ROUND(AF257*100,0)*ROUND(AC$7*10000,0)/12000000,0)/100+0.02,2),0)</f>
        <v>0</v>
      </c>
      <c r="AG258" s="24">
        <f>IF(AI257&gt;0,IF(AND(ROUND(AI257+AH258-ROUND(AG$6+IF(AG$5=$C258,$E$5+$E258,0),2),2)&gt;0,ROUND(AI257+AH258-ROUND(AG$6+IF(AG$5=$C258,$E$5+$E258,0),2),2)&lt;=AJ258,ROUND(AI257+AH258-ROUND(AG$6+IF(AG$5=$C258,$E$5+$E258,0),2),2)*10&lt;=ROUND(AG$6+IF(AG$5=$C258,$E$5+$E258,0),2)),ROUND(AI257+AH258,2),MIN(ROUND(AG$6+IF(AG$5=$C258,$E$5+$E258,0),2),ROUND(AI257+AH258,2))),0)</f>
        <v>0</v>
      </c>
      <c r="AH258" s="24">
        <f>IF(AI257&gt;0,ROUND(ROUND(AI257*100,0)*ROUND(AG$7*10000,0)/12000000,0)/100,0)</f>
        <v>0</v>
      </c>
      <c r="AI258" s="24">
        <f>IF(AI257&gt;0,ROUND(AI257+AH258-AG258,2),0)</f>
        <v>0</v>
      </c>
      <c r="AJ258" s="24">
        <f>IF(AI257&gt;0,ROUND(AJ257+ROUND(ROUND(AJ257*100,0)*ROUND(AG$7*10000,0)/12000000,0)/100+0.02,2),0)</f>
        <v>0</v>
      </c>
      <c r="AK258" s="24">
        <f>IF(AM257&gt;0,IF(AND(ROUND(AM257+AL258-ROUND(AK$6+IF(AK$5=$C258,$E$5+$E258,0),2),2)&gt;0,ROUND(AM257+AL258-ROUND(AK$6+IF(AK$5=$C258,$E$5+$E258,0),2),2)&lt;=AN258,ROUND(AM257+AL258-ROUND(AK$6+IF(AK$5=$C258,$E$5+$E258,0),2),2)*10&lt;=ROUND(AK$6+IF(AK$5=$C258,$E$5+$E258,0),2)),ROUND(AM257+AL258,2),MIN(ROUND(AK$6+IF(AK$5=$C258,$E$5+$E258,0),2),ROUND(AM257+AL258,2))),0)</f>
        <v>0</v>
      </c>
      <c r="AL258" s="24">
        <f>IF(AM257&gt;0,ROUND(ROUND(AM257*100,0)*ROUND(AK$7*10000,0)/12000000,0)/100,0)</f>
        <v>0</v>
      </c>
      <c r="AM258" s="24">
        <f>IF(AM257&gt;0,ROUND(AM257+AL258-AK258,2),0)</f>
        <v>0</v>
      </c>
      <c r="AN258" s="24">
        <f>IF(AM257&gt;0,ROUND(AN257+ROUND(ROUND(AN257*100,0)*ROUND(AK$7*10000,0)/12000000,0)/100+0.02,2),0)</f>
        <v>0</v>
      </c>
      <c r="AO258" s="24">
        <f>IF(AQ257&gt;0,IF(AND(ROUND(AQ257+AP258-ROUND(AO$6+IF(AO$5=$C258,$E$5+$E258,0),2),2)&gt;0,ROUND(AQ257+AP258-ROUND(AO$6+IF(AO$5=$C258,$E$5+$E258,0),2),2)&lt;=AR258,ROUND(AQ257+AP258-ROUND(AO$6+IF(AO$5=$C258,$E$5+$E258,0),2),2)*10&lt;=ROUND(AO$6+IF(AO$5=$C258,$E$5+$E258,0),2)),ROUND(AQ257+AP258,2),MIN(ROUND(AO$6+IF(AO$5=$C258,$E$5+$E258,0),2),ROUND(AQ257+AP258,2))),0)</f>
        <v>0</v>
      </c>
      <c r="AP258" s="24">
        <f>IF(AQ257&gt;0,ROUND(ROUND(AQ257*100,0)*ROUND(AO$7*10000,0)/12000000,0)/100,0)</f>
        <v>0</v>
      </c>
      <c r="AQ258" s="24">
        <f>IF(AQ257&gt;0,ROUND(AQ257+AP258-AO258,2),0)</f>
        <v>0</v>
      </c>
      <c r="AR258" s="24">
        <f>IF(AQ257&gt;0,ROUND(AR257+ROUND(ROUND(AR257*100,0)*ROUND(AO$7*10000,0)/12000000,0)/100+0.02,2),0)</f>
        <v>0</v>
      </c>
      <c r="AS258" s="24">
        <f>IF(AU257&gt;0,IF(AND(ROUND(AU257+AT258-ROUND(AS$6+IF(AS$5=$C258,$E$5+$E258,0),2),2)&gt;0,ROUND(AU257+AT258-ROUND(AS$6+IF(AS$5=$C258,$E$5+$E258,0),2),2)&lt;=AV258,ROUND(AU257+AT258-ROUND(AS$6+IF(AS$5=$C258,$E$5+$E258,0),2),2)*10&lt;=ROUND(AS$6+IF(AS$5=$C258,$E$5+$E258,0),2)),ROUND(AU257+AT258,2),MIN(ROUND(AS$6+IF(AS$5=$C258,$E$5+$E258,0),2),ROUND(AU257+AT258,2))),0)</f>
        <v>0</v>
      </c>
      <c r="AT258" s="24">
        <f>IF(AU257&gt;0,ROUND(ROUND(AU257*100,0)*ROUND(AS$7*10000,0)/12000000,0)/100,0)</f>
        <v>0</v>
      </c>
      <c r="AU258" s="24">
        <f>IF(AU257&gt;0,ROUND(AU257+AT258-AS258,2),0)</f>
        <v>0</v>
      </c>
      <c r="AV258" s="24">
        <f>IF(AU257&gt;0,ROUND(AV257+ROUND(ROUND(AV257*100,0)*ROUND(AS$7*10000,0)/12000000,0)/100+0.02,2),0)</f>
        <v>0</v>
      </c>
    </row>
    <row r="259" spans="1:48" x14ac:dyDescent="0.25">
      <c r="A259" s="17" t="str">
        <f>IF(F259&gt;0,249,"")</f>
        <v/>
      </c>
      <c r="B259" s="18" t="str">
        <f>IF(F259&gt;0,EDATE($E$6,249),"")</f>
        <v/>
      </c>
      <c r="C259" s="21">
        <f>IF(H258&gt;0,MIN(IF(K258&gt;0,I$5,99),IF(O258&gt;0,M$5,99),IF(S258&gt;0,Q$5,99),IF(W258&gt;0,U$5,99),IF(AA258&gt;0,Y$5,99),IF(AE258&gt;0,AC$5,99),IF(AI258&gt;0,AG$5,99),IF(AM258&gt;0,AK$5,99),IF(AQ258&gt;0,AO$5,99),IF(AU258&gt;0,AS$5,99)),0)</f>
        <v>0</v>
      </c>
      <c r="D259" t="str">
        <f>IF(C259&gt;0,INDEX($I$4:$AV$4,1,MATCH(C259,$I$5:$AV$5,0)),"")</f>
        <v/>
      </c>
      <c r="E259" s="24">
        <f>ROUND(IF(AND(I$8&gt;0,K258=0),I$6,0)+IF(AND(M$8&gt;0,O258=0),M$6,0)+IF(AND(Q$8&gt;0,S258=0),Q$6,0)+IF(AND(U$8&gt;0,W258=0),U$6,0)+IF(AND(Y$8&gt;0,AA258=0),Y$6,0)+IF(AND(AC$8&gt;0,AE258=0),AC$6,0)+IF(AND(AG$8&gt;0,AI258=0),AG$6,0)+IF(AND(AK$8&gt;0,AM258=0),AK$6,0)+IF(AND(AO$8&gt;0,AQ258=0),AO$6,0)+IF(AND(AS$8&gt;0,AU258=0),AS$6,0),2)</f>
        <v>325</v>
      </c>
      <c r="F259" s="24">
        <f>ROUND(I259+M259+Q259+U259+Y259+AC259+AG259+AK259+AO259+AS259,2)</f>
        <v>0</v>
      </c>
      <c r="G259" s="24">
        <f>ROUND(J259+N259+R259+V259+Z259+AD259+AH259+AL259+AP259+AT259,2)</f>
        <v>0</v>
      </c>
      <c r="H259" s="24">
        <f>ROUND(K259+O259+S259+W259+AA259+AE259+AI259+AM259+AQ259+AU259,2)</f>
        <v>0</v>
      </c>
      <c r="I259" s="24">
        <f>IF(K258&gt;0,IF(AND(ROUND(K258+J259-ROUND(I$6+IF(I$5=$C259,$E$5+$E259,0),2),2)&gt;0,ROUND(K258+J259-ROUND(I$6+IF(I$5=$C259,$E$5+$E259,0),2),2)&lt;=L259,ROUND(K258+J259-ROUND(I$6+IF(I$5=$C259,$E$5+$E259,0),2),2)*10&lt;=ROUND(I$6+IF(I$5=$C259,$E$5+$E259,0),2)),ROUND(K258+J259,2),MIN(ROUND(I$6+IF(I$5=$C259,$E$5+$E259,0),2),ROUND(K258+J259,2))),0)</f>
        <v>0</v>
      </c>
      <c r="J259" s="24">
        <f>IF(K258&gt;0,ROUND(ROUND(K258*100,0)*ROUND(I$7*10000,0)/12000000,0)/100,0)</f>
        <v>0</v>
      </c>
      <c r="K259" s="24">
        <f>IF(K258&gt;0,ROUND(K258+J259-I259,2),0)</f>
        <v>0</v>
      </c>
      <c r="L259" s="24">
        <f>IF(K258&gt;0,ROUND(L258+ROUND(ROUND(L258*100,0)*ROUND(I$7*10000,0)/12000000,0)/100+0.02,2),0)</f>
        <v>0</v>
      </c>
      <c r="M259" s="24">
        <f>IF(O258&gt;0,IF(AND(ROUND(O258+N259-ROUND(M$6+IF(M$5=$C259,$E$5+$E259,0),2),2)&gt;0,ROUND(O258+N259-ROUND(M$6+IF(M$5=$C259,$E$5+$E259,0),2),2)&lt;=P259,ROUND(O258+N259-ROUND(M$6+IF(M$5=$C259,$E$5+$E259,0),2),2)*10&lt;=ROUND(M$6+IF(M$5=$C259,$E$5+$E259,0),2)),ROUND(O258+N259,2),MIN(ROUND(M$6+IF(M$5=$C259,$E$5+$E259,0),2),ROUND(O258+N259,2))),0)</f>
        <v>0</v>
      </c>
      <c r="N259" s="24">
        <f>IF(O258&gt;0,ROUND(ROUND(O258*100,0)*ROUND(M$7*10000,0)/12000000,0)/100,0)</f>
        <v>0</v>
      </c>
      <c r="O259" s="24">
        <f>IF(O258&gt;0,ROUND(O258+N259-M259,2),0)</f>
        <v>0</v>
      </c>
      <c r="P259" s="24">
        <f>IF(O258&gt;0,ROUND(P258+ROUND(ROUND(P258*100,0)*ROUND(M$7*10000,0)/12000000,0)/100+0.02,2),0)</f>
        <v>0</v>
      </c>
      <c r="Q259" s="24">
        <f>IF(S258&gt;0,IF(AND(ROUND(S258+R259-ROUND(Q$6+IF(Q$5=$C259,$E$5+$E259,0),2),2)&gt;0,ROUND(S258+R259-ROUND(Q$6+IF(Q$5=$C259,$E$5+$E259,0),2),2)&lt;=T259,ROUND(S258+R259-ROUND(Q$6+IF(Q$5=$C259,$E$5+$E259,0),2),2)*10&lt;=ROUND(Q$6+IF(Q$5=$C259,$E$5+$E259,0),2)),ROUND(S258+R259,2),MIN(ROUND(Q$6+IF(Q$5=$C259,$E$5+$E259,0),2),ROUND(S258+R259,2))),0)</f>
        <v>0</v>
      </c>
      <c r="R259" s="24">
        <f>IF(S258&gt;0,ROUND(ROUND(S258*100,0)*ROUND(Q$7*10000,0)/12000000,0)/100,0)</f>
        <v>0</v>
      </c>
      <c r="S259" s="24">
        <f>IF(S258&gt;0,ROUND(S258+R259-Q259,2),0)</f>
        <v>0</v>
      </c>
      <c r="T259" s="24">
        <f>IF(S258&gt;0,ROUND(T258+ROUND(ROUND(T258*100,0)*ROUND(Q$7*10000,0)/12000000,0)/100+0.02,2),0)</f>
        <v>0</v>
      </c>
      <c r="U259" s="24">
        <f>IF(W258&gt;0,IF(AND(ROUND(W258+V259-ROUND(U$6+IF(U$5=$C259,$E$5+$E259,0),2),2)&gt;0,ROUND(W258+V259-ROUND(U$6+IF(U$5=$C259,$E$5+$E259,0),2),2)&lt;=X259,ROUND(W258+V259-ROUND(U$6+IF(U$5=$C259,$E$5+$E259,0),2),2)*10&lt;=ROUND(U$6+IF(U$5=$C259,$E$5+$E259,0),2)),ROUND(W258+V259,2),MIN(ROUND(U$6+IF(U$5=$C259,$E$5+$E259,0),2),ROUND(W258+V259,2))),0)</f>
        <v>0</v>
      </c>
      <c r="V259" s="24">
        <f>IF(W258&gt;0,ROUND(ROUND(W258*100,0)*ROUND(U$7*10000,0)/12000000,0)/100,0)</f>
        <v>0</v>
      </c>
      <c r="W259" s="24">
        <f>IF(W258&gt;0,ROUND(W258+V259-U259,2),0)</f>
        <v>0</v>
      </c>
      <c r="X259" s="24">
        <f>IF(W258&gt;0,ROUND(X258+ROUND(ROUND(X258*100,0)*ROUND(U$7*10000,0)/12000000,0)/100+0.02,2),0)</f>
        <v>0</v>
      </c>
      <c r="Y259" s="24">
        <f>IF(AA258&gt;0,IF(AND(ROUND(AA258+Z259-ROUND(Y$6+IF(Y$5=$C259,$E$5+$E259,0),2),2)&gt;0,ROUND(AA258+Z259-ROUND(Y$6+IF(Y$5=$C259,$E$5+$E259,0),2),2)&lt;=AB259,ROUND(AA258+Z259-ROUND(Y$6+IF(Y$5=$C259,$E$5+$E259,0),2),2)*10&lt;=ROUND(Y$6+IF(Y$5=$C259,$E$5+$E259,0),2)),ROUND(AA258+Z259,2),MIN(ROUND(Y$6+IF(Y$5=$C259,$E$5+$E259,0),2),ROUND(AA258+Z259,2))),0)</f>
        <v>0</v>
      </c>
      <c r="Z259" s="24">
        <f>IF(AA258&gt;0,ROUND(ROUND(AA258*100,0)*ROUND(Y$7*10000,0)/12000000,0)/100,0)</f>
        <v>0</v>
      </c>
      <c r="AA259" s="24">
        <f>IF(AA258&gt;0,ROUND(AA258+Z259-Y259,2),0)</f>
        <v>0</v>
      </c>
      <c r="AB259" s="24">
        <f>IF(AA258&gt;0,ROUND(AB258+ROUND(ROUND(AB258*100,0)*ROUND(Y$7*10000,0)/12000000,0)/100+0.02,2),0)</f>
        <v>0</v>
      </c>
      <c r="AC259" s="24">
        <f>IF(AE258&gt;0,IF(AND(ROUND(AE258+AD259-ROUND(AC$6+IF(AC$5=$C259,$E$5+$E259,0),2),2)&gt;0,ROUND(AE258+AD259-ROUND(AC$6+IF(AC$5=$C259,$E$5+$E259,0),2),2)&lt;=AF259,ROUND(AE258+AD259-ROUND(AC$6+IF(AC$5=$C259,$E$5+$E259,0),2),2)*10&lt;=ROUND(AC$6+IF(AC$5=$C259,$E$5+$E259,0),2)),ROUND(AE258+AD259,2),MIN(ROUND(AC$6+IF(AC$5=$C259,$E$5+$E259,0),2),ROUND(AE258+AD259,2))),0)</f>
        <v>0</v>
      </c>
      <c r="AD259" s="24">
        <f>IF(AE258&gt;0,ROUND(ROUND(AE258*100,0)*ROUND(AC$7*10000,0)/12000000,0)/100,0)</f>
        <v>0</v>
      </c>
      <c r="AE259" s="24">
        <f>IF(AE258&gt;0,ROUND(AE258+AD259-AC259,2),0)</f>
        <v>0</v>
      </c>
      <c r="AF259" s="24">
        <f>IF(AE258&gt;0,ROUND(AF258+ROUND(ROUND(AF258*100,0)*ROUND(AC$7*10000,0)/12000000,0)/100+0.02,2),0)</f>
        <v>0</v>
      </c>
      <c r="AG259" s="24">
        <f>IF(AI258&gt;0,IF(AND(ROUND(AI258+AH259-ROUND(AG$6+IF(AG$5=$C259,$E$5+$E259,0),2),2)&gt;0,ROUND(AI258+AH259-ROUND(AG$6+IF(AG$5=$C259,$E$5+$E259,0),2),2)&lt;=AJ259,ROUND(AI258+AH259-ROUND(AG$6+IF(AG$5=$C259,$E$5+$E259,0),2),2)*10&lt;=ROUND(AG$6+IF(AG$5=$C259,$E$5+$E259,0),2)),ROUND(AI258+AH259,2),MIN(ROUND(AG$6+IF(AG$5=$C259,$E$5+$E259,0),2),ROUND(AI258+AH259,2))),0)</f>
        <v>0</v>
      </c>
      <c r="AH259" s="24">
        <f>IF(AI258&gt;0,ROUND(ROUND(AI258*100,0)*ROUND(AG$7*10000,0)/12000000,0)/100,0)</f>
        <v>0</v>
      </c>
      <c r="AI259" s="24">
        <f>IF(AI258&gt;0,ROUND(AI258+AH259-AG259,2),0)</f>
        <v>0</v>
      </c>
      <c r="AJ259" s="24">
        <f>IF(AI258&gt;0,ROUND(AJ258+ROUND(ROUND(AJ258*100,0)*ROUND(AG$7*10000,0)/12000000,0)/100+0.02,2),0)</f>
        <v>0</v>
      </c>
      <c r="AK259" s="24">
        <f>IF(AM258&gt;0,IF(AND(ROUND(AM258+AL259-ROUND(AK$6+IF(AK$5=$C259,$E$5+$E259,0),2),2)&gt;0,ROUND(AM258+AL259-ROUND(AK$6+IF(AK$5=$C259,$E$5+$E259,0),2),2)&lt;=AN259,ROUND(AM258+AL259-ROUND(AK$6+IF(AK$5=$C259,$E$5+$E259,0),2),2)*10&lt;=ROUND(AK$6+IF(AK$5=$C259,$E$5+$E259,0),2)),ROUND(AM258+AL259,2),MIN(ROUND(AK$6+IF(AK$5=$C259,$E$5+$E259,0),2),ROUND(AM258+AL259,2))),0)</f>
        <v>0</v>
      </c>
      <c r="AL259" s="24">
        <f>IF(AM258&gt;0,ROUND(ROUND(AM258*100,0)*ROUND(AK$7*10000,0)/12000000,0)/100,0)</f>
        <v>0</v>
      </c>
      <c r="AM259" s="24">
        <f>IF(AM258&gt;0,ROUND(AM258+AL259-AK259,2),0)</f>
        <v>0</v>
      </c>
      <c r="AN259" s="24">
        <f>IF(AM258&gt;0,ROUND(AN258+ROUND(ROUND(AN258*100,0)*ROUND(AK$7*10000,0)/12000000,0)/100+0.02,2),0)</f>
        <v>0</v>
      </c>
      <c r="AO259" s="24">
        <f>IF(AQ258&gt;0,IF(AND(ROUND(AQ258+AP259-ROUND(AO$6+IF(AO$5=$C259,$E$5+$E259,0),2),2)&gt;0,ROUND(AQ258+AP259-ROUND(AO$6+IF(AO$5=$C259,$E$5+$E259,0),2),2)&lt;=AR259,ROUND(AQ258+AP259-ROUND(AO$6+IF(AO$5=$C259,$E$5+$E259,0),2),2)*10&lt;=ROUND(AO$6+IF(AO$5=$C259,$E$5+$E259,0),2)),ROUND(AQ258+AP259,2),MIN(ROUND(AO$6+IF(AO$5=$C259,$E$5+$E259,0),2),ROUND(AQ258+AP259,2))),0)</f>
        <v>0</v>
      </c>
      <c r="AP259" s="24">
        <f>IF(AQ258&gt;0,ROUND(ROUND(AQ258*100,0)*ROUND(AO$7*10000,0)/12000000,0)/100,0)</f>
        <v>0</v>
      </c>
      <c r="AQ259" s="24">
        <f>IF(AQ258&gt;0,ROUND(AQ258+AP259-AO259,2),0)</f>
        <v>0</v>
      </c>
      <c r="AR259" s="24">
        <f>IF(AQ258&gt;0,ROUND(AR258+ROUND(ROUND(AR258*100,0)*ROUND(AO$7*10000,0)/12000000,0)/100+0.02,2),0)</f>
        <v>0</v>
      </c>
      <c r="AS259" s="24">
        <f>IF(AU258&gt;0,IF(AND(ROUND(AU258+AT259-ROUND(AS$6+IF(AS$5=$C259,$E$5+$E259,0),2),2)&gt;0,ROUND(AU258+AT259-ROUND(AS$6+IF(AS$5=$C259,$E$5+$E259,0),2),2)&lt;=AV259,ROUND(AU258+AT259-ROUND(AS$6+IF(AS$5=$C259,$E$5+$E259,0),2),2)*10&lt;=ROUND(AS$6+IF(AS$5=$C259,$E$5+$E259,0),2)),ROUND(AU258+AT259,2),MIN(ROUND(AS$6+IF(AS$5=$C259,$E$5+$E259,0),2),ROUND(AU258+AT259,2))),0)</f>
        <v>0</v>
      </c>
      <c r="AT259" s="24">
        <f>IF(AU258&gt;0,ROUND(ROUND(AU258*100,0)*ROUND(AS$7*10000,0)/12000000,0)/100,0)</f>
        <v>0</v>
      </c>
      <c r="AU259" s="24">
        <f>IF(AU258&gt;0,ROUND(AU258+AT259-AS259,2),0)</f>
        <v>0</v>
      </c>
      <c r="AV259" s="24">
        <f>IF(AU258&gt;0,ROUND(AV258+ROUND(ROUND(AV258*100,0)*ROUND(AS$7*10000,0)/12000000,0)/100+0.02,2),0)</f>
        <v>0</v>
      </c>
    </row>
    <row r="260" spans="1:48" x14ac:dyDescent="0.25">
      <c r="A260" s="17" t="str">
        <f>IF(F260&gt;0,250,"")</f>
        <v/>
      </c>
      <c r="B260" s="18" t="str">
        <f>IF(F260&gt;0,EDATE($E$6,250),"")</f>
        <v/>
      </c>
      <c r="C260" s="21">
        <f>IF(H259&gt;0,MIN(IF(K259&gt;0,I$5,99),IF(O259&gt;0,M$5,99),IF(S259&gt;0,Q$5,99),IF(W259&gt;0,U$5,99),IF(AA259&gt;0,Y$5,99),IF(AE259&gt;0,AC$5,99),IF(AI259&gt;0,AG$5,99),IF(AM259&gt;0,AK$5,99),IF(AQ259&gt;0,AO$5,99),IF(AU259&gt;0,AS$5,99)),0)</f>
        <v>0</v>
      </c>
      <c r="D260" t="str">
        <f>IF(C260&gt;0,INDEX($I$4:$AV$4,1,MATCH(C260,$I$5:$AV$5,0)),"")</f>
        <v/>
      </c>
      <c r="E260" s="24">
        <f>ROUND(IF(AND(I$8&gt;0,K259=0),I$6,0)+IF(AND(M$8&gt;0,O259=0),M$6,0)+IF(AND(Q$8&gt;0,S259=0),Q$6,0)+IF(AND(U$8&gt;0,W259=0),U$6,0)+IF(AND(Y$8&gt;0,AA259=0),Y$6,0)+IF(AND(AC$8&gt;0,AE259=0),AC$6,0)+IF(AND(AG$8&gt;0,AI259=0),AG$6,0)+IF(AND(AK$8&gt;0,AM259=0),AK$6,0)+IF(AND(AO$8&gt;0,AQ259=0),AO$6,0)+IF(AND(AS$8&gt;0,AU259=0),AS$6,0),2)</f>
        <v>325</v>
      </c>
      <c r="F260" s="24">
        <f>ROUND(I260+M260+Q260+U260+Y260+AC260+AG260+AK260+AO260+AS260,2)</f>
        <v>0</v>
      </c>
      <c r="G260" s="24">
        <f>ROUND(J260+N260+R260+V260+Z260+AD260+AH260+AL260+AP260+AT260,2)</f>
        <v>0</v>
      </c>
      <c r="H260" s="24">
        <f>ROUND(K260+O260+S260+W260+AA260+AE260+AI260+AM260+AQ260+AU260,2)</f>
        <v>0</v>
      </c>
      <c r="I260" s="24">
        <f>IF(K259&gt;0,IF(AND(ROUND(K259+J260-ROUND(I$6+IF(I$5=$C260,$E$5+$E260,0),2),2)&gt;0,ROUND(K259+J260-ROUND(I$6+IF(I$5=$C260,$E$5+$E260,0),2),2)&lt;=L260,ROUND(K259+J260-ROUND(I$6+IF(I$5=$C260,$E$5+$E260,0),2),2)*10&lt;=ROUND(I$6+IF(I$5=$C260,$E$5+$E260,0),2)),ROUND(K259+J260,2),MIN(ROUND(I$6+IF(I$5=$C260,$E$5+$E260,0),2),ROUND(K259+J260,2))),0)</f>
        <v>0</v>
      </c>
      <c r="J260" s="24">
        <f>IF(K259&gt;0,ROUND(ROUND(K259*100,0)*ROUND(I$7*10000,0)/12000000,0)/100,0)</f>
        <v>0</v>
      </c>
      <c r="K260" s="24">
        <f>IF(K259&gt;0,ROUND(K259+J260-I260,2),0)</f>
        <v>0</v>
      </c>
      <c r="L260" s="24">
        <f>IF(K259&gt;0,ROUND(L259+ROUND(ROUND(L259*100,0)*ROUND(I$7*10000,0)/12000000,0)/100+0.02,2),0)</f>
        <v>0</v>
      </c>
      <c r="M260" s="24">
        <f>IF(O259&gt;0,IF(AND(ROUND(O259+N260-ROUND(M$6+IF(M$5=$C260,$E$5+$E260,0),2),2)&gt;0,ROUND(O259+N260-ROUND(M$6+IF(M$5=$C260,$E$5+$E260,0),2),2)&lt;=P260,ROUND(O259+N260-ROUND(M$6+IF(M$5=$C260,$E$5+$E260,0),2),2)*10&lt;=ROUND(M$6+IF(M$5=$C260,$E$5+$E260,0),2)),ROUND(O259+N260,2),MIN(ROUND(M$6+IF(M$5=$C260,$E$5+$E260,0),2),ROUND(O259+N260,2))),0)</f>
        <v>0</v>
      </c>
      <c r="N260" s="24">
        <f>IF(O259&gt;0,ROUND(ROUND(O259*100,0)*ROUND(M$7*10000,0)/12000000,0)/100,0)</f>
        <v>0</v>
      </c>
      <c r="O260" s="24">
        <f>IF(O259&gt;0,ROUND(O259+N260-M260,2),0)</f>
        <v>0</v>
      </c>
      <c r="P260" s="24">
        <f>IF(O259&gt;0,ROUND(P259+ROUND(ROUND(P259*100,0)*ROUND(M$7*10000,0)/12000000,0)/100+0.02,2),0)</f>
        <v>0</v>
      </c>
      <c r="Q260" s="24">
        <f>IF(S259&gt;0,IF(AND(ROUND(S259+R260-ROUND(Q$6+IF(Q$5=$C260,$E$5+$E260,0),2),2)&gt;0,ROUND(S259+R260-ROUND(Q$6+IF(Q$5=$C260,$E$5+$E260,0),2),2)&lt;=T260,ROUND(S259+R260-ROUND(Q$6+IF(Q$5=$C260,$E$5+$E260,0),2),2)*10&lt;=ROUND(Q$6+IF(Q$5=$C260,$E$5+$E260,0),2)),ROUND(S259+R260,2),MIN(ROUND(Q$6+IF(Q$5=$C260,$E$5+$E260,0),2),ROUND(S259+R260,2))),0)</f>
        <v>0</v>
      </c>
      <c r="R260" s="24">
        <f>IF(S259&gt;0,ROUND(ROUND(S259*100,0)*ROUND(Q$7*10000,0)/12000000,0)/100,0)</f>
        <v>0</v>
      </c>
      <c r="S260" s="24">
        <f>IF(S259&gt;0,ROUND(S259+R260-Q260,2),0)</f>
        <v>0</v>
      </c>
      <c r="T260" s="24">
        <f>IF(S259&gt;0,ROUND(T259+ROUND(ROUND(T259*100,0)*ROUND(Q$7*10000,0)/12000000,0)/100+0.02,2),0)</f>
        <v>0</v>
      </c>
      <c r="U260" s="24">
        <f>IF(W259&gt;0,IF(AND(ROUND(W259+V260-ROUND(U$6+IF(U$5=$C260,$E$5+$E260,0),2),2)&gt;0,ROUND(W259+V260-ROUND(U$6+IF(U$5=$C260,$E$5+$E260,0),2),2)&lt;=X260,ROUND(W259+V260-ROUND(U$6+IF(U$5=$C260,$E$5+$E260,0),2),2)*10&lt;=ROUND(U$6+IF(U$5=$C260,$E$5+$E260,0),2)),ROUND(W259+V260,2),MIN(ROUND(U$6+IF(U$5=$C260,$E$5+$E260,0),2),ROUND(W259+V260,2))),0)</f>
        <v>0</v>
      </c>
      <c r="V260" s="24">
        <f>IF(W259&gt;0,ROUND(ROUND(W259*100,0)*ROUND(U$7*10000,0)/12000000,0)/100,0)</f>
        <v>0</v>
      </c>
      <c r="W260" s="24">
        <f>IF(W259&gt;0,ROUND(W259+V260-U260,2),0)</f>
        <v>0</v>
      </c>
      <c r="X260" s="24">
        <f>IF(W259&gt;0,ROUND(X259+ROUND(ROUND(X259*100,0)*ROUND(U$7*10000,0)/12000000,0)/100+0.02,2),0)</f>
        <v>0</v>
      </c>
      <c r="Y260" s="24">
        <f>IF(AA259&gt;0,IF(AND(ROUND(AA259+Z260-ROUND(Y$6+IF(Y$5=$C260,$E$5+$E260,0),2),2)&gt;0,ROUND(AA259+Z260-ROUND(Y$6+IF(Y$5=$C260,$E$5+$E260,0),2),2)&lt;=AB260,ROUND(AA259+Z260-ROUND(Y$6+IF(Y$5=$C260,$E$5+$E260,0),2),2)*10&lt;=ROUND(Y$6+IF(Y$5=$C260,$E$5+$E260,0),2)),ROUND(AA259+Z260,2),MIN(ROUND(Y$6+IF(Y$5=$C260,$E$5+$E260,0),2),ROUND(AA259+Z260,2))),0)</f>
        <v>0</v>
      </c>
      <c r="Z260" s="24">
        <f>IF(AA259&gt;0,ROUND(ROUND(AA259*100,0)*ROUND(Y$7*10000,0)/12000000,0)/100,0)</f>
        <v>0</v>
      </c>
      <c r="AA260" s="24">
        <f>IF(AA259&gt;0,ROUND(AA259+Z260-Y260,2),0)</f>
        <v>0</v>
      </c>
      <c r="AB260" s="24">
        <f>IF(AA259&gt;0,ROUND(AB259+ROUND(ROUND(AB259*100,0)*ROUND(Y$7*10000,0)/12000000,0)/100+0.02,2),0)</f>
        <v>0</v>
      </c>
      <c r="AC260" s="24">
        <f>IF(AE259&gt;0,IF(AND(ROUND(AE259+AD260-ROUND(AC$6+IF(AC$5=$C260,$E$5+$E260,0),2),2)&gt;0,ROUND(AE259+AD260-ROUND(AC$6+IF(AC$5=$C260,$E$5+$E260,0),2),2)&lt;=AF260,ROUND(AE259+AD260-ROUND(AC$6+IF(AC$5=$C260,$E$5+$E260,0),2),2)*10&lt;=ROUND(AC$6+IF(AC$5=$C260,$E$5+$E260,0),2)),ROUND(AE259+AD260,2),MIN(ROUND(AC$6+IF(AC$5=$C260,$E$5+$E260,0),2),ROUND(AE259+AD260,2))),0)</f>
        <v>0</v>
      </c>
      <c r="AD260" s="24">
        <f>IF(AE259&gt;0,ROUND(ROUND(AE259*100,0)*ROUND(AC$7*10000,0)/12000000,0)/100,0)</f>
        <v>0</v>
      </c>
      <c r="AE260" s="24">
        <f>IF(AE259&gt;0,ROUND(AE259+AD260-AC260,2),0)</f>
        <v>0</v>
      </c>
      <c r="AF260" s="24">
        <f>IF(AE259&gt;0,ROUND(AF259+ROUND(ROUND(AF259*100,0)*ROUND(AC$7*10000,0)/12000000,0)/100+0.02,2),0)</f>
        <v>0</v>
      </c>
      <c r="AG260" s="24">
        <f>IF(AI259&gt;0,IF(AND(ROUND(AI259+AH260-ROUND(AG$6+IF(AG$5=$C260,$E$5+$E260,0),2),2)&gt;0,ROUND(AI259+AH260-ROUND(AG$6+IF(AG$5=$C260,$E$5+$E260,0),2),2)&lt;=AJ260,ROUND(AI259+AH260-ROUND(AG$6+IF(AG$5=$C260,$E$5+$E260,0),2),2)*10&lt;=ROUND(AG$6+IF(AG$5=$C260,$E$5+$E260,0),2)),ROUND(AI259+AH260,2),MIN(ROUND(AG$6+IF(AG$5=$C260,$E$5+$E260,0),2),ROUND(AI259+AH260,2))),0)</f>
        <v>0</v>
      </c>
      <c r="AH260" s="24">
        <f>IF(AI259&gt;0,ROUND(ROUND(AI259*100,0)*ROUND(AG$7*10000,0)/12000000,0)/100,0)</f>
        <v>0</v>
      </c>
      <c r="AI260" s="24">
        <f>IF(AI259&gt;0,ROUND(AI259+AH260-AG260,2),0)</f>
        <v>0</v>
      </c>
      <c r="AJ260" s="24">
        <f>IF(AI259&gt;0,ROUND(AJ259+ROUND(ROUND(AJ259*100,0)*ROUND(AG$7*10000,0)/12000000,0)/100+0.02,2),0)</f>
        <v>0</v>
      </c>
      <c r="AK260" s="24">
        <f>IF(AM259&gt;0,IF(AND(ROUND(AM259+AL260-ROUND(AK$6+IF(AK$5=$C260,$E$5+$E260,0),2),2)&gt;0,ROUND(AM259+AL260-ROUND(AK$6+IF(AK$5=$C260,$E$5+$E260,0),2),2)&lt;=AN260,ROUND(AM259+AL260-ROUND(AK$6+IF(AK$5=$C260,$E$5+$E260,0),2),2)*10&lt;=ROUND(AK$6+IF(AK$5=$C260,$E$5+$E260,0),2)),ROUND(AM259+AL260,2),MIN(ROUND(AK$6+IF(AK$5=$C260,$E$5+$E260,0),2),ROUND(AM259+AL260,2))),0)</f>
        <v>0</v>
      </c>
      <c r="AL260" s="24">
        <f>IF(AM259&gt;0,ROUND(ROUND(AM259*100,0)*ROUND(AK$7*10000,0)/12000000,0)/100,0)</f>
        <v>0</v>
      </c>
      <c r="AM260" s="24">
        <f>IF(AM259&gt;0,ROUND(AM259+AL260-AK260,2),0)</f>
        <v>0</v>
      </c>
      <c r="AN260" s="24">
        <f>IF(AM259&gt;0,ROUND(AN259+ROUND(ROUND(AN259*100,0)*ROUND(AK$7*10000,0)/12000000,0)/100+0.02,2),0)</f>
        <v>0</v>
      </c>
      <c r="AO260" s="24">
        <f>IF(AQ259&gt;0,IF(AND(ROUND(AQ259+AP260-ROUND(AO$6+IF(AO$5=$C260,$E$5+$E260,0),2),2)&gt;0,ROUND(AQ259+AP260-ROUND(AO$6+IF(AO$5=$C260,$E$5+$E260,0),2),2)&lt;=AR260,ROUND(AQ259+AP260-ROUND(AO$6+IF(AO$5=$C260,$E$5+$E260,0),2),2)*10&lt;=ROUND(AO$6+IF(AO$5=$C260,$E$5+$E260,0),2)),ROUND(AQ259+AP260,2),MIN(ROUND(AO$6+IF(AO$5=$C260,$E$5+$E260,0),2),ROUND(AQ259+AP260,2))),0)</f>
        <v>0</v>
      </c>
      <c r="AP260" s="24">
        <f>IF(AQ259&gt;0,ROUND(ROUND(AQ259*100,0)*ROUND(AO$7*10000,0)/12000000,0)/100,0)</f>
        <v>0</v>
      </c>
      <c r="AQ260" s="24">
        <f>IF(AQ259&gt;0,ROUND(AQ259+AP260-AO260,2),0)</f>
        <v>0</v>
      </c>
      <c r="AR260" s="24">
        <f>IF(AQ259&gt;0,ROUND(AR259+ROUND(ROUND(AR259*100,0)*ROUND(AO$7*10000,0)/12000000,0)/100+0.02,2),0)</f>
        <v>0</v>
      </c>
      <c r="AS260" s="24">
        <f>IF(AU259&gt;0,IF(AND(ROUND(AU259+AT260-ROUND(AS$6+IF(AS$5=$C260,$E$5+$E260,0),2),2)&gt;0,ROUND(AU259+AT260-ROUND(AS$6+IF(AS$5=$C260,$E$5+$E260,0),2),2)&lt;=AV260,ROUND(AU259+AT260-ROUND(AS$6+IF(AS$5=$C260,$E$5+$E260,0),2),2)*10&lt;=ROUND(AS$6+IF(AS$5=$C260,$E$5+$E260,0),2)),ROUND(AU259+AT260,2),MIN(ROUND(AS$6+IF(AS$5=$C260,$E$5+$E260,0),2),ROUND(AU259+AT260,2))),0)</f>
        <v>0</v>
      </c>
      <c r="AT260" s="24">
        <f>IF(AU259&gt;0,ROUND(ROUND(AU259*100,0)*ROUND(AS$7*10000,0)/12000000,0)/100,0)</f>
        <v>0</v>
      </c>
      <c r="AU260" s="24">
        <f>IF(AU259&gt;0,ROUND(AU259+AT260-AS260,2),0)</f>
        <v>0</v>
      </c>
      <c r="AV260" s="24">
        <f>IF(AU259&gt;0,ROUND(AV259+ROUND(ROUND(AV259*100,0)*ROUND(AS$7*10000,0)/12000000,0)/100+0.02,2),0)</f>
        <v>0</v>
      </c>
    </row>
    <row r="261" spans="1:48" x14ac:dyDescent="0.25">
      <c r="A261" s="17" t="str">
        <f>IF(F261&gt;0,251,"")</f>
        <v/>
      </c>
      <c r="B261" s="18" t="str">
        <f>IF(F261&gt;0,EDATE($E$6,251),"")</f>
        <v/>
      </c>
      <c r="C261" s="21">
        <f>IF(H260&gt;0,MIN(IF(K260&gt;0,I$5,99),IF(O260&gt;0,M$5,99),IF(S260&gt;0,Q$5,99),IF(W260&gt;0,U$5,99),IF(AA260&gt;0,Y$5,99),IF(AE260&gt;0,AC$5,99),IF(AI260&gt;0,AG$5,99),IF(AM260&gt;0,AK$5,99),IF(AQ260&gt;0,AO$5,99),IF(AU260&gt;0,AS$5,99)),0)</f>
        <v>0</v>
      </c>
      <c r="D261" t="str">
        <f>IF(C261&gt;0,INDEX($I$4:$AV$4,1,MATCH(C261,$I$5:$AV$5,0)),"")</f>
        <v/>
      </c>
      <c r="E261" s="24">
        <f>ROUND(IF(AND(I$8&gt;0,K260=0),I$6,0)+IF(AND(M$8&gt;0,O260=0),M$6,0)+IF(AND(Q$8&gt;0,S260=0),Q$6,0)+IF(AND(U$8&gt;0,W260=0),U$6,0)+IF(AND(Y$8&gt;0,AA260=0),Y$6,0)+IF(AND(AC$8&gt;0,AE260=0),AC$6,0)+IF(AND(AG$8&gt;0,AI260=0),AG$6,0)+IF(AND(AK$8&gt;0,AM260=0),AK$6,0)+IF(AND(AO$8&gt;0,AQ260=0),AO$6,0)+IF(AND(AS$8&gt;0,AU260=0),AS$6,0),2)</f>
        <v>325</v>
      </c>
      <c r="F261" s="24">
        <f>ROUND(I261+M261+Q261+U261+Y261+AC261+AG261+AK261+AO261+AS261,2)</f>
        <v>0</v>
      </c>
      <c r="G261" s="24">
        <f>ROUND(J261+N261+R261+V261+Z261+AD261+AH261+AL261+AP261+AT261,2)</f>
        <v>0</v>
      </c>
      <c r="H261" s="24">
        <f>ROUND(K261+O261+S261+W261+AA261+AE261+AI261+AM261+AQ261+AU261,2)</f>
        <v>0</v>
      </c>
      <c r="I261" s="24">
        <f>IF(K260&gt;0,IF(AND(ROUND(K260+J261-ROUND(I$6+IF(I$5=$C261,$E$5+$E261,0),2),2)&gt;0,ROUND(K260+J261-ROUND(I$6+IF(I$5=$C261,$E$5+$E261,0),2),2)&lt;=L261,ROUND(K260+J261-ROUND(I$6+IF(I$5=$C261,$E$5+$E261,0),2),2)*10&lt;=ROUND(I$6+IF(I$5=$C261,$E$5+$E261,0),2)),ROUND(K260+J261,2),MIN(ROUND(I$6+IF(I$5=$C261,$E$5+$E261,0),2),ROUND(K260+J261,2))),0)</f>
        <v>0</v>
      </c>
      <c r="J261" s="24">
        <f>IF(K260&gt;0,ROUND(ROUND(K260*100,0)*ROUND(I$7*10000,0)/12000000,0)/100,0)</f>
        <v>0</v>
      </c>
      <c r="K261" s="24">
        <f>IF(K260&gt;0,ROUND(K260+J261-I261,2),0)</f>
        <v>0</v>
      </c>
      <c r="L261" s="24">
        <f>IF(K260&gt;0,ROUND(L260+ROUND(ROUND(L260*100,0)*ROUND(I$7*10000,0)/12000000,0)/100+0.02,2),0)</f>
        <v>0</v>
      </c>
      <c r="M261" s="24">
        <f>IF(O260&gt;0,IF(AND(ROUND(O260+N261-ROUND(M$6+IF(M$5=$C261,$E$5+$E261,0),2),2)&gt;0,ROUND(O260+N261-ROUND(M$6+IF(M$5=$C261,$E$5+$E261,0),2),2)&lt;=P261,ROUND(O260+N261-ROUND(M$6+IF(M$5=$C261,$E$5+$E261,0),2),2)*10&lt;=ROUND(M$6+IF(M$5=$C261,$E$5+$E261,0),2)),ROUND(O260+N261,2),MIN(ROUND(M$6+IF(M$5=$C261,$E$5+$E261,0),2),ROUND(O260+N261,2))),0)</f>
        <v>0</v>
      </c>
      <c r="N261" s="24">
        <f>IF(O260&gt;0,ROUND(ROUND(O260*100,0)*ROUND(M$7*10000,0)/12000000,0)/100,0)</f>
        <v>0</v>
      </c>
      <c r="O261" s="24">
        <f>IF(O260&gt;0,ROUND(O260+N261-M261,2),0)</f>
        <v>0</v>
      </c>
      <c r="P261" s="24">
        <f>IF(O260&gt;0,ROUND(P260+ROUND(ROUND(P260*100,0)*ROUND(M$7*10000,0)/12000000,0)/100+0.02,2),0)</f>
        <v>0</v>
      </c>
      <c r="Q261" s="24">
        <f>IF(S260&gt;0,IF(AND(ROUND(S260+R261-ROUND(Q$6+IF(Q$5=$C261,$E$5+$E261,0),2),2)&gt;0,ROUND(S260+R261-ROUND(Q$6+IF(Q$5=$C261,$E$5+$E261,0),2),2)&lt;=T261,ROUND(S260+R261-ROUND(Q$6+IF(Q$5=$C261,$E$5+$E261,0),2),2)*10&lt;=ROUND(Q$6+IF(Q$5=$C261,$E$5+$E261,0),2)),ROUND(S260+R261,2),MIN(ROUND(Q$6+IF(Q$5=$C261,$E$5+$E261,0),2),ROUND(S260+R261,2))),0)</f>
        <v>0</v>
      </c>
      <c r="R261" s="24">
        <f>IF(S260&gt;0,ROUND(ROUND(S260*100,0)*ROUND(Q$7*10000,0)/12000000,0)/100,0)</f>
        <v>0</v>
      </c>
      <c r="S261" s="24">
        <f>IF(S260&gt;0,ROUND(S260+R261-Q261,2),0)</f>
        <v>0</v>
      </c>
      <c r="T261" s="24">
        <f>IF(S260&gt;0,ROUND(T260+ROUND(ROUND(T260*100,0)*ROUND(Q$7*10000,0)/12000000,0)/100+0.02,2),0)</f>
        <v>0</v>
      </c>
      <c r="U261" s="24">
        <f>IF(W260&gt;0,IF(AND(ROUND(W260+V261-ROUND(U$6+IF(U$5=$C261,$E$5+$E261,0),2),2)&gt;0,ROUND(W260+V261-ROUND(U$6+IF(U$5=$C261,$E$5+$E261,0),2),2)&lt;=X261,ROUND(W260+V261-ROUND(U$6+IF(U$5=$C261,$E$5+$E261,0),2),2)*10&lt;=ROUND(U$6+IF(U$5=$C261,$E$5+$E261,0),2)),ROUND(W260+V261,2),MIN(ROUND(U$6+IF(U$5=$C261,$E$5+$E261,0),2),ROUND(W260+V261,2))),0)</f>
        <v>0</v>
      </c>
      <c r="V261" s="24">
        <f>IF(W260&gt;0,ROUND(ROUND(W260*100,0)*ROUND(U$7*10000,0)/12000000,0)/100,0)</f>
        <v>0</v>
      </c>
      <c r="W261" s="24">
        <f>IF(W260&gt;0,ROUND(W260+V261-U261,2),0)</f>
        <v>0</v>
      </c>
      <c r="X261" s="24">
        <f>IF(W260&gt;0,ROUND(X260+ROUND(ROUND(X260*100,0)*ROUND(U$7*10000,0)/12000000,0)/100+0.02,2),0)</f>
        <v>0</v>
      </c>
      <c r="Y261" s="24">
        <f>IF(AA260&gt;0,IF(AND(ROUND(AA260+Z261-ROUND(Y$6+IF(Y$5=$C261,$E$5+$E261,0),2),2)&gt;0,ROUND(AA260+Z261-ROUND(Y$6+IF(Y$5=$C261,$E$5+$E261,0),2),2)&lt;=AB261,ROUND(AA260+Z261-ROUND(Y$6+IF(Y$5=$C261,$E$5+$E261,0),2),2)*10&lt;=ROUND(Y$6+IF(Y$5=$C261,$E$5+$E261,0),2)),ROUND(AA260+Z261,2),MIN(ROUND(Y$6+IF(Y$5=$C261,$E$5+$E261,0),2),ROUND(AA260+Z261,2))),0)</f>
        <v>0</v>
      </c>
      <c r="Z261" s="24">
        <f>IF(AA260&gt;0,ROUND(ROUND(AA260*100,0)*ROUND(Y$7*10000,0)/12000000,0)/100,0)</f>
        <v>0</v>
      </c>
      <c r="AA261" s="24">
        <f>IF(AA260&gt;0,ROUND(AA260+Z261-Y261,2),0)</f>
        <v>0</v>
      </c>
      <c r="AB261" s="24">
        <f>IF(AA260&gt;0,ROUND(AB260+ROUND(ROUND(AB260*100,0)*ROUND(Y$7*10000,0)/12000000,0)/100+0.02,2),0)</f>
        <v>0</v>
      </c>
      <c r="AC261" s="24">
        <f>IF(AE260&gt;0,IF(AND(ROUND(AE260+AD261-ROUND(AC$6+IF(AC$5=$C261,$E$5+$E261,0),2),2)&gt;0,ROUND(AE260+AD261-ROUND(AC$6+IF(AC$5=$C261,$E$5+$E261,0),2),2)&lt;=AF261,ROUND(AE260+AD261-ROUND(AC$6+IF(AC$5=$C261,$E$5+$E261,0),2),2)*10&lt;=ROUND(AC$6+IF(AC$5=$C261,$E$5+$E261,0),2)),ROUND(AE260+AD261,2),MIN(ROUND(AC$6+IF(AC$5=$C261,$E$5+$E261,0),2),ROUND(AE260+AD261,2))),0)</f>
        <v>0</v>
      </c>
      <c r="AD261" s="24">
        <f>IF(AE260&gt;0,ROUND(ROUND(AE260*100,0)*ROUND(AC$7*10000,0)/12000000,0)/100,0)</f>
        <v>0</v>
      </c>
      <c r="AE261" s="24">
        <f>IF(AE260&gt;0,ROUND(AE260+AD261-AC261,2),0)</f>
        <v>0</v>
      </c>
      <c r="AF261" s="24">
        <f>IF(AE260&gt;0,ROUND(AF260+ROUND(ROUND(AF260*100,0)*ROUND(AC$7*10000,0)/12000000,0)/100+0.02,2),0)</f>
        <v>0</v>
      </c>
      <c r="AG261" s="24">
        <f>IF(AI260&gt;0,IF(AND(ROUND(AI260+AH261-ROUND(AG$6+IF(AG$5=$C261,$E$5+$E261,0),2),2)&gt;0,ROUND(AI260+AH261-ROUND(AG$6+IF(AG$5=$C261,$E$5+$E261,0),2),2)&lt;=AJ261,ROUND(AI260+AH261-ROUND(AG$6+IF(AG$5=$C261,$E$5+$E261,0),2),2)*10&lt;=ROUND(AG$6+IF(AG$5=$C261,$E$5+$E261,0),2)),ROUND(AI260+AH261,2),MIN(ROUND(AG$6+IF(AG$5=$C261,$E$5+$E261,0),2),ROUND(AI260+AH261,2))),0)</f>
        <v>0</v>
      </c>
      <c r="AH261" s="24">
        <f>IF(AI260&gt;0,ROUND(ROUND(AI260*100,0)*ROUND(AG$7*10000,0)/12000000,0)/100,0)</f>
        <v>0</v>
      </c>
      <c r="AI261" s="24">
        <f>IF(AI260&gt;0,ROUND(AI260+AH261-AG261,2),0)</f>
        <v>0</v>
      </c>
      <c r="AJ261" s="24">
        <f>IF(AI260&gt;0,ROUND(AJ260+ROUND(ROUND(AJ260*100,0)*ROUND(AG$7*10000,0)/12000000,0)/100+0.02,2),0)</f>
        <v>0</v>
      </c>
      <c r="AK261" s="24">
        <f>IF(AM260&gt;0,IF(AND(ROUND(AM260+AL261-ROUND(AK$6+IF(AK$5=$C261,$E$5+$E261,0),2),2)&gt;0,ROUND(AM260+AL261-ROUND(AK$6+IF(AK$5=$C261,$E$5+$E261,0),2),2)&lt;=AN261,ROUND(AM260+AL261-ROUND(AK$6+IF(AK$5=$C261,$E$5+$E261,0),2),2)*10&lt;=ROUND(AK$6+IF(AK$5=$C261,$E$5+$E261,0),2)),ROUND(AM260+AL261,2),MIN(ROUND(AK$6+IF(AK$5=$C261,$E$5+$E261,0),2),ROUND(AM260+AL261,2))),0)</f>
        <v>0</v>
      </c>
      <c r="AL261" s="24">
        <f>IF(AM260&gt;0,ROUND(ROUND(AM260*100,0)*ROUND(AK$7*10000,0)/12000000,0)/100,0)</f>
        <v>0</v>
      </c>
      <c r="AM261" s="24">
        <f>IF(AM260&gt;0,ROUND(AM260+AL261-AK261,2),0)</f>
        <v>0</v>
      </c>
      <c r="AN261" s="24">
        <f>IF(AM260&gt;0,ROUND(AN260+ROUND(ROUND(AN260*100,0)*ROUND(AK$7*10000,0)/12000000,0)/100+0.02,2),0)</f>
        <v>0</v>
      </c>
      <c r="AO261" s="24">
        <f>IF(AQ260&gt;0,IF(AND(ROUND(AQ260+AP261-ROUND(AO$6+IF(AO$5=$C261,$E$5+$E261,0),2),2)&gt;0,ROUND(AQ260+AP261-ROUND(AO$6+IF(AO$5=$C261,$E$5+$E261,0),2),2)&lt;=AR261,ROUND(AQ260+AP261-ROUND(AO$6+IF(AO$5=$C261,$E$5+$E261,0),2),2)*10&lt;=ROUND(AO$6+IF(AO$5=$C261,$E$5+$E261,0),2)),ROUND(AQ260+AP261,2),MIN(ROUND(AO$6+IF(AO$5=$C261,$E$5+$E261,0),2),ROUND(AQ260+AP261,2))),0)</f>
        <v>0</v>
      </c>
      <c r="AP261" s="24">
        <f>IF(AQ260&gt;0,ROUND(ROUND(AQ260*100,0)*ROUND(AO$7*10000,0)/12000000,0)/100,0)</f>
        <v>0</v>
      </c>
      <c r="AQ261" s="24">
        <f>IF(AQ260&gt;0,ROUND(AQ260+AP261-AO261,2),0)</f>
        <v>0</v>
      </c>
      <c r="AR261" s="24">
        <f>IF(AQ260&gt;0,ROUND(AR260+ROUND(ROUND(AR260*100,0)*ROUND(AO$7*10000,0)/12000000,0)/100+0.02,2),0)</f>
        <v>0</v>
      </c>
      <c r="AS261" s="24">
        <f>IF(AU260&gt;0,IF(AND(ROUND(AU260+AT261-ROUND(AS$6+IF(AS$5=$C261,$E$5+$E261,0),2),2)&gt;0,ROUND(AU260+AT261-ROUND(AS$6+IF(AS$5=$C261,$E$5+$E261,0),2),2)&lt;=AV261,ROUND(AU260+AT261-ROUND(AS$6+IF(AS$5=$C261,$E$5+$E261,0),2),2)*10&lt;=ROUND(AS$6+IF(AS$5=$C261,$E$5+$E261,0),2)),ROUND(AU260+AT261,2),MIN(ROUND(AS$6+IF(AS$5=$C261,$E$5+$E261,0),2),ROUND(AU260+AT261,2))),0)</f>
        <v>0</v>
      </c>
      <c r="AT261" s="24">
        <f>IF(AU260&gt;0,ROUND(ROUND(AU260*100,0)*ROUND(AS$7*10000,0)/12000000,0)/100,0)</f>
        <v>0</v>
      </c>
      <c r="AU261" s="24">
        <f>IF(AU260&gt;0,ROUND(AU260+AT261-AS261,2),0)</f>
        <v>0</v>
      </c>
      <c r="AV261" s="24">
        <f>IF(AU260&gt;0,ROUND(AV260+ROUND(ROUND(AV260*100,0)*ROUND(AS$7*10000,0)/12000000,0)/100+0.02,2),0)</f>
        <v>0</v>
      </c>
    </row>
    <row r="262" spans="1:48" x14ac:dyDescent="0.25">
      <c r="A262" s="17" t="str">
        <f>IF(F262&gt;0,252,"")</f>
        <v/>
      </c>
      <c r="B262" s="18" t="str">
        <f>IF(F262&gt;0,EDATE($E$6,252),"")</f>
        <v/>
      </c>
      <c r="C262" s="21">
        <f>IF(H261&gt;0,MIN(IF(K261&gt;0,I$5,99),IF(O261&gt;0,M$5,99),IF(S261&gt;0,Q$5,99),IF(W261&gt;0,U$5,99),IF(AA261&gt;0,Y$5,99),IF(AE261&gt;0,AC$5,99),IF(AI261&gt;0,AG$5,99),IF(AM261&gt;0,AK$5,99),IF(AQ261&gt;0,AO$5,99),IF(AU261&gt;0,AS$5,99)),0)</f>
        <v>0</v>
      </c>
      <c r="D262" t="str">
        <f>IF(C262&gt;0,INDEX($I$4:$AV$4,1,MATCH(C262,$I$5:$AV$5,0)),"")</f>
        <v/>
      </c>
      <c r="E262" s="24">
        <f>ROUND(IF(AND(I$8&gt;0,K261=0),I$6,0)+IF(AND(M$8&gt;0,O261=0),M$6,0)+IF(AND(Q$8&gt;0,S261=0),Q$6,0)+IF(AND(U$8&gt;0,W261=0),U$6,0)+IF(AND(Y$8&gt;0,AA261=0),Y$6,0)+IF(AND(AC$8&gt;0,AE261=0),AC$6,0)+IF(AND(AG$8&gt;0,AI261=0),AG$6,0)+IF(AND(AK$8&gt;0,AM261=0),AK$6,0)+IF(AND(AO$8&gt;0,AQ261=0),AO$6,0)+IF(AND(AS$8&gt;0,AU261=0),AS$6,0),2)</f>
        <v>325</v>
      </c>
      <c r="F262" s="24">
        <f>ROUND(I262+M262+Q262+U262+Y262+AC262+AG262+AK262+AO262+AS262,2)</f>
        <v>0</v>
      </c>
      <c r="G262" s="24">
        <f>ROUND(J262+N262+R262+V262+Z262+AD262+AH262+AL262+AP262+AT262,2)</f>
        <v>0</v>
      </c>
      <c r="H262" s="24">
        <f>ROUND(K262+O262+S262+W262+AA262+AE262+AI262+AM262+AQ262+AU262,2)</f>
        <v>0</v>
      </c>
      <c r="I262" s="24">
        <f>IF(K261&gt;0,IF(AND(ROUND(K261+J262-ROUND(I$6+IF(I$5=$C262,$E$5+$E262,0),2),2)&gt;0,ROUND(K261+J262-ROUND(I$6+IF(I$5=$C262,$E$5+$E262,0),2),2)&lt;=L262,ROUND(K261+J262-ROUND(I$6+IF(I$5=$C262,$E$5+$E262,0),2),2)*10&lt;=ROUND(I$6+IF(I$5=$C262,$E$5+$E262,0),2)),ROUND(K261+J262,2),MIN(ROUND(I$6+IF(I$5=$C262,$E$5+$E262,0),2),ROUND(K261+J262,2))),0)</f>
        <v>0</v>
      </c>
      <c r="J262" s="24">
        <f>IF(K261&gt;0,ROUND(ROUND(K261*100,0)*ROUND(I$7*10000,0)/12000000,0)/100,0)</f>
        <v>0</v>
      </c>
      <c r="K262" s="24">
        <f>IF(K261&gt;0,ROUND(K261+J262-I262,2),0)</f>
        <v>0</v>
      </c>
      <c r="L262" s="24">
        <f>IF(K261&gt;0,ROUND(L261+ROUND(ROUND(L261*100,0)*ROUND(I$7*10000,0)/12000000,0)/100+0.02,2),0)</f>
        <v>0</v>
      </c>
      <c r="M262" s="24">
        <f>IF(O261&gt;0,IF(AND(ROUND(O261+N262-ROUND(M$6+IF(M$5=$C262,$E$5+$E262,0),2),2)&gt;0,ROUND(O261+N262-ROUND(M$6+IF(M$5=$C262,$E$5+$E262,0),2),2)&lt;=P262,ROUND(O261+N262-ROUND(M$6+IF(M$5=$C262,$E$5+$E262,0),2),2)*10&lt;=ROUND(M$6+IF(M$5=$C262,$E$5+$E262,0),2)),ROUND(O261+N262,2),MIN(ROUND(M$6+IF(M$5=$C262,$E$5+$E262,0),2),ROUND(O261+N262,2))),0)</f>
        <v>0</v>
      </c>
      <c r="N262" s="24">
        <f>IF(O261&gt;0,ROUND(ROUND(O261*100,0)*ROUND(M$7*10000,0)/12000000,0)/100,0)</f>
        <v>0</v>
      </c>
      <c r="O262" s="24">
        <f>IF(O261&gt;0,ROUND(O261+N262-M262,2),0)</f>
        <v>0</v>
      </c>
      <c r="P262" s="24">
        <f>IF(O261&gt;0,ROUND(P261+ROUND(ROUND(P261*100,0)*ROUND(M$7*10000,0)/12000000,0)/100+0.02,2),0)</f>
        <v>0</v>
      </c>
      <c r="Q262" s="24">
        <f>IF(S261&gt;0,IF(AND(ROUND(S261+R262-ROUND(Q$6+IF(Q$5=$C262,$E$5+$E262,0),2),2)&gt;0,ROUND(S261+R262-ROUND(Q$6+IF(Q$5=$C262,$E$5+$E262,0),2),2)&lt;=T262,ROUND(S261+R262-ROUND(Q$6+IF(Q$5=$C262,$E$5+$E262,0),2),2)*10&lt;=ROUND(Q$6+IF(Q$5=$C262,$E$5+$E262,0),2)),ROUND(S261+R262,2),MIN(ROUND(Q$6+IF(Q$5=$C262,$E$5+$E262,0),2),ROUND(S261+R262,2))),0)</f>
        <v>0</v>
      </c>
      <c r="R262" s="24">
        <f>IF(S261&gt;0,ROUND(ROUND(S261*100,0)*ROUND(Q$7*10000,0)/12000000,0)/100,0)</f>
        <v>0</v>
      </c>
      <c r="S262" s="24">
        <f>IF(S261&gt;0,ROUND(S261+R262-Q262,2),0)</f>
        <v>0</v>
      </c>
      <c r="T262" s="24">
        <f>IF(S261&gt;0,ROUND(T261+ROUND(ROUND(T261*100,0)*ROUND(Q$7*10000,0)/12000000,0)/100+0.02,2),0)</f>
        <v>0</v>
      </c>
      <c r="U262" s="24">
        <f>IF(W261&gt;0,IF(AND(ROUND(W261+V262-ROUND(U$6+IF(U$5=$C262,$E$5+$E262,0),2),2)&gt;0,ROUND(W261+V262-ROUND(U$6+IF(U$5=$C262,$E$5+$E262,0),2),2)&lt;=X262,ROUND(W261+V262-ROUND(U$6+IF(U$5=$C262,$E$5+$E262,0),2),2)*10&lt;=ROUND(U$6+IF(U$5=$C262,$E$5+$E262,0),2)),ROUND(W261+V262,2),MIN(ROUND(U$6+IF(U$5=$C262,$E$5+$E262,0),2),ROUND(W261+V262,2))),0)</f>
        <v>0</v>
      </c>
      <c r="V262" s="24">
        <f>IF(W261&gt;0,ROUND(ROUND(W261*100,0)*ROUND(U$7*10000,0)/12000000,0)/100,0)</f>
        <v>0</v>
      </c>
      <c r="W262" s="24">
        <f>IF(W261&gt;0,ROUND(W261+V262-U262,2),0)</f>
        <v>0</v>
      </c>
      <c r="X262" s="24">
        <f>IF(W261&gt;0,ROUND(X261+ROUND(ROUND(X261*100,0)*ROUND(U$7*10000,0)/12000000,0)/100+0.02,2),0)</f>
        <v>0</v>
      </c>
      <c r="Y262" s="24">
        <f>IF(AA261&gt;0,IF(AND(ROUND(AA261+Z262-ROUND(Y$6+IF(Y$5=$C262,$E$5+$E262,0),2),2)&gt;0,ROUND(AA261+Z262-ROUND(Y$6+IF(Y$5=$C262,$E$5+$E262,0),2),2)&lt;=AB262,ROUND(AA261+Z262-ROUND(Y$6+IF(Y$5=$C262,$E$5+$E262,0),2),2)*10&lt;=ROUND(Y$6+IF(Y$5=$C262,$E$5+$E262,0),2)),ROUND(AA261+Z262,2),MIN(ROUND(Y$6+IF(Y$5=$C262,$E$5+$E262,0),2),ROUND(AA261+Z262,2))),0)</f>
        <v>0</v>
      </c>
      <c r="Z262" s="24">
        <f>IF(AA261&gt;0,ROUND(ROUND(AA261*100,0)*ROUND(Y$7*10000,0)/12000000,0)/100,0)</f>
        <v>0</v>
      </c>
      <c r="AA262" s="24">
        <f>IF(AA261&gt;0,ROUND(AA261+Z262-Y262,2),0)</f>
        <v>0</v>
      </c>
      <c r="AB262" s="24">
        <f>IF(AA261&gt;0,ROUND(AB261+ROUND(ROUND(AB261*100,0)*ROUND(Y$7*10000,0)/12000000,0)/100+0.02,2),0)</f>
        <v>0</v>
      </c>
      <c r="AC262" s="24">
        <f>IF(AE261&gt;0,IF(AND(ROUND(AE261+AD262-ROUND(AC$6+IF(AC$5=$C262,$E$5+$E262,0),2),2)&gt;0,ROUND(AE261+AD262-ROUND(AC$6+IF(AC$5=$C262,$E$5+$E262,0),2),2)&lt;=AF262,ROUND(AE261+AD262-ROUND(AC$6+IF(AC$5=$C262,$E$5+$E262,0),2),2)*10&lt;=ROUND(AC$6+IF(AC$5=$C262,$E$5+$E262,0),2)),ROUND(AE261+AD262,2),MIN(ROUND(AC$6+IF(AC$5=$C262,$E$5+$E262,0),2),ROUND(AE261+AD262,2))),0)</f>
        <v>0</v>
      </c>
      <c r="AD262" s="24">
        <f>IF(AE261&gt;0,ROUND(ROUND(AE261*100,0)*ROUND(AC$7*10000,0)/12000000,0)/100,0)</f>
        <v>0</v>
      </c>
      <c r="AE262" s="24">
        <f>IF(AE261&gt;0,ROUND(AE261+AD262-AC262,2),0)</f>
        <v>0</v>
      </c>
      <c r="AF262" s="24">
        <f>IF(AE261&gt;0,ROUND(AF261+ROUND(ROUND(AF261*100,0)*ROUND(AC$7*10000,0)/12000000,0)/100+0.02,2),0)</f>
        <v>0</v>
      </c>
      <c r="AG262" s="24">
        <f>IF(AI261&gt;0,IF(AND(ROUND(AI261+AH262-ROUND(AG$6+IF(AG$5=$C262,$E$5+$E262,0),2),2)&gt;0,ROUND(AI261+AH262-ROUND(AG$6+IF(AG$5=$C262,$E$5+$E262,0),2),2)&lt;=AJ262,ROUND(AI261+AH262-ROUND(AG$6+IF(AG$5=$C262,$E$5+$E262,0),2),2)*10&lt;=ROUND(AG$6+IF(AG$5=$C262,$E$5+$E262,0),2)),ROUND(AI261+AH262,2),MIN(ROUND(AG$6+IF(AG$5=$C262,$E$5+$E262,0),2),ROUND(AI261+AH262,2))),0)</f>
        <v>0</v>
      </c>
      <c r="AH262" s="24">
        <f>IF(AI261&gt;0,ROUND(ROUND(AI261*100,0)*ROUND(AG$7*10000,0)/12000000,0)/100,0)</f>
        <v>0</v>
      </c>
      <c r="AI262" s="24">
        <f>IF(AI261&gt;0,ROUND(AI261+AH262-AG262,2),0)</f>
        <v>0</v>
      </c>
      <c r="AJ262" s="24">
        <f>IF(AI261&gt;0,ROUND(AJ261+ROUND(ROUND(AJ261*100,0)*ROUND(AG$7*10000,0)/12000000,0)/100+0.02,2),0)</f>
        <v>0</v>
      </c>
      <c r="AK262" s="24">
        <f>IF(AM261&gt;0,IF(AND(ROUND(AM261+AL262-ROUND(AK$6+IF(AK$5=$C262,$E$5+$E262,0),2),2)&gt;0,ROUND(AM261+AL262-ROUND(AK$6+IF(AK$5=$C262,$E$5+$E262,0),2),2)&lt;=AN262,ROUND(AM261+AL262-ROUND(AK$6+IF(AK$5=$C262,$E$5+$E262,0),2),2)*10&lt;=ROUND(AK$6+IF(AK$5=$C262,$E$5+$E262,0),2)),ROUND(AM261+AL262,2),MIN(ROUND(AK$6+IF(AK$5=$C262,$E$5+$E262,0),2),ROUND(AM261+AL262,2))),0)</f>
        <v>0</v>
      </c>
      <c r="AL262" s="24">
        <f>IF(AM261&gt;0,ROUND(ROUND(AM261*100,0)*ROUND(AK$7*10000,0)/12000000,0)/100,0)</f>
        <v>0</v>
      </c>
      <c r="AM262" s="24">
        <f>IF(AM261&gt;0,ROUND(AM261+AL262-AK262,2),0)</f>
        <v>0</v>
      </c>
      <c r="AN262" s="24">
        <f>IF(AM261&gt;0,ROUND(AN261+ROUND(ROUND(AN261*100,0)*ROUND(AK$7*10000,0)/12000000,0)/100+0.02,2),0)</f>
        <v>0</v>
      </c>
      <c r="AO262" s="24">
        <f>IF(AQ261&gt;0,IF(AND(ROUND(AQ261+AP262-ROUND(AO$6+IF(AO$5=$C262,$E$5+$E262,0),2),2)&gt;0,ROUND(AQ261+AP262-ROUND(AO$6+IF(AO$5=$C262,$E$5+$E262,0),2),2)&lt;=AR262,ROUND(AQ261+AP262-ROUND(AO$6+IF(AO$5=$C262,$E$5+$E262,0),2),2)*10&lt;=ROUND(AO$6+IF(AO$5=$C262,$E$5+$E262,0),2)),ROUND(AQ261+AP262,2),MIN(ROUND(AO$6+IF(AO$5=$C262,$E$5+$E262,0),2),ROUND(AQ261+AP262,2))),0)</f>
        <v>0</v>
      </c>
      <c r="AP262" s="24">
        <f>IF(AQ261&gt;0,ROUND(ROUND(AQ261*100,0)*ROUND(AO$7*10000,0)/12000000,0)/100,0)</f>
        <v>0</v>
      </c>
      <c r="AQ262" s="24">
        <f>IF(AQ261&gt;0,ROUND(AQ261+AP262-AO262,2),0)</f>
        <v>0</v>
      </c>
      <c r="AR262" s="24">
        <f>IF(AQ261&gt;0,ROUND(AR261+ROUND(ROUND(AR261*100,0)*ROUND(AO$7*10000,0)/12000000,0)/100+0.02,2),0)</f>
        <v>0</v>
      </c>
      <c r="AS262" s="24">
        <f>IF(AU261&gt;0,IF(AND(ROUND(AU261+AT262-ROUND(AS$6+IF(AS$5=$C262,$E$5+$E262,0),2),2)&gt;0,ROUND(AU261+AT262-ROUND(AS$6+IF(AS$5=$C262,$E$5+$E262,0),2),2)&lt;=AV262,ROUND(AU261+AT262-ROUND(AS$6+IF(AS$5=$C262,$E$5+$E262,0),2),2)*10&lt;=ROUND(AS$6+IF(AS$5=$C262,$E$5+$E262,0),2)),ROUND(AU261+AT262,2),MIN(ROUND(AS$6+IF(AS$5=$C262,$E$5+$E262,0),2),ROUND(AU261+AT262,2))),0)</f>
        <v>0</v>
      </c>
      <c r="AT262" s="24">
        <f>IF(AU261&gt;0,ROUND(ROUND(AU261*100,0)*ROUND(AS$7*10000,0)/12000000,0)/100,0)</f>
        <v>0</v>
      </c>
      <c r="AU262" s="24">
        <f>IF(AU261&gt;0,ROUND(AU261+AT262-AS262,2),0)</f>
        <v>0</v>
      </c>
      <c r="AV262" s="24">
        <f>IF(AU261&gt;0,ROUND(AV261+ROUND(ROUND(AV261*100,0)*ROUND(AS$7*10000,0)/12000000,0)/100+0.02,2),0)</f>
        <v>0</v>
      </c>
    </row>
    <row r="263" spans="1:48" x14ac:dyDescent="0.25">
      <c r="A263" s="17" t="str">
        <f>IF(F263&gt;0,253,"")</f>
        <v/>
      </c>
      <c r="B263" s="18" t="str">
        <f>IF(F263&gt;0,EDATE($E$6,253),"")</f>
        <v/>
      </c>
      <c r="C263" s="21">
        <f>IF(H262&gt;0,MIN(IF(K262&gt;0,I$5,99),IF(O262&gt;0,M$5,99),IF(S262&gt;0,Q$5,99),IF(W262&gt;0,U$5,99),IF(AA262&gt;0,Y$5,99),IF(AE262&gt;0,AC$5,99),IF(AI262&gt;0,AG$5,99),IF(AM262&gt;0,AK$5,99),IF(AQ262&gt;0,AO$5,99),IF(AU262&gt;0,AS$5,99)),0)</f>
        <v>0</v>
      </c>
      <c r="D263" t="str">
        <f>IF(C263&gt;0,INDEX($I$4:$AV$4,1,MATCH(C263,$I$5:$AV$5,0)),"")</f>
        <v/>
      </c>
      <c r="E263" s="24">
        <f>ROUND(IF(AND(I$8&gt;0,K262=0),I$6,0)+IF(AND(M$8&gt;0,O262=0),M$6,0)+IF(AND(Q$8&gt;0,S262=0),Q$6,0)+IF(AND(U$8&gt;0,W262=0),U$6,0)+IF(AND(Y$8&gt;0,AA262=0),Y$6,0)+IF(AND(AC$8&gt;0,AE262=0),AC$6,0)+IF(AND(AG$8&gt;0,AI262=0),AG$6,0)+IF(AND(AK$8&gt;0,AM262=0),AK$6,0)+IF(AND(AO$8&gt;0,AQ262=0),AO$6,0)+IF(AND(AS$8&gt;0,AU262=0),AS$6,0),2)</f>
        <v>325</v>
      </c>
      <c r="F263" s="24">
        <f>ROUND(I263+M263+Q263+U263+Y263+AC263+AG263+AK263+AO263+AS263,2)</f>
        <v>0</v>
      </c>
      <c r="G263" s="24">
        <f>ROUND(J263+N263+R263+V263+Z263+AD263+AH263+AL263+AP263+AT263,2)</f>
        <v>0</v>
      </c>
      <c r="H263" s="24">
        <f>ROUND(K263+O263+S263+W263+AA263+AE263+AI263+AM263+AQ263+AU263,2)</f>
        <v>0</v>
      </c>
      <c r="I263" s="24">
        <f>IF(K262&gt;0,IF(AND(ROUND(K262+J263-ROUND(I$6+IF(I$5=$C263,$E$5+$E263,0),2),2)&gt;0,ROUND(K262+J263-ROUND(I$6+IF(I$5=$C263,$E$5+$E263,0),2),2)&lt;=L263,ROUND(K262+J263-ROUND(I$6+IF(I$5=$C263,$E$5+$E263,0),2),2)*10&lt;=ROUND(I$6+IF(I$5=$C263,$E$5+$E263,0),2)),ROUND(K262+J263,2),MIN(ROUND(I$6+IF(I$5=$C263,$E$5+$E263,0),2),ROUND(K262+J263,2))),0)</f>
        <v>0</v>
      </c>
      <c r="J263" s="24">
        <f>IF(K262&gt;0,ROUND(ROUND(K262*100,0)*ROUND(I$7*10000,0)/12000000,0)/100,0)</f>
        <v>0</v>
      </c>
      <c r="K263" s="24">
        <f>IF(K262&gt;0,ROUND(K262+J263-I263,2),0)</f>
        <v>0</v>
      </c>
      <c r="L263" s="24">
        <f>IF(K262&gt;0,ROUND(L262+ROUND(ROUND(L262*100,0)*ROUND(I$7*10000,0)/12000000,0)/100+0.02,2),0)</f>
        <v>0</v>
      </c>
      <c r="M263" s="24">
        <f>IF(O262&gt;0,IF(AND(ROUND(O262+N263-ROUND(M$6+IF(M$5=$C263,$E$5+$E263,0),2),2)&gt;0,ROUND(O262+N263-ROUND(M$6+IF(M$5=$C263,$E$5+$E263,0),2),2)&lt;=P263,ROUND(O262+N263-ROUND(M$6+IF(M$5=$C263,$E$5+$E263,0),2),2)*10&lt;=ROUND(M$6+IF(M$5=$C263,$E$5+$E263,0),2)),ROUND(O262+N263,2),MIN(ROUND(M$6+IF(M$5=$C263,$E$5+$E263,0),2),ROUND(O262+N263,2))),0)</f>
        <v>0</v>
      </c>
      <c r="N263" s="24">
        <f>IF(O262&gt;0,ROUND(ROUND(O262*100,0)*ROUND(M$7*10000,0)/12000000,0)/100,0)</f>
        <v>0</v>
      </c>
      <c r="O263" s="24">
        <f>IF(O262&gt;0,ROUND(O262+N263-M263,2),0)</f>
        <v>0</v>
      </c>
      <c r="P263" s="24">
        <f>IF(O262&gt;0,ROUND(P262+ROUND(ROUND(P262*100,0)*ROUND(M$7*10000,0)/12000000,0)/100+0.02,2),0)</f>
        <v>0</v>
      </c>
      <c r="Q263" s="24">
        <f>IF(S262&gt;0,IF(AND(ROUND(S262+R263-ROUND(Q$6+IF(Q$5=$C263,$E$5+$E263,0),2),2)&gt;0,ROUND(S262+R263-ROUND(Q$6+IF(Q$5=$C263,$E$5+$E263,0),2),2)&lt;=T263,ROUND(S262+R263-ROUND(Q$6+IF(Q$5=$C263,$E$5+$E263,0),2),2)*10&lt;=ROUND(Q$6+IF(Q$5=$C263,$E$5+$E263,0),2)),ROUND(S262+R263,2),MIN(ROUND(Q$6+IF(Q$5=$C263,$E$5+$E263,0),2),ROUND(S262+R263,2))),0)</f>
        <v>0</v>
      </c>
      <c r="R263" s="24">
        <f>IF(S262&gt;0,ROUND(ROUND(S262*100,0)*ROUND(Q$7*10000,0)/12000000,0)/100,0)</f>
        <v>0</v>
      </c>
      <c r="S263" s="24">
        <f>IF(S262&gt;0,ROUND(S262+R263-Q263,2),0)</f>
        <v>0</v>
      </c>
      <c r="T263" s="24">
        <f>IF(S262&gt;0,ROUND(T262+ROUND(ROUND(T262*100,0)*ROUND(Q$7*10000,0)/12000000,0)/100+0.02,2),0)</f>
        <v>0</v>
      </c>
      <c r="U263" s="24">
        <f>IF(W262&gt;0,IF(AND(ROUND(W262+V263-ROUND(U$6+IF(U$5=$C263,$E$5+$E263,0),2),2)&gt;0,ROUND(W262+V263-ROUND(U$6+IF(U$5=$C263,$E$5+$E263,0),2),2)&lt;=X263,ROUND(W262+V263-ROUND(U$6+IF(U$5=$C263,$E$5+$E263,0),2),2)*10&lt;=ROUND(U$6+IF(U$5=$C263,$E$5+$E263,0),2)),ROUND(W262+V263,2),MIN(ROUND(U$6+IF(U$5=$C263,$E$5+$E263,0),2),ROUND(W262+V263,2))),0)</f>
        <v>0</v>
      </c>
      <c r="V263" s="24">
        <f>IF(W262&gt;0,ROUND(ROUND(W262*100,0)*ROUND(U$7*10000,0)/12000000,0)/100,0)</f>
        <v>0</v>
      </c>
      <c r="W263" s="24">
        <f>IF(W262&gt;0,ROUND(W262+V263-U263,2),0)</f>
        <v>0</v>
      </c>
      <c r="X263" s="24">
        <f>IF(W262&gt;0,ROUND(X262+ROUND(ROUND(X262*100,0)*ROUND(U$7*10000,0)/12000000,0)/100+0.02,2),0)</f>
        <v>0</v>
      </c>
      <c r="Y263" s="24">
        <f>IF(AA262&gt;0,IF(AND(ROUND(AA262+Z263-ROUND(Y$6+IF(Y$5=$C263,$E$5+$E263,0),2),2)&gt;0,ROUND(AA262+Z263-ROUND(Y$6+IF(Y$5=$C263,$E$5+$E263,0),2),2)&lt;=AB263,ROUND(AA262+Z263-ROUND(Y$6+IF(Y$5=$C263,$E$5+$E263,0),2),2)*10&lt;=ROUND(Y$6+IF(Y$5=$C263,$E$5+$E263,0),2)),ROUND(AA262+Z263,2),MIN(ROUND(Y$6+IF(Y$5=$C263,$E$5+$E263,0),2),ROUND(AA262+Z263,2))),0)</f>
        <v>0</v>
      </c>
      <c r="Z263" s="24">
        <f>IF(AA262&gt;0,ROUND(ROUND(AA262*100,0)*ROUND(Y$7*10000,0)/12000000,0)/100,0)</f>
        <v>0</v>
      </c>
      <c r="AA263" s="24">
        <f>IF(AA262&gt;0,ROUND(AA262+Z263-Y263,2),0)</f>
        <v>0</v>
      </c>
      <c r="AB263" s="24">
        <f>IF(AA262&gt;0,ROUND(AB262+ROUND(ROUND(AB262*100,0)*ROUND(Y$7*10000,0)/12000000,0)/100+0.02,2),0)</f>
        <v>0</v>
      </c>
      <c r="AC263" s="24">
        <f>IF(AE262&gt;0,IF(AND(ROUND(AE262+AD263-ROUND(AC$6+IF(AC$5=$C263,$E$5+$E263,0),2),2)&gt;0,ROUND(AE262+AD263-ROUND(AC$6+IF(AC$5=$C263,$E$5+$E263,0),2),2)&lt;=AF263,ROUND(AE262+AD263-ROUND(AC$6+IF(AC$5=$C263,$E$5+$E263,0),2),2)*10&lt;=ROUND(AC$6+IF(AC$5=$C263,$E$5+$E263,0),2)),ROUND(AE262+AD263,2),MIN(ROUND(AC$6+IF(AC$5=$C263,$E$5+$E263,0),2),ROUND(AE262+AD263,2))),0)</f>
        <v>0</v>
      </c>
      <c r="AD263" s="24">
        <f>IF(AE262&gt;0,ROUND(ROUND(AE262*100,0)*ROUND(AC$7*10000,0)/12000000,0)/100,0)</f>
        <v>0</v>
      </c>
      <c r="AE263" s="24">
        <f>IF(AE262&gt;0,ROUND(AE262+AD263-AC263,2),0)</f>
        <v>0</v>
      </c>
      <c r="AF263" s="24">
        <f>IF(AE262&gt;0,ROUND(AF262+ROUND(ROUND(AF262*100,0)*ROUND(AC$7*10000,0)/12000000,0)/100+0.02,2),0)</f>
        <v>0</v>
      </c>
      <c r="AG263" s="24">
        <f>IF(AI262&gt;0,IF(AND(ROUND(AI262+AH263-ROUND(AG$6+IF(AG$5=$C263,$E$5+$E263,0),2),2)&gt;0,ROUND(AI262+AH263-ROUND(AG$6+IF(AG$5=$C263,$E$5+$E263,0),2),2)&lt;=AJ263,ROUND(AI262+AH263-ROUND(AG$6+IF(AG$5=$C263,$E$5+$E263,0),2),2)*10&lt;=ROUND(AG$6+IF(AG$5=$C263,$E$5+$E263,0),2)),ROUND(AI262+AH263,2),MIN(ROUND(AG$6+IF(AG$5=$C263,$E$5+$E263,0),2),ROUND(AI262+AH263,2))),0)</f>
        <v>0</v>
      </c>
      <c r="AH263" s="24">
        <f>IF(AI262&gt;0,ROUND(ROUND(AI262*100,0)*ROUND(AG$7*10000,0)/12000000,0)/100,0)</f>
        <v>0</v>
      </c>
      <c r="AI263" s="24">
        <f>IF(AI262&gt;0,ROUND(AI262+AH263-AG263,2),0)</f>
        <v>0</v>
      </c>
      <c r="AJ263" s="24">
        <f>IF(AI262&gt;0,ROUND(AJ262+ROUND(ROUND(AJ262*100,0)*ROUND(AG$7*10000,0)/12000000,0)/100+0.02,2),0)</f>
        <v>0</v>
      </c>
      <c r="AK263" s="24">
        <f>IF(AM262&gt;0,IF(AND(ROUND(AM262+AL263-ROUND(AK$6+IF(AK$5=$C263,$E$5+$E263,0),2),2)&gt;0,ROUND(AM262+AL263-ROUND(AK$6+IF(AK$5=$C263,$E$5+$E263,0),2),2)&lt;=AN263,ROUND(AM262+AL263-ROUND(AK$6+IF(AK$5=$C263,$E$5+$E263,0),2),2)*10&lt;=ROUND(AK$6+IF(AK$5=$C263,$E$5+$E263,0),2)),ROUND(AM262+AL263,2),MIN(ROUND(AK$6+IF(AK$5=$C263,$E$5+$E263,0),2),ROUND(AM262+AL263,2))),0)</f>
        <v>0</v>
      </c>
      <c r="AL263" s="24">
        <f>IF(AM262&gt;0,ROUND(ROUND(AM262*100,0)*ROUND(AK$7*10000,0)/12000000,0)/100,0)</f>
        <v>0</v>
      </c>
      <c r="AM263" s="24">
        <f>IF(AM262&gt;0,ROUND(AM262+AL263-AK263,2),0)</f>
        <v>0</v>
      </c>
      <c r="AN263" s="24">
        <f>IF(AM262&gt;0,ROUND(AN262+ROUND(ROUND(AN262*100,0)*ROUND(AK$7*10000,0)/12000000,0)/100+0.02,2),0)</f>
        <v>0</v>
      </c>
      <c r="AO263" s="24">
        <f>IF(AQ262&gt;0,IF(AND(ROUND(AQ262+AP263-ROUND(AO$6+IF(AO$5=$C263,$E$5+$E263,0),2),2)&gt;0,ROUND(AQ262+AP263-ROUND(AO$6+IF(AO$5=$C263,$E$5+$E263,0),2),2)&lt;=AR263,ROUND(AQ262+AP263-ROUND(AO$6+IF(AO$5=$C263,$E$5+$E263,0),2),2)*10&lt;=ROUND(AO$6+IF(AO$5=$C263,$E$5+$E263,0),2)),ROUND(AQ262+AP263,2),MIN(ROUND(AO$6+IF(AO$5=$C263,$E$5+$E263,0),2),ROUND(AQ262+AP263,2))),0)</f>
        <v>0</v>
      </c>
      <c r="AP263" s="24">
        <f>IF(AQ262&gt;0,ROUND(ROUND(AQ262*100,0)*ROUND(AO$7*10000,0)/12000000,0)/100,0)</f>
        <v>0</v>
      </c>
      <c r="AQ263" s="24">
        <f>IF(AQ262&gt;0,ROUND(AQ262+AP263-AO263,2),0)</f>
        <v>0</v>
      </c>
      <c r="AR263" s="24">
        <f>IF(AQ262&gt;0,ROUND(AR262+ROUND(ROUND(AR262*100,0)*ROUND(AO$7*10000,0)/12000000,0)/100+0.02,2),0)</f>
        <v>0</v>
      </c>
      <c r="AS263" s="24">
        <f>IF(AU262&gt;0,IF(AND(ROUND(AU262+AT263-ROUND(AS$6+IF(AS$5=$C263,$E$5+$E263,0),2),2)&gt;0,ROUND(AU262+AT263-ROUND(AS$6+IF(AS$5=$C263,$E$5+$E263,0),2),2)&lt;=AV263,ROUND(AU262+AT263-ROUND(AS$6+IF(AS$5=$C263,$E$5+$E263,0),2),2)*10&lt;=ROUND(AS$6+IF(AS$5=$C263,$E$5+$E263,0),2)),ROUND(AU262+AT263,2),MIN(ROUND(AS$6+IF(AS$5=$C263,$E$5+$E263,0),2),ROUND(AU262+AT263,2))),0)</f>
        <v>0</v>
      </c>
      <c r="AT263" s="24">
        <f>IF(AU262&gt;0,ROUND(ROUND(AU262*100,0)*ROUND(AS$7*10000,0)/12000000,0)/100,0)</f>
        <v>0</v>
      </c>
      <c r="AU263" s="24">
        <f>IF(AU262&gt;0,ROUND(AU262+AT263-AS263,2),0)</f>
        <v>0</v>
      </c>
      <c r="AV263" s="24">
        <f>IF(AU262&gt;0,ROUND(AV262+ROUND(ROUND(AV262*100,0)*ROUND(AS$7*10000,0)/12000000,0)/100+0.02,2),0)</f>
        <v>0</v>
      </c>
    </row>
    <row r="264" spans="1:48" x14ac:dyDescent="0.25">
      <c r="A264" s="17" t="str">
        <f>IF(F264&gt;0,254,"")</f>
        <v/>
      </c>
      <c r="B264" s="18" t="str">
        <f>IF(F264&gt;0,EDATE($E$6,254),"")</f>
        <v/>
      </c>
      <c r="C264" s="21">
        <f>IF(H263&gt;0,MIN(IF(K263&gt;0,I$5,99),IF(O263&gt;0,M$5,99),IF(S263&gt;0,Q$5,99),IF(W263&gt;0,U$5,99),IF(AA263&gt;0,Y$5,99),IF(AE263&gt;0,AC$5,99),IF(AI263&gt;0,AG$5,99),IF(AM263&gt;0,AK$5,99),IF(AQ263&gt;0,AO$5,99),IF(AU263&gt;0,AS$5,99)),0)</f>
        <v>0</v>
      </c>
      <c r="D264" t="str">
        <f>IF(C264&gt;0,INDEX($I$4:$AV$4,1,MATCH(C264,$I$5:$AV$5,0)),"")</f>
        <v/>
      </c>
      <c r="E264" s="24">
        <f>ROUND(IF(AND(I$8&gt;0,K263=0),I$6,0)+IF(AND(M$8&gt;0,O263=0),M$6,0)+IF(AND(Q$8&gt;0,S263=0),Q$6,0)+IF(AND(U$8&gt;0,W263=0),U$6,0)+IF(AND(Y$8&gt;0,AA263=0),Y$6,0)+IF(AND(AC$8&gt;0,AE263=0),AC$6,0)+IF(AND(AG$8&gt;0,AI263=0),AG$6,0)+IF(AND(AK$8&gt;0,AM263=0),AK$6,0)+IF(AND(AO$8&gt;0,AQ263=0),AO$6,0)+IF(AND(AS$8&gt;0,AU263=0),AS$6,0),2)</f>
        <v>325</v>
      </c>
      <c r="F264" s="24">
        <f>ROUND(I264+M264+Q264+U264+Y264+AC264+AG264+AK264+AO264+AS264,2)</f>
        <v>0</v>
      </c>
      <c r="G264" s="24">
        <f>ROUND(J264+N264+R264+V264+Z264+AD264+AH264+AL264+AP264+AT264,2)</f>
        <v>0</v>
      </c>
      <c r="H264" s="24">
        <f>ROUND(K264+O264+S264+W264+AA264+AE264+AI264+AM264+AQ264+AU264,2)</f>
        <v>0</v>
      </c>
      <c r="I264" s="24">
        <f>IF(K263&gt;0,IF(AND(ROUND(K263+J264-ROUND(I$6+IF(I$5=$C264,$E$5+$E264,0),2),2)&gt;0,ROUND(K263+J264-ROUND(I$6+IF(I$5=$C264,$E$5+$E264,0),2),2)&lt;=L264,ROUND(K263+J264-ROUND(I$6+IF(I$5=$C264,$E$5+$E264,0),2),2)*10&lt;=ROUND(I$6+IF(I$5=$C264,$E$5+$E264,0),2)),ROUND(K263+J264,2),MIN(ROUND(I$6+IF(I$5=$C264,$E$5+$E264,0),2),ROUND(K263+J264,2))),0)</f>
        <v>0</v>
      </c>
      <c r="J264" s="24">
        <f>IF(K263&gt;0,ROUND(ROUND(K263*100,0)*ROUND(I$7*10000,0)/12000000,0)/100,0)</f>
        <v>0</v>
      </c>
      <c r="K264" s="24">
        <f>IF(K263&gt;0,ROUND(K263+J264-I264,2),0)</f>
        <v>0</v>
      </c>
      <c r="L264" s="24">
        <f>IF(K263&gt;0,ROUND(L263+ROUND(ROUND(L263*100,0)*ROUND(I$7*10000,0)/12000000,0)/100+0.02,2),0)</f>
        <v>0</v>
      </c>
      <c r="M264" s="24">
        <f>IF(O263&gt;0,IF(AND(ROUND(O263+N264-ROUND(M$6+IF(M$5=$C264,$E$5+$E264,0),2),2)&gt;0,ROUND(O263+N264-ROUND(M$6+IF(M$5=$C264,$E$5+$E264,0),2),2)&lt;=P264,ROUND(O263+N264-ROUND(M$6+IF(M$5=$C264,$E$5+$E264,0),2),2)*10&lt;=ROUND(M$6+IF(M$5=$C264,$E$5+$E264,0),2)),ROUND(O263+N264,2),MIN(ROUND(M$6+IF(M$5=$C264,$E$5+$E264,0),2),ROUND(O263+N264,2))),0)</f>
        <v>0</v>
      </c>
      <c r="N264" s="24">
        <f>IF(O263&gt;0,ROUND(ROUND(O263*100,0)*ROUND(M$7*10000,0)/12000000,0)/100,0)</f>
        <v>0</v>
      </c>
      <c r="O264" s="24">
        <f>IF(O263&gt;0,ROUND(O263+N264-M264,2),0)</f>
        <v>0</v>
      </c>
      <c r="P264" s="24">
        <f>IF(O263&gt;0,ROUND(P263+ROUND(ROUND(P263*100,0)*ROUND(M$7*10000,0)/12000000,0)/100+0.02,2),0)</f>
        <v>0</v>
      </c>
      <c r="Q264" s="24">
        <f>IF(S263&gt;0,IF(AND(ROUND(S263+R264-ROUND(Q$6+IF(Q$5=$C264,$E$5+$E264,0),2),2)&gt;0,ROUND(S263+R264-ROUND(Q$6+IF(Q$5=$C264,$E$5+$E264,0),2),2)&lt;=T264,ROUND(S263+R264-ROUND(Q$6+IF(Q$5=$C264,$E$5+$E264,0),2),2)*10&lt;=ROUND(Q$6+IF(Q$5=$C264,$E$5+$E264,0),2)),ROUND(S263+R264,2),MIN(ROUND(Q$6+IF(Q$5=$C264,$E$5+$E264,0),2),ROUND(S263+R264,2))),0)</f>
        <v>0</v>
      </c>
      <c r="R264" s="24">
        <f>IF(S263&gt;0,ROUND(ROUND(S263*100,0)*ROUND(Q$7*10000,0)/12000000,0)/100,0)</f>
        <v>0</v>
      </c>
      <c r="S264" s="24">
        <f>IF(S263&gt;0,ROUND(S263+R264-Q264,2),0)</f>
        <v>0</v>
      </c>
      <c r="T264" s="24">
        <f>IF(S263&gt;0,ROUND(T263+ROUND(ROUND(T263*100,0)*ROUND(Q$7*10000,0)/12000000,0)/100+0.02,2),0)</f>
        <v>0</v>
      </c>
      <c r="U264" s="24">
        <f>IF(W263&gt;0,IF(AND(ROUND(W263+V264-ROUND(U$6+IF(U$5=$C264,$E$5+$E264,0),2),2)&gt;0,ROUND(W263+V264-ROUND(U$6+IF(U$5=$C264,$E$5+$E264,0),2),2)&lt;=X264,ROUND(W263+V264-ROUND(U$6+IF(U$5=$C264,$E$5+$E264,0),2),2)*10&lt;=ROUND(U$6+IF(U$5=$C264,$E$5+$E264,0),2)),ROUND(W263+V264,2),MIN(ROUND(U$6+IF(U$5=$C264,$E$5+$E264,0),2),ROUND(W263+V264,2))),0)</f>
        <v>0</v>
      </c>
      <c r="V264" s="24">
        <f>IF(W263&gt;0,ROUND(ROUND(W263*100,0)*ROUND(U$7*10000,0)/12000000,0)/100,0)</f>
        <v>0</v>
      </c>
      <c r="W264" s="24">
        <f>IF(W263&gt;0,ROUND(W263+V264-U264,2),0)</f>
        <v>0</v>
      </c>
      <c r="X264" s="24">
        <f>IF(W263&gt;0,ROUND(X263+ROUND(ROUND(X263*100,0)*ROUND(U$7*10000,0)/12000000,0)/100+0.02,2),0)</f>
        <v>0</v>
      </c>
      <c r="Y264" s="24">
        <f>IF(AA263&gt;0,IF(AND(ROUND(AA263+Z264-ROUND(Y$6+IF(Y$5=$C264,$E$5+$E264,0),2),2)&gt;0,ROUND(AA263+Z264-ROUND(Y$6+IF(Y$5=$C264,$E$5+$E264,0),2),2)&lt;=AB264,ROUND(AA263+Z264-ROUND(Y$6+IF(Y$5=$C264,$E$5+$E264,0),2),2)*10&lt;=ROUND(Y$6+IF(Y$5=$C264,$E$5+$E264,0),2)),ROUND(AA263+Z264,2),MIN(ROUND(Y$6+IF(Y$5=$C264,$E$5+$E264,0),2),ROUND(AA263+Z264,2))),0)</f>
        <v>0</v>
      </c>
      <c r="Z264" s="24">
        <f>IF(AA263&gt;0,ROUND(ROUND(AA263*100,0)*ROUND(Y$7*10000,0)/12000000,0)/100,0)</f>
        <v>0</v>
      </c>
      <c r="AA264" s="24">
        <f>IF(AA263&gt;0,ROUND(AA263+Z264-Y264,2),0)</f>
        <v>0</v>
      </c>
      <c r="AB264" s="24">
        <f>IF(AA263&gt;0,ROUND(AB263+ROUND(ROUND(AB263*100,0)*ROUND(Y$7*10000,0)/12000000,0)/100+0.02,2),0)</f>
        <v>0</v>
      </c>
      <c r="AC264" s="24">
        <f>IF(AE263&gt;0,IF(AND(ROUND(AE263+AD264-ROUND(AC$6+IF(AC$5=$C264,$E$5+$E264,0),2),2)&gt;0,ROUND(AE263+AD264-ROUND(AC$6+IF(AC$5=$C264,$E$5+$E264,0),2),2)&lt;=AF264,ROUND(AE263+AD264-ROUND(AC$6+IF(AC$5=$C264,$E$5+$E264,0),2),2)*10&lt;=ROUND(AC$6+IF(AC$5=$C264,$E$5+$E264,0),2)),ROUND(AE263+AD264,2),MIN(ROUND(AC$6+IF(AC$5=$C264,$E$5+$E264,0),2),ROUND(AE263+AD264,2))),0)</f>
        <v>0</v>
      </c>
      <c r="AD264" s="24">
        <f>IF(AE263&gt;0,ROUND(ROUND(AE263*100,0)*ROUND(AC$7*10000,0)/12000000,0)/100,0)</f>
        <v>0</v>
      </c>
      <c r="AE264" s="24">
        <f>IF(AE263&gt;0,ROUND(AE263+AD264-AC264,2),0)</f>
        <v>0</v>
      </c>
      <c r="AF264" s="24">
        <f>IF(AE263&gt;0,ROUND(AF263+ROUND(ROUND(AF263*100,0)*ROUND(AC$7*10000,0)/12000000,0)/100+0.02,2),0)</f>
        <v>0</v>
      </c>
      <c r="AG264" s="24">
        <f>IF(AI263&gt;0,IF(AND(ROUND(AI263+AH264-ROUND(AG$6+IF(AG$5=$C264,$E$5+$E264,0),2),2)&gt;0,ROUND(AI263+AH264-ROUND(AG$6+IF(AG$5=$C264,$E$5+$E264,0),2),2)&lt;=AJ264,ROUND(AI263+AH264-ROUND(AG$6+IF(AG$5=$C264,$E$5+$E264,0),2),2)*10&lt;=ROUND(AG$6+IF(AG$5=$C264,$E$5+$E264,0),2)),ROUND(AI263+AH264,2),MIN(ROUND(AG$6+IF(AG$5=$C264,$E$5+$E264,0),2),ROUND(AI263+AH264,2))),0)</f>
        <v>0</v>
      </c>
      <c r="AH264" s="24">
        <f>IF(AI263&gt;0,ROUND(ROUND(AI263*100,0)*ROUND(AG$7*10000,0)/12000000,0)/100,0)</f>
        <v>0</v>
      </c>
      <c r="AI264" s="24">
        <f>IF(AI263&gt;0,ROUND(AI263+AH264-AG264,2),0)</f>
        <v>0</v>
      </c>
      <c r="AJ264" s="24">
        <f>IF(AI263&gt;0,ROUND(AJ263+ROUND(ROUND(AJ263*100,0)*ROUND(AG$7*10000,0)/12000000,0)/100+0.02,2),0)</f>
        <v>0</v>
      </c>
      <c r="AK264" s="24">
        <f>IF(AM263&gt;0,IF(AND(ROUND(AM263+AL264-ROUND(AK$6+IF(AK$5=$C264,$E$5+$E264,0),2),2)&gt;0,ROUND(AM263+AL264-ROUND(AK$6+IF(AK$5=$C264,$E$5+$E264,0),2),2)&lt;=AN264,ROUND(AM263+AL264-ROUND(AK$6+IF(AK$5=$C264,$E$5+$E264,0),2),2)*10&lt;=ROUND(AK$6+IF(AK$5=$C264,$E$5+$E264,0),2)),ROUND(AM263+AL264,2),MIN(ROUND(AK$6+IF(AK$5=$C264,$E$5+$E264,0),2),ROUND(AM263+AL264,2))),0)</f>
        <v>0</v>
      </c>
      <c r="AL264" s="24">
        <f>IF(AM263&gt;0,ROUND(ROUND(AM263*100,0)*ROUND(AK$7*10000,0)/12000000,0)/100,0)</f>
        <v>0</v>
      </c>
      <c r="AM264" s="24">
        <f>IF(AM263&gt;0,ROUND(AM263+AL264-AK264,2),0)</f>
        <v>0</v>
      </c>
      <c r="AN264" s="24">
        <f>IF(AM263&gt;0,ROUND(AN263+ROUND(ROUND(AN263*100,0)*ROUND(AK$7*10000,0)/12000000,0)/100+0.02,2),0)</f>
        <v>0</v>
      </c>
      <c r="AO264" s="24">
        <f>IF(AQ263&gt;0,IF(AND(ROUND(AQ263+AP264-ROUND(AO$6+IF(AO$5=$C264,$E$5+$E264,0),2),2)&gt;0,ROUND(AQ263+AP264-ROUND(AO$6+IF(AO$5=$C264,$E$5+$E264,0),2),2)&lt;=AR264,ROUND(AQ263+AP264-ROUND(AO$6+IF(AO$5=$C264,$E$5+$E264,0),2),2)*10&lt;=ROUND(AO$6+IF(AO$5=$C264,$E$5+$E264,0),2)),ROUND(AQ263+AP264,2),MIN(ROUND(AO$6+IF(AO$5=$C264,$E$5+$E264,0),2),ROUND(AQ263+AP264,2))),0)</f>
        <v>0</v>
      </c>
      <c r="AP264" s="24">
        <f>IF(AQ263&gt;0,ROUND(ROUND(AQ263*100,0)*ROUND(AO$7*10000,0)/12000000,0)/100,0)</f>
        <v>0</v>
      </c>
      <c r="AQ264" s="24">
        <f>IF(AQ263&gt;0,ROUND(AQ263+AP264-AO264,2),0)</f>
        <v>0</v>
      </c>
      <c r="AR264" s="24">
        <f>IF(AQ263&gt;0,ROUND(AR263+ROUND(ROUND(AR263*100,0)*ROUND(AO$7*10000,0)/12000000,0)/100+0.02,2),0)</f>
        <v>0</v>
      </c>
      <c r="AS264" s="24">
        <f>IF(AU263&gt;0,IF(AND(ROUND(AU263+AT264-ROUND(AS$6+IF(AS$5=$C264,$E$5+$E264,0),2),2)&gt;0,ROUND(AU263+AT264-ROUND(AS$6+IF(AS$5=$C264,$E$5+$E264,0),2),2)&lt;=AV264,ROUND(AU263+AT264-ROUND(AS$6+IF(AS$5=$C264,$E$5+$E264,0),2),2)*10&lt;=ROUND(AS$6+IF(AS$5=$C264,$E$5+$E264,0),2)),ROUND(AU263+AT264,2),MIN(ROUND(AS$6+IF(AS$5=$C264,$E$5+$E264,0),2),ROUND(AU263+AT264,2))),0)</f>
        <v>0</v>
      </c>
      <c r="AT264" s="24">
        <f>IF(AU263&gt;0,ROUND(ROUND(AU263*100,0)*ROUND(AS$7*10000,0)/12000000,0)/100,0)</f>
        <v>0</v>
      </c>
      <c r="AU264" s="24">
        <f>IF(AU263&gt;0,ROUND(AU263+AT264-AS264,2),0)</f>
        <v>0</v>
      </c>
      <c r="AV264" s="24">
        <f>IF(AU263&gt;0,ROUND(AV263+ROUND(ROUND(AV263*100,0)*ROUND(AS$7*10000,0)/12000000,0)/100+0.02,2),0)</f>
        <v>0</v>
      </c>
    </row>
    <row r="265" spans="1:48" x14ac:dyDescent="0.25">
      <c r="A265" s="17" t="str">
        <f>IF(F265&gt;0,255,"")</f>
        <v/>
      </c>
      <c r="B265" s="18" t="str">
        <f>IF(F265&gt;0,EDATE($E$6,255),"")</f>
        <v/>
      </c>
      <c r="C265" s="21">
        <f>IF(H264&gt;0,MIN(IF(K264&gt;0,I$5,99),IF(O264&gt;0,M$5,99),IF(S264&gt;0,Q$5,99),IF(W264&gt;0,U$5,99),IF(AA264&gt;0,Y$5,99),IF(AE264&gt;0,AC$5,99),IF(AI264&gt;0,AG$5,99),IF(AM264&gt;0,AK$5,99),IF(AQ264&gt;0,AO$5,99),IF(AU264&gt;0,AS$5,99)),0)</f>
        <v>0</v>
      </c>
      <c r="D265" t="str">
        <f>IF(C265&gt;0,INDEX($I$4:$AV$4,1,MATCH(C265,$I$5:$AV$5,0)),"")</f>
        <v/>
      </c>
      <c r="E265" s="24">
        <f>ROUND(IF(AND(I$8&gt;0,K264=0),I$6,0)+IF(AND(M$8&gt;0,O264=0),M$6,0)+IF(AND(Q$8&gt;0,S264=0),Q$6,0)+IF(AND(U$8&gt;0,W264=0),U$6,0)+IF(AND(Y$8&gt;0,AA264=0),Y$6,0)+IF(AND(AC$8&gt;0,AE264=0),AC$6,0)+IF(AND(AG$8&gt;0,AI264=0),AG$6,0)+IF(AND(AK$8&gt;0,AM264=0),AK$6,0)+IF(AND(AO$8&gt;0,AQ264=0),AO$6,0)+IF(AND(AS$8&gt;0,AU264=0),AS$6,0),2)</f>
        <v>325</v>
      </c>
      <c r="F265" s="24">
        <f>ROUND(I265+M265+Q265+U265+Y265+AC265+AG265+AK265+AO265+AS265,2)</f>
        <v>0</v>
      </c>
      <c r="G265" s="24">
        <f>ROUND(J265+N265+R265+V265+Z265+AD265+AH265+AL265+AP265+AT265,2)</f>
        <v>0</v>
      </c>
      <c r="H265" s="24">
        <f>ROUND(K265+O265+S265+W265+AA265+AE265+AI265+AM265+AQ265+AU265,2)</f>
        <v>0</v>
      </c>
      <c r="I265" s="24">
        <f>IF(K264&gt;0,IF(AND(ROUND(K264+J265-ROUND(I$6+IF(I$5=$C265,$E$5+$E265,0),2),2)&gt;0,ROUND(K264+J265-ROUND(I$6+IF(I$5=$C265,$E$5+$E265,0),2),2)&lt;=L265,ROUND(K264+J265-ROUND(I$6+IF(I$5=$C265,$E$5+$E265,0),2),2)*10&lt;=ROUND(I$6+IF(I$5=$C265,$E$5+$E265,0),2)),ROUND(K264+J265,2),MIN(ROUND(I$6+IF(I$5=$C265,$E$5+$E265,0),2),ROUND(K264+J265,2))),0)</f>
        <v>0</v>
      </c>
      <c r="J265" s="24">
        <f>IF(K264&gt;0,ROUND(ROUND(K264*100,0)*ROUND(I$7*10000,0)/12000000,0)/100,0)</f>
        <v>0</v>
      </c>
      <c r="K265" s="24">
        <f>IF(K264&gt;0,ROUND(K264+J265-I265,2),0)</f>
        <v>0</v>
      </c>
      <c r="L265" s="24">
        <f>IF(K264&gt;0,ROUND(L264+ROUND(ROUND(L264*100,0)*ROUND(I$7*10000,0)/12000000,0)/100+0.02,2),0)</f>
        <v>0</v>
      </c>
      <c r="M265" s="24">
        <f>IF(O264&gt;0,IF(AND(ROUND(O264+N265-ROUND(M$6+IF(M$5=$C265,$E$5+$E265,0),2),2)&gt;0,ROUND(O264+N265-ROUND(M$6+IF(M$5=$C265,$E$5+$E265,0),2),2)&lt;=P265,ROUND(O264+N265-ROUND(M$6+IF(M$5=$C265,$E$5+$E265,0),2),2)*10&lt;=ROUND(M$6+IF(M$5=$C265,$E$5+$E265,0),2)),ROUND(O264+N265,2),MIN(ROUND(M$6+IF(M$5=$C265,$E$5+$E265,0),2),ROUND(O264+N265,2))),0)</f>
        <v>0</v>
      </c>
      <c r="N265" s="24">
        <f>IF(O264&gt;0,ROUND(ROUND(O264*100,0)*ROUND(M$7*10000,0)/12000000,0)/100,0)</f>
        <v>0</v>
      </c>
      <c r="O265" s="24">
        <f>IF(O264&gt;0,ROUND(O264+N265-M265,2),0)</f>
        <v>0</v>
      </c>
      <c r="P265" s="24">
        <f>IF(O264&gt;0,ROUND(P264+ROUND(ROUND(P264*100,0)*ROUND(M$7*10000,0)/12000000,0)/100+0.02,2),0)</f>
        <v>0</v>
      </c>
      <c r="Q265" s="24">
        <f>IF(S264&gt;0,IF(AND(ROUND(S264+R265-ROUND(Q$6+IF(Q$5=$C265,$E$5+$E265,0),2),2)&gt;0,ROUND(S264+R265-ROUND(Q$6+IF(Q$5=$C265,$E$5+$E265,0),2),2)&lt;=T265,ROUND(S264+R265-ROUND(Q$6+IF(Q$5=$C265,$E$5+$E265,0),2),2)*10&lt;=ROUND(Q$6+IF(Q$5=$C265,$E$5+$E265,0),2)),ROUND(S264+R265,2),MIN(ROUND(Q$6+IF(Q$5=$C265,$E$5+$E265,0),2),ROUND(S264+R265,2))),0)</f>
        <v>0</v>
      </c>
      <c r="R265" s="24">
        <f>IF(S264&gt;0,ROUND(ROUND(S264*100,0)*ROUND(Q$7*10000,0)/12000000,0)/100,0)</f>
        <v>0</v>
      </c>
      <c r="S265" s="24">
        <f>IF(S264&gt;0,ROUND(S264+R265-Q265,2),0)</f>
        <v>0</v>
      </c>
      <c r="T265" s="24">
        <f>IF(S264&gt;0,ROUND(T264+ROUND(ROUND(T264*100,0)*ROUND(Q$7*10000,0)/12000000,0)/100+0.02,2),0)</f>
        <v>0</v>
      </c>
      <c r="U265" s="24">
        <f>IF(W264&gt;0,IF(AND(ROUND(W264+V265-ROUND(U$6+IF(U$5=$C265,$E$5+$E265,0),2),2)&gt;0,ROUND(W264+V265-ROUND(U$6+IF(U$5=$C265,$E$5+$E265,0),2),2)&lt;=X265,ROUND(W264+V265-ROUND(U$6+IF(U$5=$C265,$E$5+$E265,0),2),2)*10&lt;=ROUND(U$6+IF(U$5=$C265,$E$5+$E265,0),2)),ROUND(W264+V265,2),MIN(ROUND(U$6+IF(U$5=$C265,$E$5+$E265,0),2),ROUND(W264+V265,2))),0)</f>
        <v>0</v>
      </c>
      <c r="V265" s="24">
        <f>IF(W264&gt;0,ROUND(ROUND(W264*100,0)*ROUND(U$7*10000,0)/12000000,0)/100,0)</f>
        <v>0</v>
      </c>
      <c r="W265" s="24">
        <f>IF(W264&gt;0,ROUND(W264+V265-U265,2),0)</f>
        <v>0</v>
      </c>
      <c r="X265" s="24">
        <f>IF(W264&gt;0,ROUND(X264+ROUND(ROUND(X264*100,0)*ROUND(U$7*10000,0)/12000000,0)/100+0.02,2),0)</f>
        <v>0</v>
      </c>
      <c r="Y265" s="24">
        <f>IF(AA264&gt;0,IF(AND(ROUND(AA264+Z265-ROUND(Y$6+IF(Y$5=$C265,$E$5+$E265,0),2),2)&gt;0,ROUND(AA264+Z265-ROUND(Y$6+IF(Y$5=$C265,$E$5+$E265,0),2),2)&lt;=AB265,ROUND(AA264+Z265-ROUND(Y$6+IF(Y$5=$C265,$E$5+$E265,0),2),2)*10&lt;=ROUND(Y$6+IF(Y$5=$C265,$E$5+$E265,0),2)),ROUND(AA264+Z265,2),MIN(ROUND(Y$6+IF(Y$5=$C265,$E$5+$E265,0),2),ROUND(AA264+Z265,2))),0)</f>
        <v>0</v>
      </c>
      <c r="Z265" s="24">
        <f>IF(AA264&gt;0,ROUND(ROUND(AA264*100,0)*ROUND(Y$7*10000,0)/12000000,0)/100,0)</f>
        <v>0</v>
      </c>
      <c r="AA265" s="24">
        <f>IF(AA264&gt;0,ROUND(AA264+Z265-Y265,2),0)</f>
        <v>0</v>
      </c>
      <c r="AB265" s="24">
        <f>IF(AA264&gt;0,ROUND(AB264+ROUND(ROUND(AB264*100,0)*ROUND(Y$7*10000,0)/12000000,0)/100+0.02,2),0)</f>
        <v>0</v>
      </c>
      <c r="AC265" s="24">
        <f>IF(AE264&gt;0,IF(AND(ROUND(AE264+AD265-ROUND(AC$6+IF(AC$5=$C265,$E$5+$E265,0),2),2)&gt;0,ROUND(AE264+AD265-ROUND(AC$6+IF(AC$5=$C265,$E$5+$E265,0),2),2)&lt;=AF265,ROUND(AE264+AD265-ROUND(AC$6+IF(AC$5=$C265,$E$5+$E265,0),2),2)*10&lt;=ROUND(AC$6+IF(AC$5=$C265,$E$5+$E265,0),2)),ROUND(AE264+AD265,2),MIN(ROUND(AC$6+IF(AC$5=$C265,$E$5+$E265,0),2),ROUND(AE264+AD265,2))),0)</f>
        <v>0</v>
      </c>
      <c r="AD265" s="24">
        <f>IF(AE264&gt;0,ROUND(ROUND(AE264*100,0)*ROUND(AC$7*10000,0)/12000000,0)/100,0)</f>
        <v>0</v>
      </c>
      <c r="AE265" s="24">
        <f>IF(AE264&gt;0,ROUND(AE264+AD265-AC265,2),0)</f>
        <v>0</v>
      </c>
      <c r="AF265" s="24">
        <f>IF(AE264&gt;0,ROUND(AF264+ROUND(ROUND(AF264*100,0)*ROUND(AC$7*10000,0)/12000000,0)/100+0.02,2),0)</f>
        <v>0</v>
      </c>
      <c r="AG265" s="24">
        <f>IF(AI264&gt;0,IF(AND(ROUND(AI264+AH265-ROUND(AG$6+IF(AG$5=$C265,$E$5+$E265,0),2),2)&gt;0,ROUND(AI264+AH265-ROUND(AG$6+IF(AG$5=$C265,$E$5+$E265,0),2),2)&lt;=AJ265,ROUND(AI264+AH265-ROUND(AG$6+IF(AG$5=$C265,$E$5+$E265,0),2),2)*10&lt;=ROUND(AG$6+IF(AG$5=$C265,$E$5+$E265,0),2)),ROUND(AI264+AH265,2),MIN(ROUND(AG$6+IF(AG$5=$C265,$E$5+$E265,0),2),ROUND(AI264+AH265,2))),0)</f>
        <v>0</v>
      </c>
      <c r="AH265" s="24">
        <f>IF(AI264&gt;0,ROUND(ROUND(AI264*100,0)*ROUND(AG$7*10000,0)/12000000,0)/100,0)</f>
        <v>0</v>
      </c>
      <c r="AI265" s="24">
        <f>IF(AI264&gt;0,ROUND(AI264+AH265-AG265,2),0)</f>
        <v>0</v>
      </c>
      <c r="AJ265" s="24">
        <f>IF(AI264&gt;0,ROUND(AJ264+ROUND(ROUND(AJ264*100,0)*ROUND(AG$7*10000,0)/12000000,0)/100+0.02,2),0)</f>
        <v>0</v>
      </c>
      <c r="AK265" s="24">
        <f>IF(AM264&gt;0,IF(AND(ROUND(AM264+AL265-ROUND(AK$6+IF(AK$5=$C265,$E$5+$E265,0),2),2)&gt;0,ROUND(AM264+AL265-ROUND(AK$6+IF(AK$5=$C265,$E$5+$E265,0),2),2)&lt;=AN265,ROUND(AM264+AL265-ROUND(AK$6+IF(AK$5=$C265,$E$5+$E265,0),2),2)*10&lt;=ROUND(AK$6+IF(AK$5=$C265,$E$5+$E265,0),2)),ROUND(AM264+AL265,2),MIN(ROUND(AK$6+IF(AK$5=$C265,$E$5+$E265,0),2),ROUND(AM264+AL265,2))),0)</f>
        <v>0</v>
      </c>
      <c r="AL265" s="24">
        <f>IF(AM264&gt;0,ROUND(ROUND(AM264*100,0)*ROUND(AK$7*10000,0)/12000000,0)/100,0)</f>
        <v>0</v>
      </c>
      <c r="AM265" s="24">
        <f>IF(AM264&gt;0,ROUND(AM264+AL265-AK265,2),0)</f>
        <v>0</v>
      </c>
      <c r="AN265" s="24">
        <f>IF(AM264&gt;0,ROUND(AN264+ROUND(ROUND(AN264*100,0)*ROUND(AK$7*10000,0)/12000000,0)/100+0.02,2),0)</f>
        <v>0</v>
      </c>
      <c r="AO265" s="24">
        <f>IF(AQ264&gt;0,IF(AND(ROUND(AQ264+AP265-ROUND(AO$6+IF(AO$5=$C265,$E$5+$E265,0),2),2)&gt;0,ROUND(AQ264+AP265-ROUND(AO$6+IF(AO$5=$C265,$E$5+$E265,0),2),2)&lt;=AR265,ROUND(AQ264+AP265-ROUND(AO$6+IF(AO$5=$C265,$E$5+$E265,0),2),2)*10&lt;=ROUND(AO$6+IF(AO$5=$C265,$E$5+$E265,0),2)),ROUND(AQ264+AP265,2),MIN(ROUND(AO$6+IF(AO$5=$C265,$E$5+$E265,0),2),ROUND(AQ264+AP265,2))),0)</f>
        <v>0</v>
      </c>
      <c r="AP265" s="24">
        <f>IF(AQ264&gt;0,ROUND(ROUND(AQ264*100,0)*ROUND(AO$7*10000,0)/12000000,0)/100,0)</f>
        <v>0</v>
      </c>
      <c r="AQ265" s="24">
        <f>IF(AQ264&gt;0,ROUND(AQ264+AP265-AO265,2),0)</f>
        <v>0</v>
      </c>
      <c r="AR265" s="24">
        <f>IF(AQ264&gt;0,ROUND(AR264+ROUND(ROUND(AR264*100,0)*ROUND(AO$7*10000,0)/12000000,0)/100+0.02,2),0)</f>
        <v>0</v>
      </c>
      <c r="AS265" s="24">
        <f>IF(AU264&gt;0,IF(AND(ROUND(AU264+AT265-ROUND(AS$6+IF(AS$5=$C265,$E$5+$E265,0),2),2)&gt;0,ROUND(AU264+AT265-ROUND(AS$6+IF(AS$5=$C265,$E$5+$E265,0),2),2)&lt;=AV265,ROUND(AU264+AT265-ROUND(AS$6+IF(AS$5=$C265,$E$5+$E265,0),2),2)*10&lt;=ROUND(AS$6+IF(AS$5=$C265,$E$5+$E265,0),2)),ROUND(AU264+AT265,2),MIN(ROUND(AS$6+IF(AS$5=$C265,$E$5+$E265,0),2),ROUND(AU264+AT265,2))),0)</f>
        <v>0</v>
      </c>
      <c r="AT265" s="24">
        <f>IF(AU264&gt;0,ROUND(ROUND(AU264*100,0)*ROUND(AS$7*10000,0)/12000000,0)/100,0)</f>
        <v>0</v>
      </c>
      <c r="AU265" s="24">
        <f>IF(AU264&gt;0,ROUND(AU264+AT265-AS265,2),0)</f>
        <v>0</v>
      </c>
      <c r="AV265" s="24">
        <f>IF(AU264&gt;0,ROUND(AV264+ROUND(ROUND(AV264*100,0)*ROUND(AS$7*10000,0)/12000000,0)/100+0.02,2),0)</f>
        <v>0</v>
      </c>
    </row>
    <row r="266" spans="1:48" x14ac:dyDescent="0.25">
      <c r="A266" s="17" t="str">
        <f>IF(F266&gt;0,256,"")</f>
        <v/>
      </c>
      <c r="B266" s="18" t="str">
        <f>IF(F266&gt;0,EDATE($E$6,256),"")</f>
        <v/>
      </c>
      <c r="C266" s="21">
        <f>IF(H265&gt;0,MIN(IF(K265&gt;0,I$5,99),IF(O265&gt;0,M$5,99),IF(S265&gt;0,Q$5,99),IF(W265&gt;0,U$5,99),IF(AA265&gt;0,Y$5,99),IF(AE265&gt;0,AC$5,99),IF(AI265&gt;0,AG$5,99),IF(AM265&gt;0,AK$5,99),IF(AQ265&gt;0,AO$5,99),IF(AU265&gt;0,AS$5,99)),0)</f>
        <v>0</v>
      </c>
      <c r="D266" t="str">
        <f>IF(C266&gt;0,INDEX($I$4:$AV$4,1,MATCH(C266,$I$5:$AV$5,0)),"")</f>
        <v/>
      </c>
      <c r="E266" s="24">
        <f>ROUND(IF(AND(I$8&gt;0,K265=0),I$6,0)+IF(AND(M$8&gt;0,O265=0),M$6,0)+IF(AND(Q$8&gt;0,S265=0),Q$6,0)+IF(AND(U$8&gt;0,W265=0),U$6,0)+IF(AND(Y$8&gt;0,AA265=0),Y$6,0)+IF(AND(AC$8&gt;0,AE265=0),AC$6,0)+IF(AND(AG$8&gt;0,AI265=0),AG$6,0)+IF(AND(AK$8&gt;0,AM265=0),AK$6,0)+IF(AND(AO$8&gt;0,AQ265=0),AO$6,0)+IF(AND(AS$8&gt;0,AU265=0),AS$6,0),2)</f>
        <v>325</v>
      </c>
      <c r="F266" s="24">
        <f>ROUND(I266+M266+Q266+U266+Y266+AC266+AG266+AK266+AO266+AS266,2)</f>
        <v>0</v>
      </c>
      <c r="G266" s="24">
        <f>ROUND(J266+N266+R266+V266+Z266+AD266+AH266+AL266+AP266+AT266,2)</f>
        <v>0</v>
      </c>
      <c r="H266" s="24">
        <f>ROUND(K266+O266+S266+W266+AA266+AE266+AI266+AM266+AQ266+AU266,2)</f>
        <v>0</v>
      </c>
      <c r="I266" s="24">
        <f>IF(K265&gt;0,IF(AND(ROUND(K265+J266-ROUND(I$6+IF(I$5=$C266,$E$5+$E266,0),2),2)&gt;0,ROUND(K265+J266-ROUND(I$6+IF(I$5=$C266,$E$5+$E266,0),2),2)&lt;=L266,ROUND(K265+J266-ROUND(I$6+IF(I$5=$C266,$E$5+$E266,0),2),2)*10&lt;=ROUND(I$6+IF(I$5=$C266,$E$5+$E266,0),2)),ROUND(K265+J266,2),MIN(ROUND(I$6+IF(I$5=$C266,$E$5+$E266,0),2),ROUND(K265+J266,2))),0)</f>
        <v>0</v>
      </c>
      <c r="J266" s="24">
        <f>IF(K265&gt;0,ROUND(ROUND(K265*100,0)*ROUND(I$7*10000,0)/12000000,0)/100,0)</f>
        <v>0</v>
      </c>
      <c r="K266" s="24">
        <f>IF(K265&gt;0,ROUND(K265+J266-I266,2),0)</f>
        <v>0</v>
      </c>
      <c r="L266" s="24">
        <f>IF(K265&gt;0,ROUND(L265+ROUND(ROUND(L265*100,0)*ROUND(I$7*10000,0)/12000000,0)/100+0.02,2),0)</f>
        <v>0</v>
      </c>
      <c r="M266" s="24">
        <f>IF(O265&gt;0,IF(AND(ROUND(O265+N266-ROUND(M$6+IF(M$5=$C266,$E$5+$E266,0),2),2)&gt;0,ROUND(O265+N266-ROUND(M$6+IF(M$5=$C266,$E$5+$E266,0),2),2)&lt;=P266,ROUND(O265+N266-ROUND(M$6+IF(M$5=$C266,$E$5+$E266,0),2),2)*10&lt;=ROUND(M$6+IF(M$5=$C266,$E$5+$E266,0),2)),ROUND(O265+N266,2),MIN(ROUND(M$6+IF(M$5=$C266,$E$5+$E266,0),2),ROUND(O265+N266,2))),0)</f>
        <v>0</v>
      </c>
      <c r="N266" s="24">
        <f>IF(O265&gt;0,ROUND(ROUND(O265*100,0)*ROUND(M$7*10000,0)/12000000,0)/100,0)</f>
        <v>0</v>
      </c>
      <c r="O266" s="24">
        <f>IF(O265&gt;0,ROUND(O265+N266-M266,2),0)</f>
        <v>0</v>
      </c>
      <c r="P266" s="24">
        <f>IF(O265&gt;0,ROUND(P265+ROUND(ROUND(P265*100,0)*ROUND(M$7*10000,0)/12000000,0)/100+0.02,2),0)</f>
        <v>0</v>
      </c>
      <c r="Q266" s="24">
        <f>IF(S265&gt;0,IF(AND(ROUND(S265+R266-ROUND(Q$6+IF(Q$5=$C266,$E$5+$E266,0),2),2)&gt;0,ROUND(S265+R266-ROUND(Q$6+IF(Q$5=$C266,$E$5+$E266,0),2),2)&lt;=T266,ROUND(S265+R266-ROUND(Q$6+IF(Q$5=$C266,$E$5+$E266,0),2),2)*10&lt;=ROUND(Q$6+IF(Q$5=$C266,$E$5+$E266,0),2)),ROUND(S265+R266,2),MIN(ROUND(Q$6+IF(Q$5=$C266,$E$5+$E266,0),2),ROUND(S265+R266,2))),0)</f>
        <v>0</v>
      </c>
      <c r="R266" s="24">
        <f>IF(S265&gt;0,ROUND(ROUND(S265*100,0)*ROUND(Q$7*10000,0)/12000000,0)/100,0)</f>
        <v>0</v>
      </c>
      <c r="S266" s="24">
        <f>IF(S265&gt;0,ROUND(S265+R266-Q266,2),0)</f>
        <v>0</v>
      </c>
      <c r="T266" s="24">
        <f>IF(S265&gt;0,ROUND(T265+ROUND(ROUND(T265*100,0)*ROUND(Q$7*10000,0)/12000000,0)/100+0.02,2),0)</f>
        <v>0</v>
      </c>
      <c r="U266" s="24">
        <f>IF(W265&gt;0,IF(AND(ROUND(W265+V266-ROUND(U$6+IF(U$5=$C266,$E$5+$E266,0),2),2)&gt;0,ROUND(W265+V266-ROUND(U$6+IF(U$5=$C266,$E$5+$E266,0),2),2)&lt;=X266,ROUND(W265+V266-ROUND(U$6+IF(U$5=$C266,$E$5+$E266,0),2),2)*10&lt;=ROUND(U$6+IF(U$5=$C266,$E$5+$E266,0),2)),ROUND(W265+V266,2),MIN(ROUND(U$6+IF(U$5=$C266,$E$5+$E266,0),2),ROUND(W265+V266,2))),0)</f>
        <v>0</v>
      </c>
      <c r="V266" s="24">
        <f>IF(W265&gt;0,ROUND(ROUND(W265*100,0)*ROUND(U$7*10000,0)/12000000,0)/100,0)</f>
        <v>0</v>
      </c>
      <c r="W266" s="24">
        <f>IF(W265&gt;0,ROUND(W265+V266-U266,2),0)</f>
        <v>0</v>
      </c>
      <c r="X266" s="24">
        <f>IF(W265&gt;0,ROUND(X265+ROUND(ROUND(X265*100,0)*ROUND(U$7*10000,0)/12000000,0)/100+0.02,2),0)</f>
        <v>0</v>
      </c>
      <c r="Y266" s="24">
        <f>IF(AA265&gt;0,IF(AND(ROUND(AA265+Z266-ROUND(Y$6+IF(Y$5=$C266,$E$5+$E266,0),2),2)&gt;0,ROUND(AA265+Z266-ROUND(Y$6+IF(Y$5=$C266,$E$5+$E266,0),2),2)&lt;=AB266,ROUND(AA265+Z266-ROUND(Y$6+IF(Y$5=$C266,$E$5+$E266,0),2),2)*10&lt;=ROUND(Y$6+IF(Y$5=$C266,$E$5+$E266,0),2)),ROUND(AA265+Z266,2),MIN(ROUND(Y$6+IF(Y$5=$C266,$E$5+$E266,0),2),ROUND(AA265+Z266,2))),0)</f>
        <v>0</v>
      </c>
      <c r="Z266" s="24">
        <f>IF(AA265&gt;0,ROUND(ROUND(AA265*100,0)*ROUND(Y$7*10000,0)/12000000,0)/100,0)</f>
        <v>0</v>
      </c>
      <c r="AA266" s="24">
        <f>IF(AA265&gt;0,ROUND(AA265+Z266-Y266,2),0)</f>
        <v>0</v>
      </c>
      <c r="AB266" s="24">
        <f>IF(AA265&gt;0,ROUND(AB265+ROUND(ROUND(AB265*100,0)*ROUND(Y$7*10000,0)/12000000,0)/100+0.02,2),0)</f>
        <v>0</v>
      </c>
      <c r="AC266" s="24">
        <f>IF(AE265&gt;0,IF(AND(ROUND(AE265+AD266-ROUND(AC$6+IF(AC$5=$C266,$E$5+$E266,0),2),2)&gt;0,ROUND(AE265+AD266-ROUND(AC$6+IF(AC$5=$C266,$E$5+$E266,0),2),2)&lt;=AF266,ROUND(AE265+AD266-ROUND(AC$6+IF(AC$5=$C266,$E$5+$E266,0),2),2)*10&lt;=ROUND(AC$6+IF(AC$5=$C266,$E$5+$E266,0),2)),ROUND(AE265+AD266,2),MIN(ROUND(AC$6+IF(AC$5=$C266,$E$5+$E266,0),2),ROUND(AE265+AD266,2))),0)</f>
        <v>0</v>
      </c>
      <c r="AD266" s="24">
        <f>IF(AE265&gt;0,ROUND(ROUND(AE265*100,0)*ROUND(AC$7*10000,0)/12000000,0)/100,0)</f>
        <v>0</v>
      </c>
      <c r="AE266" s="24">
        <f>IF(AE265&gt;0,ROUND(AE265+AD266-AC266,2),0)</f>
        <v>0</v>
      </c>
      <c r="AF266" s="24">
        <f>IF(AE265&gt;0,ROUND(AF265+ROUND(ROUND(AF265*100,0)*ROUND(AC$7*10000,0)/12000000,0)/100+0.02,2),0)</f>
        <v>0</v>
      </c>
      <c r="AG266" s="24">
        <f>IF(AI265&gt;0,IF(AND(ROUND(AI265+AH266-ROUND(AG$6+IF(AG$5=$C266,$E$5+$E266,0),2),2)&gt;0,ROUND(AI265+AH266-ROUND(AG$6+IF(AG$5=$C266,$E$5+$E266,0),2),2)&lt;=AJ266,ROUND(AI265+AH266-ROUND(AG$6+IF(AG$5=$C266,$E$5+$E266,0),2),2)*10&lt;=ROUND(AG$6+IF(AG$5=$C266,$E$5+$E266,0),2)),ROUND(AI265+AH266,2),MIN(ROUND(AG$6+IF(AG$5=$C266,$E$5+$E266,0),2),ROUND(AI265+AH266,2))),0)</f>
        <v>0</v>
      </c>
      <c r="AH266" s="24">
        <f>IF(AI265&gt;0,ROUND(ROUND(AI265*100,0)*ROUND(AG$7*10000,0)/12000000,0)/100,0)</f>
        <v>0</v>
      </c>
      <c r="AI266" s="24">
        <f>IF(AI265&gt;0,ROUND(AI265+AH266-AG266,2),0)</f>
        <v>0</v>
      </c>
      <c r="AJ266" s="24">
        <f>IF(AI265&gt;0,ROUND(AJ265+ROUND(ROUND(AJ265*100,0)*ROUND(AG$7*10000,0)/12000000,0)/100+0.02,2),0)</f>
        <v>0</v>
      </c>
      <c r="AK266" s="24">
        <f>IF(AM265&gt;0,IF(AND(ROUND(AM265+AL266-ROUND(AK$6+IF(AK$5=$C266,$E$5+$E266,0),2),2)&gt;0,ROUND(AM265+AL266-ROUND(AK$6+IF(AK$5=$C266,$E$5+$E266,0),2),2)&lt;=AN266,ROUND(AM265+AL266-ROUND(AK$6+IF(AK$5=$C266,$E$5+$E266,0),2),2)*10&lt;=ROUND(AK$6+IF(AK$5=$C266,$E$5+$E266,0),2)),ROUND(AM265+AL266,2),MIN(ROUND(AK$6+IF(AK$5=$C266,$E$5+$E266,0),2),ROUND(AM265+AL266,2))),0)</f>
        <v>0</v>
      </c>
      <c r="AL266" s="24">
        <f>IF(AM265&gt;0,ROUND(ROUND(AM265*100,0)*ROUND(AK$7*10000,0)/12000000,0)/100,0)</f>
        <v>0</v>
      </c>
      <c r="AM266" s="24">
        <f>IF(AM265&gt;0,ROUND(AM265+AL266-AK266,2),0)</f>
        <v>0</v>
      </c>
      <c r="AN266" s="24">
        <f>IF(AM265&gt;0,ROUND(AN265+ROUND(ROUND(AN265*100,0)*ROUND(AK$7*10000,0)/12000000,0)/100+0.02,2),0)</f>
        <v>0</v>
      </c>
      <c r="AO266" s="24">
        <f>IF(AQ265&gt;0,IF(AND(ROUND(AQ265+AP266-ROUND(AO$6+IF(AO$5=$C266,$E$5+$E266,0),2),2)&gt;0,ROUND(AQ265+AP266-ROUND(AO$6+IF(AO$5=$C266,$E$5+$E266,0),2),2)&lt;=AR266,ROUND(AQ265+AP266-ROUND(AO$6+IF(AO$5=$C266,$E$5+$E266,0),2),2)*10&lt;=ROUND(AO$6+IF(AO$5=$C266,$E$5+$E266,0),2)),ROUND(AQ265+AP266,2),MIN(ROUND(AO$6+IF(AO$5=$C266,$E$5+$E266,0),2),ROUND(AQ265+AP266,2))),0)</f>
        <v>0</v>
      </c>
      <c r="AP266" s="24">
        <f>IF(AQ265&gt;0,ROUND(ROUND(AQ265*100,0)*ROUND(AO$7*10000,0)/12000000,0)/100,0)</f>
        <v>0</v>
      </c>
      <c r="AQ266" s="24">
        <f>IF(AQ265&gt;0,ROUND(AQ265+AP266-AO266,2),0)</f>
        <v>0</v>
      </c>
      <c r="AR266" s="24">
        <f>IF(AQ265&gt;0,ROUND(AR265+ROUND(ROUND(AR265*100,0)*ROUND(AO$7*10000,0)/12000000,0)/100+0.02,2),0)</f>
        <v>0</v>
      </c>
      <c r="AS266" s="24">
        <f>IF(AU265&gt;0,IF(AND(ROUND(AU265+AT266-ROUND(AS$6+IF(AS$5=$C266,$E$5+$E266,0),2),2)&gt;0,ROUND(AU265+AT266-ROUND(AS$6+IF(AS$5=$C266,$E$5+$E266,0),2),2)&lt;=AV266,ROUND(AU265+AT266-ROUND(AS$6+IF(AS$5=$C266,$E$5+$E266,0),2),2)*10&lt;=ROUND(AS$6+IF(AS$5=$C266,$E$5+$E266,0),2)),ROUND(AU265+AT266,2),MIN(ROUND(AS$6+IF(AS$5=$C266,$E$5+$E266,0),2),ROUND(AU265+AT266,2))),0)</f>
        <v>0</v>
      </c>
      <c r="AT266" s="24">
        <f>IF(AU265&gt;0,ROUND(ROUND(AU265*100,0)*ROUND(AS$7*10000,0)/12000000,0)/100,0)</f>
        <v>0</v>
      </c>
      <c r="AU266" s="24">
        <f>IF(AU265&gt;0,ROUND(AU265+AT266-AS266,2),0)</f>
        <v>0</v>
      </c>
      <c r="AV266" s="24">
        <f>IF(AU265&gt;0,ROUND(AV265+ROUND(ROUND(AV265*100,0)*ROUND(AS$7*10000,0)/12000000,0)/100+0.02,2),0)</f>
        <v>0</v>
      </c>
    </row>
    <row r="267" spans="1:48" x14ac:dyDescent="0.25">
      <c r="A267" s="17" t="str">
        <f>IF(F267&gt;0,257,"")</f>
        <v/>
      </c>
      <c r="B267" s="18" t="str">
        <f>IF(F267&gt;0,EDATE($E$6,257),"")</f>
        <v/>
      </c>
      <c r="C267" s="21">
        <f>IF(H266&gt;0,MIN(IF(K266&gt;0,I$5,99),IF(O266&gt;0,M$5,99),IF(S266&gt;0,Q$5,99),IF(W266&gt;0,U$5,99),IF(AA266&gt;0,Y$5,99),IF(AE266&gt;0,AC$5,99),IF(AI266&gt;0,AG$5,99),IF(AM266&gt;0,AK$5,99),IF(AQ266&gt;0,AO$5,99),IF(AU266&gt;0,AS$5,99)),0)</f>
        <v>0</v>
      </c>
      <c r="D267" t="str">
        <f>IF(C267&gt;0,INDEX($I$4:$AV$4,1,MATCH(C267,$I$5:$AV$5,0)),"")</f>
        <v/>
      </c>
      <c r="E267" s="24">
        <f>ROUND(IF(AND(I$8&gt;0,K266=0),I$6,0)+IF(AND(M$8&gt;0,O266=0),M$6,0)+IF(AND(Q$8&gt;0,S266=0),Q$6,0)+IF(AND(U$8&gt;0,W266=0),U$6,0)+IF(AND(Y$8&gt;0,AA266=0),Y$6,0)+IF(AND(AC$8&gt;0,AE266=0),AC$6,0)+IF(AND(AG$8&gt;0,AI266=0),AG$6,0)+IF(AND(AK$8&gt;0,AM266=0),AK$6,0)+IF(AND(AO$8&gt;0,AQ266=0),AO$6,0)+IF(AND(AS$8&gt;0,AU266=0),AS$6,0),2)</f>
        <v>325</v>
      </c>
      <c r="F267" s="24">
        <f>ROUND(I267+M267+Q267+U267+Y267+AC267+AG267+AK267+AO267+AS267,2)</f>
        <v>0</v>
      </c>
      <c r="G267" s="24">
        <f>ROUND(J267+N267+R267+V267+Z267+AD267+AH267+AL267+AP267+AT267,2)</f>
        <v>0</v>
      </c>
      <c r="H267" s="24">
        <f>ROUND(K267+O267+S267+W267+AA267+AE267+AI267+AM267+AQ267+AU267,2)</f>
        <v>0</v>
      </c>
      <c r="I267" s="24">
        <f>IF(K266&gt;0,IF(AND(ROUND(K266+J267-ROUND(I$6+IF(I$5=$C267,$E$5+$E267,0),2),2)&gt;0,ROUND(K266+J267-ROUND(I$6+IF(I$5=$C267,$E$5+$E267,0),2),2)&lt;=L267,ROUND(K266+J267-ROUND(I$6+IF(I$5=$C267,$E$5+$E267,0),2),2)*10&lt;=ROUND(I$6+IF(I$5=$C267,$E$5+$E267,0),2)),ROUND(K266+J267,2),MIN(ROUND(I$6+IF(I$5=$C267,$E$5+$E267,0),2),ROUND(K266+J267,2))),0)</f>
        <v>0</v>
      </c>
      <c r="J267" s="24">
        <f>IF(K266&gt;0,ROUND(ROUND(K266*100,0)*ROUND(I$7*10000,0)/12000000,0)/100,0)</f>
        <v>0</v>
      </c>
      <c r="K267" s="24">
        <f>IF(K266&gt;0,ROUND(K266+J267-I267,2),0)</f>
        <v>0</v>
      </c>
      <c r="L267" s="24">
        <f>IF(K266&gt;0,ROUND(L266+ROUND(ROUND(L266*100,0)*ROUND(I$7*10000,0)/12000000,0)/100+0.02,2),0)</f>
        <v>0</v>
      </c>
      <c r="M267" s="24">
        <f>IF(O266&gt;0,IF(AND(ROUND(O266+N267-ROUND(M$6+IF(M$5=$C267,$E$5+$E267,0),2),2)&gt;0,ROUND(O266+N267-ROUND(M$6+IF(M$5=$C267,$E$5+$E267,0),2),2)&lt;=P267,ROUND(O266+N267-ROUND(M$6+IF(M$5=$C267,$E$5+$E267,0),2),2)*10&lt;=ROUND(M$6+IF(M$5=$C267,$E$5+$E267,0),2)),ROUND(O266+N267,2),MIN(ROUND(M$6+IF(M$5=$C267,$E$5+$E267,0),2),ROUND(O266+N267,2))),0)</f>
        <v>0</v>
      </c>
      <c r="N267" s="24">
        <f>IF(O266&gt;0,ROUND(ROUND(O266*100,0)*ROUND(M$7*10000,0)/12000000,0)/100,0)</f>
        <v>0</v>
      </c>
      <c r="O267" s="24">
        <f>IF(O266&gt;0,ROUND(O266+N267-M267,2),0)</f>
        <v>0</v>
      </c>
      <c r="P267" s="24">
        <f>IF(O266&gt;0,ROUND(P266+ROUND(ROUND(P266*100,0)*ROUND(M$7*10000,0)/12000000,0)/100+0.02,2),0)</f>
        <v>0</v>
      </c>
      <c r="Q267" s="24">
        <f>IF(S266&gt;0,IF(AND(ROUND(S266+R267-ROUND(Q$6+IF(Q$5=$C267,$E$5+$E267,0),2),2)&gt;0,ROUND(S266+R267-ROUND(Q$6+IF(Q$5=$C267,$E$5+$E267,0),2),2)&lt;=T267,ROUND(S266+R267-ROUND(Q$6+IF(Q$5=$C267,$E$5+$E267,0),2),2)*10&lt;=ROUND(Q$6+IF(Q$5=$C267,$E$5+$E267,0),2)),ROUND(S266+R267,2),MIN(ROUND(Q$6+IF(Q$5=$C267,$E$5+$E267,0),2),ROUND(S266+R267,2))),0)</f>
        <v>0</v>
      </c>
      <c r="R267" s="24">
        <f>IF(S266&gt;0,ROUND(ROUND(S266*100,0)*ROUND(Q$7*10000,0)/12000000,0)/100,0)</f>
        <v>0</v>
      </c>
      <c r="S267" s="24">
        <f>IF(S266&gt;0,ROUND(S266+R267-Q267,2),0)</f>
        <v>0</v>
      </c>
      <c r="T267" s="24">
        <f>IF(S266&gt;0,ROUND(T266+ROUND(ROUND(T266*100,0)*ROUND(Q$7*10000,0)/12000000,0)/100+0.02,2),0)</f>
        <v>0</v>
      </c>
      <c r="U267" s="24">
        <f>IF(W266&gt;0,IF(AND(ROUND(W266+V267-ROUND(U$6+IF(U$5=$C267,$E$5+$E267,0),2),2)&gt;0,ROUND(W266+V267-ROUND(U$6+IF(U$5=$C267,$E$5+$E267,0),2),2)&lt;=X267,ROUND(W266+V267-ROUND(U$6+IF(U$5=$C267,$E$5+$E267,0),2),2)*10&lt;=ROUND(U$6+IF(U$5=$C267,$E$5+$E267,0),2)),ROUND(W266+V267,2),MIN(ROUND(U$6+IF(U$5=$C267,$E$5+$E267,0),2),ROUND(W266+V267,2))),0)</f>
        <v>0</v>
      </c>
      <c r="V267" s="24">
        <f>IF(W266&gt;0,ROUND(ROUND(W266*100,0)*ROUND(U$7*10000,0)/12000000,0)/100,0)</f>
        <v>0</v>
      </c>
      <c r="W267" s="24">
        <f>IF(W266&gt;0,ROUND(W266+V267-U267,2),0)</f>
        <v>0</v>
      </c>
      <c r="X267" s="24">
        <f>IF(W266&gt;0,ROUND(X266+ROUND(ROUND(X266*100,0)*ROUND(U$7*10000,0)/12000000,0)/100+0.02,2),0)</f>
        <v>0</v>
      </c>
      <c r="Y267" s="24">
        <f>IF(AA266&gt;0,IF(AND(ROUND(AA266+Z267-ROUND(Y$6+IF(Y$5=$C267,$E$5+$E267,0),2),2)&gt;0,ROUND(AA266+Z267-ROUND(Y$6+IF(Y$5=$C267,$E$5+$E267,0),2),2)&lt;=AB267,ROUND(AA266+Z267-ROUND(Y$6+IF(Y$5=$C267,$E$5+$E267,0),2),2)*10&lt;=ROUND(Y$6+IF(Y$5=$C267,$E$5+$E267,0),2)),ROUND(AA266+Z267,2),MIN(ROUND(Y$6+IF(Y$5=$C267,$E$5+$E267,0),2),ROUND(AA266+Z267,2))),0)</f>
        <v>0</v>
      </c>
      <c r="Z267" s="24">
        <f>IF(AA266&gt;0,ROUND(ROUND(AA266*100,0)*ROUND(Y$7*10000,0)/12000000,0)/100,0)</f>
        <v>0</v>
      </c>
      <c r="AA267" s="24">
        <f>IF(AA266&gt;0,ROUND(AA266+Z267-Y267,2),0)</f>
        <v>0</v>
      </c>
      <c r="AB267" s="24">
        <f>IF(AA266&gt;0,ROUND(AB266+ROUND(ROUND(AB266*100,0)*ROUND(Y$7*10000,0)/12000000,0)/100+0.02,2),0)</f>
        <v>0</v>
      </c>
      <c r="AC267" s="24">
        <f>IF(AE266&gt;0,IF(AND(ROUND(AE266+AD267-ROUND(AC$6+IF(AC$5=$C267,$E$5+$E267,0),2),2)&gt;0,ROUND(AE266+AD267-ROUND(AC$6+IF(AC$5=$C267,$E$5+$E267,0),2),2)&lt;=AF267,ROUND(AE266+AD267-ROUND(AC$6+IF(AC$5=$C267,$E$5+$E267,0),2),2)*10&lt;=ROUND(AC$6+IF(AC$5=$C267,$E$5+$E267,0),2)),ROUND(AE266+AD267,2),MIN(ROUND(AC$6+IF(AC$5=$C267,$E$5+$E267,0),2),ROUND(AE266+AD267,2))),0)</f>
        <v>0</v>
      </c>
      <c r="AD267" s="24">
        <f>IF(AE266&gt;0,ROUND(ROUND(AE266*100,0)*ROUND(AC$7*10000,0)/12000000,0)/100,0)</f>
        <v>0</v>
      </c>
      <c r="AE267" s="24">
        <f>IF(AE266&gt;0,ROUND(AE266+AD267-AC267,2),0)</f>
        <v>0</v>
      </c>
      <c r="AF267" s="24">
        <f>IF(AE266&gt;0,ROUND(AF266+ROUND(ROUND(AF266*100,0)*ROUND(AC$7*10000,0)/12000000,0)/100+0.02,2),0)</f>
        <v>0</v>
      </c>
      <c r="AG267" s="24">
        <f>IF(AI266&gt;0,IF(AND(ROUND(AI266+AH267-ROUND(AG$6+IF(AG$5=$C267,$E$5+$E267,0),2),2)&gt;0,ROUND(AI266+AH267-ROUND(AG$6+IF(AG$5=$C267,$E$5+$E267,0),2),2)&lt;=AJ267,ROUND(AI266+AH267-ROUND(AG$6+IF(AG$5=$C267,$E$5+$E267,0),2),2)*10&lt;=ROUND(AG$6+IF(AG$5=$C267,$E$5+$E267,0),2)),ROUND(AI266+AH267,2),MIN(ROUND(AG$6+IF(AG$5=$C267,$E$5+$E267,0),2),ROUND(AI266+AH267,2))),0)</f>
        <v>0</v>
      </c>
      <c r="AH267" s="24">
        <f>IF(AI266&gt;0,ROUND(ROUND(AI266*100,0)*ROUND(AG$7*10000,0)/12000000,0)/100,0)</f>
        <v>0</v>
      </c>
      <c r="AI267" s="24">
        <f>IF(AI266&gt;0,ROUND(AI266+AH267-AG267,2),0)</f>
        <v>0</v>
      </c>
      <c r="AJ267" s="24">
        <f>IF(AI266&gt;0,ROUND(AJ266+ROUND(ROUND(AJ266*100,0)*ROUND(AG$7*10000,0)/12000000,0)/100+0.02,2),0)</f>
        <v>0</v>
      </c>
      <c r="AK267" s="24">
        <f>IF(AM266&gt;0,IF(AND(ROUND(AM266+AL267-ROUND(AK$6+IF(AK$5=$C267,$E$5+$E267,0),2),2)&gt;0,ROUND(AM266+AL267-ROUND(AK$6+IF(AK$5=$C267,$E$5+$E267,0),2),2)&lt;=AN267,ROUND(AM266+AL267-ROUND(AK$6+IF(AK$5=$C267,$E$5+$E267,0),2),2)*10&lt;=ROUND(AK$6+IF(AK$5=$C267,$E$5+$E267,0),2)),ROUND(AM266+AL267,2),MIN(ROUND(AK$6+IF(AK$5=$C267,$E$5+$E267,0),2),ROUND(AM266+AL267,2))),0)</f>
        <v>0</v>
      </c>
      <c r="AL267" s="24">
        <f>IF(AM266&gt;0,ROUND(ROUND(AM266*100,0)*ROUND(AK$7*10000,0)/12000000,0)/100,0)</f>
        <v>0</v>
      </c>
      <c r="AM267" s="24">
        <f>IF(AM266&gt;0,ROUND(AM266+AL267-AK267,2),0)</f>
        <v>0</v>
      </c>
      <c r="AN267" s="24">
        <f>IF(AM266&gt;0,ROUND(AN266+ROUND(ROUND(AN266*100,0)*ROUND(AK$7*10000,0)/12000000,0)/100+0.02,2),0)</f>
        <v>0</v>
      </c>
      <c r="AO267" s="24">
        <f>IF(AQ266&gt;0,IF(AND(ROUND(AQ266+AP267-ROUND(AO$6+IF(AO$5=$C267,$E$5+$E267,0),2),2)&gt;0,ROUND(AQ266+AP267-ROUND(AO$6+IF(AO$5=$C267,$E$5+$E267,0),2),2)&lt;=AR267,ROUND(AQ266+AP267-ROUND(AO$6+IF(AO$5=$C267,$E$5+$E267,0),2),2)*10&lt;=ROUND(AO$6+IF(AO$5=$C267,$E$5+$E267,0),2)),ROUND(AQ266+AP267,2),MIN(ROUND(AO$6+IF(AO$5=$C267,$E$5+$E267,0),2),ROUND(AQ266+AP267,2))),0)</f>
        <v>0</v>
      </c>
      <c r="AP267" s="24">
        <f>IF(AQ266&gt;0,ROUND(ROUND(AQ266*100,0)*ROUND(AO$7*10000,0)/12000000,0)/100,0)</f>
        <v>0</v>
      </c>
      <c r="AQ267" s="24">
        <f>IF(AQ266&gt;0,ROUND(AQ266+AP267-AO267,2),0)</f>
        <v>0</v>
      </c>
      <c r="AR267" s="24">
        <f>IF(AQ266&gt;0,ROUND(AR266+ROUND(ROUND(AR266*100,0)*ROUND(AO$7*10000,0)/12000000,0)/100+0.02,2),0)</f>
        <v>0</v>
      </c>
      <c r="AS267" s="24">
        <f>IF(AU266&gt;0,IF(AND(ROUND(AU266+AT267-ROUND(AS$6+IF(AS$5=$C267,$E$5+$E267,0),2),2)&gt;0,ROUND(AU266+AT267-ROUND(AS$6+IF(AS$5=$C267,$E$5+$E267,0),2),2)&lt;=AV267,ROUND(AU266+AT267-ROUND(AS$6+IF(AS$5=$C267,$E$5+$E267,0),2),2)*10&lt;=ROUND(AS$6+IF(AS$5=$C267,$E$5+$E267,0),2)),ROUND(AU266+AT267,2),MIN(ROUND(AS$6+IF(AS$5=$C267,$E$5+$E267,0),2),ROUND(AU266+AT267,2))),0)</f>
        <v>0</v>
      </c>
      <c r="AT267" s="24">
        <f>IF(AU266&gt;0,ROUND(ROUND(AU266*100,0)*ROUND(AS$7*10000,0)/12000000,0)/100,0)</f>
        <v>0</v>
      </c>
      <c r="AU267" s="24">
        <f>IF(AU266&gt;0,ROUND(AU266+AT267-AS267,2),0)</f>
        <v>0</v>
      </c>
      <c r="AV267" s="24">
        <f>IF(AU266&gt;0,ROUND(AV266+ROUND(ROUND(AV266*100,0)*ROUND(AS$7*10000,0)/12000000,0)/100+0.02,2),0)</f>
        <v>0</v>
      </c>
    </row>
    <row r="268" spans="1:48" x14ac:dyDescent="0.25">
      <c r="A268" s="17" t="str">
        <f>IF(F268&gt;0,258,"")</f>
        <v/>
      </c>
      <c r="B268" s="18" t="str">
        <f>IF(F268&gt;0,EDATE($E$6,258),"")</f>
        <v/>
      </c>
      <c r="C268" s="21">
        <f>IF(H267&gt;0,MIN(IF(K267&gt;0,I$5,99),IF(O267&gt;0,M$5,99),IF(S267&gt;0,Q$5,99),IF(W267&gt;0,U$5,99),IF(AA267&gt;0,Y$5,99),IF(AE267&gt;0,AC$5,99),IF(AI267&gt;0,AG$5,99),IF(AM267&gt;0,AK$5,99),IF(AQ267&gt;0,AO$5,99),IF(AU267&gt;0,AS$5,99)),0)</f>
        <v>0</v>
      </c>
      <c r="D268" t="str">
        <f>IF(C268&gt;0,INDEX($I$4:$AV$4,1,MATCH(C268,$I$5:$AV$5,0)),"")</f>
        <v/>
      </c>
      <c r="E268" s="24">
        <f>ROUND(IF(AND(I$8&gt;0,K267=0),I$6,0)+IF(AND(M$8&gt;0,O267=0),M$6,0)+IF(AND(Q$8&gt;0,S267=0),Q$6,0)+IF(AND(U$8&gt;0,W267=0),U$6,0)+IF(AND(Y$8&gt;0,AA267=0),Y$6,0)+IF(AND(AC$8&gt;0,AE267=0),AC$6,0)+IF(AND(AG$8&gt;0,AI267=0),AG$6,0)+IF(AND(AK$8&gt;0,AM267=0),AK$6,0)+IF(AND(AO$8&gt;0,AQ267=0),AO$6,0)+IF(AND(AS$8&gt;0,AU267=0),AS$6,0),2)</f>
        <v>325</v>
      </c>
      <c r="F268" s="24">
        <f>ROUND(I268+M268+Q268+U268+Y268+AC268+AG268+AK268+AO268+AS268,2)</f>
        <v>0</v>
      </c>
      <c r="G268" s="24">
        <f>ROUND(J268+N268+R268+V268+Z268+AD268+AH268+AL268+AP268+AT268,2)</f>
        <v>0</v>
      </c>
      <c r="H268" s="24">
        <f>ROUND(K268+O268+S268+W268+AA268+AE268+AI268+AM268+AQ268+AU268,2)</f>
        <v>0</v>
      </c>
      <c r="I268" s="24">
        <f>IF(K267&gt;0,IF(AND(ROUND(K267+J268-ROUND(I$6+IF(I$5=$C268,$E$5+$E268,0),2),2)&gt;0,ROUND(K267+J268-ROUND(I$6+IF(I$5=$C268,$E$5+$E268,0),2),2)&lt;=L268,ROUND(K267+J268-ROUND(I$6+IF(I$5=$C268,$E$5+$E268,0),2),2)*10&lt;=ROUND(I$6+IF(I$5=$C268,$E$5+$E268,0),2)),ROUND(K267+J268,2),MIN(ROUND(I$6+IF(I$5=$C268,$E$5+$E268,0),2),ROUND(K267+J268,2))),0)</f>
        <v>0</v>
      </c>
      <c r="J268" s="24">
        <f>IF(K267&gt;0,ROUND(ROUND(K267*100,0)*ROUND(I$7*10000,0)/12000000,0)/100,0)</f>
        <v>0</v>
      </c>
      <c r="K268" s="24">
        <f>IF(K267&gt;0,ROUND(K267+J268-I268,2),0)</f>
        <v>0</v>
      </c>
      <c r="L268" s="24">
        <f>IF(K267&gt;0,ROUND(L267+ROUND(ROUND(L267*100,0)*ROUND(I$7*10000,0)/12000000,0)/100+0.02,2),0)</f>
        <v>0</v>
      </c>
      <c r="M268" s="24">
        <f>IF(O267&gt;0,IF(AND(ROUND(O267+N268-ROUND(M$6+IF(M$5=$C268,$E$5+$E268,0),2),2)&gt;0,ROUND(O267+N268-ROUND(M$6+IF(M$5=$C268,$E$5+$E268,0),2),2)&lt;=P268,ROUND(O267+N268-ROUND(M$6+IF(M$5=$C268,$E$5+$E268,0),2),2)*10&lt;=ROUND(M$6+IF(M$5=$C268,$E$5+$E268,0),2)),ROUND(O267+N268,2),MIN(ROUND(M$6+IF(M$5=$C268,$E$5+$E268,0),2),ROUND(O267+N268,2))),0)</f>
        <v>0</v>
      </c>
      <c r="N268" s="24">
        <f>IF(O267&gt;0,ROUND(ROUND(O267*100,0)*ROUND(M$7*10000,0)/12000000,0)/100,0)</f>
        <v>0</v>
      </c>
      <c r="O268" s="24">
        <f>IF(O267&gt;0,ROUND(O267+N268-M268,2),0)</f>
        <v>0</v>
      </c>
      <c r="P268" s="24">
        <f>IF(O267&gt;0,ROUND(P267+ROUND(ROUND(P267*100,0)*ROUND(M$7*10000,0)/12000000,0)/100+0.02,2),0)</f>
        <v>0</v>
      </c>
      <c r="Q268" s="24">
        <f>IF(S267&gt;0,IF(AND(ROUND(S267+R268-ROUND(Q$6+IF(Q$5=$C268,$E$5+$E268,0),2),2)&gt;0,ROUND(S267+R268-ROUND(Q$6+IF(Q$5=$C268,$E$5+$E268,0),2),2)&lt;=T268,ROUND(S267+R268-ROUND(Q$6+IF(Q$5=$C268,$E$5+$E268,0),2),2)*10&lt;=ROUND(Q$6+IF(Q$5=$C268,$E$5+$E268,0),2)),ROUND(S267+R268,2),MIN(ROUND(Q$6+IF(Q$5=$C268,$E$5+$E268,0),2),ROUND(S267+R268,2))),0)</f>
        <v>0</v>
      </c>
      <c r="R268" s="24">
        <f>IF(S267&gt;0,ROUND(ROUND(S267*100,0)*ROUND(Q$7*10000,0)/12000000,0)/100,0)</f>
        <v>0</v>
      </c>
      <c r="S268" s="24">
        <f>IF(S267&gt;0,ROUND(S267+R268-Q268,2),0)</f>
        <v>0</v>
      </c>
      <c r="T268" s="24">
        <f>IF(S267&gt;0,ROUND(T267+ROUND(ROUND(T267*100,0)*ROUND(Q$7*10000,0)/12000000,0)/100+0.02,2),0)</f>
        <v>0</v>
      </c>
      <c r="U268" s="24">
        <f>IF(W267&gt;0,IF(AND(ROUND(W267+V268-ROUND(U$6+IF(U$5=$C268,$E$5+$E268,0),2),2)&gt;0,ROUND(W267+V268-ROUND(U$6+IF(U$5=$C268,$E$5+$E268,0),2),2)&lt;=X268,ROUND(W267+V268-ROUND(U$6+IF(U$5=$C268,$E$5+$E268,0),2),2)*10&lt;=ROUND(U$6+IF(U$5=$C268,$E$5+$E268,0),2)),ROUND(W267+V268,2),MIN(ROUND(U$6+IF(U$5=$C268,$E$5+$E268,0),2),ROUND(W267+V268,2))),0)</f>
        <v>0</v>
      </c>
      <c r="V268" s="24">
        <f>IF(W267&gt;0,ROUND(ROUND(W267*100,0)*ROUND(U$7*10000,0)/12000000,0)/100,0)</f>
        <v>0</v>
      </c>
      <c r="W268" s="24">
        <f>IF(W267&gt;0,ROUND(W267+V268-U268,2),0)</f>
        <v>0</v>
      </c>
      <c r="X268" s="24">
        <f>IF(W267&gt;0,ROUND(X267+ROUND(ROUND(X267*100,0)*ROUND(U$7*10000,0)/12000000,0)/100+0.02,2),0)</f>
        <v>0</v>
      </c>
      <c r="Y268" s="24">
        <f>IF(AA267&gt;0,IF(AND(ROUND(AA267+Z268-ROUND(Y$6+IF(Y$5=$C268,$E$5+$E268,0),2),2)&gt;0,ROUND(AA267+Z268-ROUND(Y$6+IF(Y$5=$C268,$E$5+$E268,0),2),2)&lt;=AB268,ROUND(AA267+Z268-ROUND(Y$6+IF(Y$5=$C268,$E$5+$E268,0),2),2)*10&lt;=ROUND(Y$6+IF(Y$5=$C268,$E$5+$E268,0),2)),ROUND(AA267+Z268,2),MIN(ROUND(Y$6+IF(Y$5=$C268,$E$5+$E268,0),2),ROUND(AA267+Z268,2))),0)</f>
        <v>0</v>
      </c>
      <c r="Z268" s="24">
        <f>IF(AA267&gt;0,ROUND(ROUND(AA267*100,0)*ROUND(Y$7*10000,0)/12000000,0)/100,0)</f>
        <v>0</v>
      </c>
      <c r="AA268" s="24">
        <f>IF(AA267&gt;0,ROUND(AA267+Z268-Y268,2),0)</f>
        <v>0</v>
      </c>
      <c r="AB268" s="24">
        <f>IF(AA267&gt;0,ROUND(AB267+ROUND(ROUND(AB267*100,0)*ROUND(Y$7*10000,0)/12000000,0)/100+0.02,2),0)</f>
        <v>0</v>
      </c>
      <c r="AC268" s="24">
        <f>IF(AE267&gt;0,IF(AND(ROUND(AE267+AD268-ROUND(AC$6+IF(AC$5=$C268,$E$5+$E268,0),2),2)&gt;0,ROUND(AE267+AD268-ROUND(AC$6+IF(AC$5=$C268,$E$5+$E268,0),2),2)&lt;=AF268,ROUND(AE267+AD268-ROUND(AC$6+IF(AC$5=$C268,$E$5+$E268,0),2),2)*10&lt;=ROUND(AC$6+IF(AC$5=$C268,$E$5+$E268,0),2)),ROUND(AE267+AD268,2),MIN(ROUND(AC$6+IF(AC$5=$C268,$E$5+$E268,0),2),ROUND(AE267+AD268,2))),0)</f>
        <v>0</v>
      </c>
      <c r="AD268" s="24">
        <f>IF(AE267&gt;0,ROUND(ROUND(AE267*100,0)*ROUND(AC$7*10000,0)/12000000,0)/100,0)</f>
        <v>0</v>
      </c>
      <c r="AE268" s="24">
        <f>IF(AE267&gt;0,ROUND(AE267+AD268-AC268,2),0)</f>
        <v>0</v>
      </c>
      <c r="AF268" s="24">
        <f>IF(AE267&gt;0,ROUND(AF267+ROUND(ROUND(AF267*100,0)*ROUND(AC$7*10000,0)/12000000,0)/100+0.02,2),0)</f>
        <v>0</v>
      </c>
      <c r="AG268" s="24">
        <f>IF(AI267&gt;0,IF(AND(ROUND(AI267+AH268-ROUND(AG$6+IF(AG$5=$C268,$E$5+$E268,0),2),2)&gt;0,ROUND(AI267+AH268-ROUND(AG$6+IF(AG$5=$C268,$E$5+$E268,0),2),2)&lt;=AJ268,ROUND(AI267+AH268-ROUND(AG$6+IF(AG$5=$C268,$E$5+$E268,0),2),2)*10&lt;=ROUND(AG$6+IF(AG$5=$C268,$E$5+$E268,0),2)),ROUND(AI267+AH268,2),MIN(ROUND(AG$6+IF(AG$5=$C268,$E$5+$E268,0),2),ROUND(AI267+AH268,2))),0)</f>
        <v>0</v>
      </c>
      <c r="AH268" s="24">
        <f>IF(AI267&gt;0,ROUND(ROUND(AI267*100,0)*ROUND(AG$7*10000,0)/12000000,0)/100,0)</f>
        <v>0</v>
      </c>
      <c r="AI268" s="24">
        <f>IF(AI267&gt;0,ROUND(AI267+AH268-AG268,2),0)</f>
        <v>0</v>
      </c>
      <c r="AJ268" s="24">
        <f>IF(AI267&gt;0,ROUND(AJ267+ROUND(ROUND(AJ267*100,0)*ROUND(AG$7*10000,0)/12000000,0)/100+0.02,2),0)</f>
        <v>0</v>
      </c>
      <c r="AK268" s="24">
        <f>IF(AM267&gt;0,IF(AND(ROUND(AM267+AL268-ROUND(AK$6+IF(AK$5=$C268,$E$5+$E268,0),2),2)&gt;0,ROUND(AM267+AL268-ROUND(AK$6+IF(AK$5=$C268,$E$5+$E268,0),2),2)&lt;=AN268,ROUND(AM267+AL268-ROUND(AK$6+IF(AK$5=$C268,$E$5+$E268,0),2),2)*10&lt;=ROUND(AK$6+IF(AK$5=$C268,$E$5+$E268,0),2)),ROUND(AM267+AL268,2),MIN(ROUND(AK$6+IF(AK$5=$C268,$E$5+$E268,0),2),ROUND(AM267+AL268,2))),0)</f>
        <v>0</v>
      </c>
      <c r="AL268" s="24">
        <f>IF(AM267&gt;0,ROUND(ROUND(AM267*100,0)*ROUND(AK$7*10000,0)/12000000,0)/100,0)</f>
        <v>0</v>
      </c>
      <c r="AM268" s="24">
        <f>IF(AM267&gt;0,ROUND(AM267+AL268-AK268,2),0)</f>
        <v>0</v>
      </c>
      <c r="AN268" s="24">
        <f>IF(AM267&gt;0,ROUND(AN267+ROUND(ROUND(AN267*100,0)*ROUND(AK$7*10000,0)/12000000,0)/100+0.02,2),0)</f>
        <v>0</v>
      </c>
      <c r="AO268" s="24">
        <f>IF(AQ267&gt;0,IF(AND(ROUND(AQ267+AP268-ROUND(AO$6+IF(AO$5=$C268,$E$5+$E268,0),2),2)&gt;0,ROUND(AQ267+AP268-ROUND(AO$6+IF(AO$5=$C268,$E$5+$E268,0),2),2)&lt;=AR268,ROUND(AQ267+AP268-ROUND(AO$6+IF(AO$5=$C268,$E$5+$E268,0),2),2)*10&lt;=ROUND(AO$6+IF(AO$5=$C268,$E$5+$E268,0),2)),ROUND(AQ267+AP268,2),MIN(ROUND(AO$6+IF(AO$5=$C268,$E$5+$E268,0),2),ROUND(AQ267+AP268,2))),0)</f>
        <v>0</v>
      </c>
      <c r="AP268" s="24">
        <f>IF(AQ267&gt;0,ROUND(ROUND(AQ267*100,0)*ROUND(AO$7*10000,0)/12000000,0)/100,0)</f>
        <v>0</v>
      </c>
      <c r="AQ268" s="24">
        <f>IF(AQ267&gt;0,ROUND(AQ267+AP268-AO268,2),0)</f>
        <v>0</v>
      </c>
      <c r="AR268" s="24">
        <f>IF(AQ267&gt;0,ROUND(AR267+ROUND(ROUND(AR267*100,0)*ROUND(AO$7*10000,0)/12000000,0)/100+0.02,2),0)</f>
        <v>0</v>
      </c>
      <c r="AS268" s="24">
        <f>IF(AU267&gt;0,IF(AND(ROUND(AU267+AT268-ROUND(AS$6+IF(AS$5=$C268,$E$5+$E268,0),2),2)&gt;0,ROUND(AU267+AT268-ROUND(AS$6+IF(AS$5=$C268,$E$5+$E268,0),2),2)&lt;=AV268,ROUND(AU267+AT268-ROUND(AS$6+IF(AS$5=$C268,$E$5+$E268,0),2),2)*10&lt;=ROUND(AS$6+IF(AS$5=$C268,$E$5+$E268,0),2)),ROUND(AU267+AT268,2),MIN(ROUND(AS$6+IF(AS$5=$C268,$E$5+$E268,0),2),ROUND(AU267+AT268,2))),0)</f>
        <v>0</v>
      </c>
      <c r="AT268" s="24">
        <f>IF(AU267&gt;0,ROUND(ROUND(AU267*100,0)*ROUND(AS$7*10000,0)/12000000,0)/100,0)</f>
        <v>0</v>
      </c>
      <c r="AU268" s="24">
        <f>IF(AU267&gt;0,ROUND(AU267+AT268-AS268,2),0)</f>
        <v>0</v>
      </c>
      <c r="AV268" s="24">
        <f>IF(AU267&gt;0,ROUND(AV267+ROUND(ROUND(AV267*100,0)*ROUND(AS$7*10000,0)/12000000,0)/100+0.02,2),0)</f>
        <v>0</v>
      </c>
    </row>
    <row r="269" spans="1:48" x14ac:dyDescent="0.25">
      <c r="A269" s="17" t="str">
        <f>IF(F269&gt;0,259,"")</f>
        <v/>
      </c>
      <c r="B269" s="18" t="str">
        <f>IF(F269&gt;0,EDATE($E$6,259),"")</f>
        <v/>
      </c>
      <c r="C269" s="21">
        <f>IF(H268&gt;0,MIN(IF(K268&gt;0,I$5,99),IF(O268&gt;0,M$5,99),IF(S268&gt;0,Q$5,99),IF(W268&gt;0,U$5,99),IF(AA268&gt;0,Y$5,99),IF(AE268&gt;0,AC$5,99),IF(AI268&gt;0,AG$5,99),IF(AM268&gt;0,AK$5,99),IF(AQ268&gt;0,AO$5,99),IF(AU268&gt;0,AS$5,99)),0)</f>
        <v>0</v>
      </c>
      <c r="D269" t="str">
        <f>IF(C269&gt;0,INDEX($I$4:$AV$4,1,MATCH(C269,$I$5:$AV$5,0)),"")</f>
        <v/>
      </c>
      <c r="E269" s="24">
        <f>ROUND(IF(AND(I$8&gt;0,K268=0),I$6,0)+IF(AND(M$8&gt;0,O268=0),M$6,0)+IF(AND(Q$8&gt;0,S268=0),Q$6,0)+IF(AND(U$8&gt;0,W268=0),U$6,0)+IF(AND(Y$8&gt;0,AA268=0),Y$6,0)+IF(AND(AC$8&gt;0,AE268=0),AC$6,0)+IF(AND(AG$8&gt;0,AI268=0),AG$6,0)+IF(AND(AK$8&gt;0,AM268=0),AK$6,0)+IF(AND(AO$8&gt;0,AQ268=0),AO$6,0)+IF(AND(AS$8&gt;0,AU268=0),AS$6,0),2)</f>
        <v>325</v>
      </c>
      <c r="F269" s="24">
        <f>ROUND(I269+M269+Q269+U269+Y269+AC269+AG269+AK269+AO269+AS269,2)</f>
        <v>0</v>
      </c>
      <c r="G269" s="24">
        <f>ROUND(J269+N269+R269+V269+Z269+AD269+AH269+AL269+AP269+AT269,2)</f>
        <v>0</v>
      </c>
      <c r="H269" s="24">
        <f>ROUND(K269+O269+S269+W269+AA269+AE269+AI269+AM269+AQ269+AU269,2)</f>
        <v>0</v>
      </c>
      <c r="I269" s="24">
        <f>IF(K268&gt;0,IF(AND(ROUND(K268+J269-ROUND(I$6+IF(I$5=$C269,$E$5+$E269,0),2),2)&gt;0,ROUND(K268+J269-ROUND(I$6+IF(I$5=$C269,$E$5+$E269,0),2),2)&lt;=L269,ROUND(K268+J269-ROUND(I$6+IF(I$5=$C269,$E$5+$E269,0),2),2)*10&lt;=ROUND(I$6+IF(I$5=$C269,$E$5+$E269,0),2)),ROUND(K268+J269,2),MIN(ROUND(I$6+IF(I$5=$C269,$E$5+$E269,0),2),ROUND(K268+J269,2))),0)</f>
        <v>0</v>
      </c>
      <c r="J269" s="24">
        <f>IF(K268&gt;0,ROUND(ROUND(K268*100,0)*ROUND(I$7*10000,0)/12000000,0)/100,0)</f>
        <v>0</v>
      </c>
      <c r="K269" s="24">
        <f>IF(K268&gt;0,ROUND(K268+J269-I269,2),0)</f>
        <v>0</v>
      </c>
      <c r="L269" s="24">
        <f>IF(K268&gt;0,ROUND(L268+ROUND(ROUND(L268*100,0)*ROUND(I$7*10000,0)/12000000,0)/100+0.02,2),0)</f>
        <v>0</v>
      </c>
      <c r="M269" s="24">
        <f>IF(O268&gt;0,IF(AND(ROUND(O268+N269-ROUND(M$6+IF(M$5=$C269,$E$5+$E269,0),2),2)&gt;0,ROUND(O268+N269-ROUND(M$6+IF(M$5=$C269,$E$5+$E269,0),2),2)&lt;=P269,ROUND(O268+N269-ROUND(M$6+IF(M$5=$C269,$E$5+$E269,0),2),2)*10&lt;=ROUND(M$6+IF(M$5=$C269,$E$5+$E269,0),2)),ROUND(O268+N269,2),MIN(ROUND(M$6+IF(M$5=$C269,$E$5+$E269,0),2),ROUND(O268+N269,2))),0)</f>
        <v>0</v>
      </c>
      <c r="N269" s="24">
        <f>IF(O268&gt;0,ROUND(ROUND(O268*100,0)*ROUND(M$7*10000,0)/12000000,0)/100,0)</f>
        <v>0</v>
      </c>
      <c r="O269" s="24">
        <f>IF(O268&gt;0,ROUND(O268+N269-M269,2),0)</f>
        <v>0</v>
      </c>
      <c r="P269" s="24">
        <f>IF(O268&gt;0,ROUND(P268+ROUND(ROUND(P268*100,0)*ROUND(M$7*10000,0)/12000000,0)/100+0.02,2),0)</f>
        <v>0</v>
      </c>
      <c r="Q269" s="24">
        <f>IF(S268&gt;0,IF(AND(ROUND(S268+R269-ROUND(Q$6+IF(Q$5=$C269,$E$5+$E269,0),2),2)&gt;0,ROUND(S268+R269-ROUND(Q$6+IF(Q$5=$C269,$E$5+$E269,0),2),2)&lt;=T269,ROUND(S268+R269-ROUND(Q$6+IF(Q$5=$C269,$E$5+$E269,0),2),2)*10&lt;=ROUND(Q$6+IF(Q$5=$C269,$E$5+$E269,0),2)),ROUND(S268+R269,2),MIN(ROUND(Q$6+IF(Q$5=$C269,$E$5+$E269,0),2),ROUND(S268+R269,2))),0)</f>
        <v>0</v>
      </c>
      <c r="R269" s="24">
        <f>IF(S268&gt;0,ROUND(ROUND(S268*100,0)*ROUND(Q$7*10000,0)/12000000,0)/100,0)</f>
        <v>0</v>
      </c>
      <c r="S269" s="24">
        <f>IF(S268&gt;0,ROUND(S268+R269-Q269,2),0)</f>
        <v>0</v>
      </c>
      <c r="T269" s="24">
        <f>IF(S268&gt;0,ROUND(T268+ROUND(ROUND(T268*100,0)*ROUND(Q$7*10000,0)/12000000,0)/100+0.02,2),0)</f>
        <v>0</v>
      </c>
      <c r="U269" s="24">
        <f>IF(W268&gt;0,IF(AND(ROUND(W268+V269-ROUND(U$6+IF(U$5=$C269,$E$5+$E269,0),2),2)&gt;0,ROUND(W268+V269-ROUND(U$6+IF(U$5=$C269,$E$5+$E269,0),2),2)&lt;=X269,ROUND(W268+V269-ROUND(U$6+IF(U$5=$C269,$E$5+$E269,0),2),2)*10&lt;=ROUND(U$6+IF(U$5=$C269,$E$5+$E269,0),2)),ROUND(W268+V269,2),MIN(ROUND(U$6+IF(U$5=$C269,$E$5+$E269,0),2),ROUND(W268+V269,2))),0)</f>
        <v>0</v>
      </c>
      <c r="V269" s="24">
        <f>IF(W268&gt;0,ROUND(ROUND(W268*100,0)*ROUND(U$7*10000,0)/12000000,0)/100,0)</f>
        <v>0</v>
      </c>
      <c r="W269" s="24">
        <f>IF(W268&gt;0,ROUND(W268+V269-U269,2),0)</f>
        <v>0</v>
      </c>
      <c r="X269" s="24">
        <f>IF(W268&gt;0,ROUND(X268+ROUND(ROUND(X268*100,0)*ROUND(U$7*10000,0)/12000000,0)/100+0.02,2),0)</f>
        <v>0</v>
      </c>
      <c r="Y269" s="24">
        <f>IF(AA268&gt;0,IF(AND(ROUND(AA268+Z269-ROUND(Y$6+IF(Y$5=$C269,$E$5+$E269,0),2),2)&gt;0,ROUND(AA268+Z269-ROUND(Y$6+IF(Y$5=$C269,$E$5+$E269,0),2),2)&lt;=AB269,ROUND(AA268+Z269-ROUND(Y$6+IF(Y$5=$C269,$E$5+$E269,0),2),2)*10&lt;=ROUND(Y$6+IF(Y$5=$C269,$E$5+$E269,0),2)),ROUND(AA268+Z269,2),MIN(ROUND(Y$6+IF(Y$5=$C269,$E$5+$E269,0),2),ROUND(AA268+Z269,2))),0)</f>
        <v>0</v>
      </c>
      <c r="Z269" s="24">
        <f>IF(AA268&gt;0,ROUND(ROUND(AA268*100,0)*ROUND(Y$7*10000,0)/12000000,0)/100,0)</f>
        <v>0</v>
      </c>
      <c r="AA269" s="24">
        <f>IF(AA268&gt;0,ROUND(AA268+Z269-Y269,2),0)</f>
        <v>0</v>
      </c>
      <c r="AB269" s="24">
        <f>IF(AA268&gt;0,ROUND(AB268+ROUND(ROUND(AB268*100,0)*ROUND(Y$7*10000,0)/12000000,0)/100+0.02,2),0)</f>
        <v>0</v>
      </c>
      <c r="AC269" s="24">
        <f>IF(AE268&gt;0,IF(AND(ROUND(AE268+AD269-ROUND(AC$6+IF(AC$5=$C269,$E$5+$E269,0),2),2)&gt;0,ROUND(AE268+AD269-ROUND(AC$6+IF(AC$5=$C269,$E$5+$E269,0),2),2)&lt;=AF269,ROUND(AE268+AD269-ROUND(AC$6+IF(AC$5=$C269,$E$5+$E269,0),2),2)*10&lt;=ROUND(AC$6+IF(AC$5=$C269,$E$5+$E269,0),2)),ROUND(AE268+AD269,2),MIN(ROUND(AC$6+IF(AC$5=$C269,$E$5+$E269,0),2),ROUND(AE268+AD269,2))),0)</f>
        <v>0</v>
      </c>
      <c r="AD269" s="24">
        <f>IF(AE268&gt;0,ROUND(ROUND(AE268*100,0)*ROUND(AC$7*10000,0)/12000000,0)/100,0)</f>
        <v>0</v>
      </c>
      <c r="AE269" s="24">
        <f>IF(AE268&gt;0,ROUND(AE268+AD269-AC269,2),0)</f>
        <v>0</v>
      </c>
      <c r="AF269" s="24">
        <f>IF(AE268&gt;0,ROUND(AF268+ROUND(ROUND(AF268*100,0)*ROUND(AC$7*10000,0)/12000000,0)/100+0.02,2),0)</f>
        <v>0</v>
      </c>
      <c r="AG269" s="24">
        <f>IF(AI268&gt;0,IF(AND(ROUND(AI268+AH269-ROUND(AG$6+IF(AG$5=$C269,$E$5+$E269,0),2),2)&gt;0,ROUND(AI268+AH269-ROUND(AG$6+IF(AG$5=$C269,$E$5+$E269,0),2),2)&lt;=AJ269,ROUND(AI268+AH269-ROUND(AG$6+IF(AG$5=$C269,$E$5+$E269,0),2),2)*10&lt;=ROUND(AG$6+IF(AG$5=$C269,$E$5+$E269,0),2)),ROUND(AI268+AH269,2),MIN(ROUND(AG$6+IF(AG$5=$C269,$E$5+$E269,0),2),ROUND(AI268+AH269,2))),0)</f>
        <v>0</v>
      </c>
      <c r="AH269" s="24">
        <f>IF(AI268&gt;0,ROUND(ROUND(AI268*100,0)*ROUND(AG$7*10000,0)/12000000,0)/100,0)</f>
        <v>0</v>
      </c>
      <c r="AI269" s="24">
        <f>IF(AI268&gt;0,ROUND(AI268+AH269-AG269,2),0)</f>
        <v>0</v>
      </c>
      <c r="AJ269" s="24">
        <f>IF(AI268&gt;0,ROUND(AJ268+ROUND(ROUND(AJ268*100,0)*ROUND(AG$7*10000,0)/12000000,0)/100+0.02,2),0)</f>
        <v>0</v>
      </c>
      <c r="AK269" s="24">
        <f>IF(AM268&gt;0,IF(AND(ROUND(AM268+AL269-ROUND(AK$6+IF(AK$5=$C269,$E$5+$E269,0),2),2)&gt;0,ROUND(AM268+AL269-ROUND(AK$6+IF(AK$5=$C269,$E$5+$E269,0),2),2)&lt;=AN269,ROUND(AM268+AL269-ROUND(AK$6+IF(AK$5=$C269,$E$5+$E269,0),2),2)*10&lt;=ROUND(AK$6+IF(AK$5=$C269,$E$5+$E269,0),2)),ROUND(AM268+AL269,2),MIN(ROUND(AK$6+IF(AK$5=$C269,$E$5+$E269,0),2),ROUND(AM268+AL269,2))),0)</f>
        <v>0</v>
      </c>
      <c r="AL269" s="24">
        <f>IF(AM268&gt;0,ROUND(ROUND(AM268*100,0)*ROUND(AK$7*10000,0)/12000000,0)/100,0)</f>
        <v>0</v>
      </c>
      <c r="AM269" s="24">
        <f>IF(AM268&gt;0,ROUND(AM268+AL269-AK269,2),0)</f>
        <v>0</v>
      </c>
      <c r="AN269" s="24">
        <f>IF(AM268&gt;0,ROUND(AN268+ROUND(ROUND(AN268*100,0)*ROUND(AK$7*10000,0)/12000000,0)/100+0.02,2),0)</f>
        <v>0</v>
      </c>
      <c r="AO269" s="24">
        <f>IF(AQ268&gt;0,IF(AND(ROUND(AQ268+AP269-ROUND(AO$6+IF(AO$5=$C269,$E$5+$E269,0),2),2)&gt;0,ROUND(AQ268+AP269-ROUND(AO$6+IF(AO$5=$C269,$E$5+$E269,0),2),2)&lt;=AR269,ROUND(AQ268+AP269-ROUND(AO$6+IF(AO$5=$C269,$E$5+$E269,0),2),2)*10&lt;=ROUND(AO$6+IF(AO$5=$C269,$E$5+$E269,0),2)),ROUND(AQ268+AP269,2),MIN(ROUND(AO$6+IF(AO$5=$C269,$E$5+$E269,0),2),ROUND(AQ268+AP269,2))),0)</f>
        <v>0</v>
      </c>
      <c r="AP269" s="24">
        <f>IF(AQ268&gt;0,ROUND(ROUND(AQ268*100,0)*ROUND(AO$7*10000,0)/12000000,0)/100,0)</f>
        <v>0</v>
      </c>
      <c r="AQ269" s="24">
        <f>IF(AQ268&gt;0,ROUND(AQ268+AP269-AO269,2),0)</f>
        <v>0</v>
      </c>
      <c r="AR269" s="24">
        <f>IF(AQ268&gt;0,ROUND(AR268+ROUND(ROUND(AR268*100,0)*ROUND(AO$7*10000,0)/12000000,0)/100+0.02,2),0)</f>
        <v>0</v>
      </c>
      <c r="AS269" s="24">
        <f>IF(AU268&gt;0,IF(AND(ROUND(AU268+AT269-ROUND(AS$6+IF(AS$5=$C269,$E$5+$E269,0),2),2)&gt;0,ROUND(AU268+AT269-ROUND(AS$6+IF(AS$5=$C269,$E$5+$E269,0),2),2)&lt;=AV269,ROUND(AU268+AT269-ROUND(AS$6+IF(AS$5=$C269,$E$5+$E269,0),2),2)*10&lt;=ROUND(AS$6+IF(AS$5=$C269,$E$5+$E269,0),2)),ROUND(AU268+AT269,2),MIN(ROUND(AS$6+IF(AS$5=$C269,$E$5+$E269,0),2),ROUND(AU268+AT269,2))),0)</f>
        <v>0</v>
      </c>
      <c r="AT269" s="24">
        <f>IF(AU268&gt;0,ROUND(ROUND(AU268*100,0)*ROUND(AS$7*10000,0)/12000000,0)/100,0)</f>
        <v>0</v>
      </c>
      <c r="AU269" s="24">
        <f>IF(AU268&gt;0,ROUND(AU268+AT269-AS269,2),0)</f>
        <v>0</v>
      </c>
      <c r="AV269" s="24">
        <f>IF(AU268&gt;0,ROUND(AV268+ROUND(ROUND(AV268*100,0)*ROUND(AS$7*10000,0)/12000000,0)/100+0.02,2),0)</f>
        <v>0</v>
      </c>
    </row>
    <row r="270" spans="1:48" x14ac:dyDescent="0.25">
      <c r="A270" s="17" t="str">
        <f>IF(F270&gt;0,260,"")</f>
        <v/>
      </c>
      <c r="B270" s="18" t="str">
        <f>IF(F270&gt;0,EDATE($E$6,260),"")</f>
        <v/>
      </c>
      <c r="C270" s="21">
        <f>IF(H269&gt;0,MIN(IF(K269&gt;0,I$5,99),IF(O269&gt;0,M$5,99),IF(S269&gt;0,Q$5,99),IF(W269&gt;0,U$5,99),IF(AA269&gt;0,Y$5,99),IF(AE269&gt;0,AC$5,99),IF(AI269&gt;0,AG$5,99),IF(AM269&gt;0,AK$5,99),IF(AQ269&gt;0,AO$5,99),IF(AU269&gt;0,AS$5,99)),0)</f>
        <v>0</v>
      </c>
      <c r="D270" t="str">
        <f>IF(C270&gt;0,INDEX($I$4:$AV$4,1,MATCH(C270,$I$5:$AV$5,0)),"")</f>
        <v/>
      </c>
      <c r="E270" s="24">
        <f>ROUND(IF(AND(I$8&gt;0,K269=0),I$6,0)+IF(AND(M$8&gt;0,O269=0),M$6,0)+IF(AND(Q$8&gt;0,S269=0),Q$6,0)+IF(AND(U$8&gt;0,W269=0),U$6,0)+IF(AND(Y$8&gt;0,AA269=0),Y$6,0)+IF(AND(AC$8&gt;0,AE269=0),AC$6,0)+IF(AND(AG$8&gt;0,AI269=0),AG$6,0)+IF(AND(AK$8&gt;0,AM269=0),AK$6,0)+IF(AND(AO$8&gt;0,AQ269=0),AO$6,0)+IF(AND(AS$8&gt;0,AU269=0),AS$6,0),2)</f>
        <v>325</v>
      </c>
      <c r="F270" s="24">
        <f>ROUND(I270+M270+Q270+U270+Y270+AC270+AG270+AK270+AO270+AS270,2)</f>
        <v>0</v>
      </c>
      <c r="G270" s="24">
        <f>ROUND(J270+N270+R270+V270+Z270+AD270+AH270+AL270+AP270+AT270,2)</f>
        <v>0</v>
      </c>
      <c r="H270" s="24">
        <f>ROUND(K270+O270+S270+W270+AA270+AE270+AI270+AM270+AQ270+AU270,2)</f>
        <v>0</v>
      </c>
      <c r="I270" s="24">
        <f>IF(K269&gt;0,IF(AND(ROUND(K269+J270-ROUND(I$6+IF(I$5=$C270,$E$5+$E270,0),2),2)&gt;0,ROUND(K269+J270-ROUND(I$6+IF(I$5=$C270,$E$5+$E270,0),2),2)&lt;=L270,ROUND(K269+J270-ROUND(I$6+IF(I$5=$C270,$E$5+$E270,0),2),2)*10&lt;=ROUND(I$6+IF(I$5=$C270,$E$5+$E270,0),2)),ROUND(K269+J270,2),MIN(ROUND(I$6+IF(I$5=$C270,$E$5+$E270,0),2),ROUND(K269+J270,2))),0)</f>
        <v>0</v>
      </c>
      <c r="J270" s="24">
        <f>IF(K269&gt;0,ROUND(ROUND(K269*100,0)*ROUND(I$7*10000,0)/12000000,0)/100,0)</f>
        <v>0</v>
      </c>
      <c r="K270" s="24">
        <f>IF(K269&gt;0,ROUND(K269+J270-I270,2),0)</f>
        <v>0</v>
      </c>
      <c r="L270" s="24">
        <f>IF(K269&gt;0,ROUND(L269+ROUND(ROUND(L269*100,0)*ROUND(I$7*10000,0)/12000000,0)/100+0.02,2),0)</f>
        <v>0</v>
      </c>
      <c r="M270" s="24">
        <f>IF(O269&gt;0,IF(AND(ROUND(O269+N270-ROUND(M$6+IF(M$5=$C270,$E$5+$E270,0),2),2)&gt;0,ROUND(O269+N270-ROUND(M$6+IF(M$5=$C270,$E$5+$E270,0),2),2)&lt;=P270,ROUND(O269+N270-ROUND(M$6+IF(M$5=$C270,$E$5+$E270,0),2),2)*10&lt;=ROUND(M$6+IF(M$5=$C270,$E$5+$E270,0),2)),ROUND(O269+N270,2),MIN(ROUND(M$6+IF(M$5=$C270,$E$5+$E270,0),2),ROUND(O269+N270,2))),0)</f>
        <v>0</v>
      </c>
      <c r="N270" s="24">
        <f>IF(O269&gt;0,ROUND(ROUND(O269*100,0)*ROUND(M$7*10000,0)/12000000,0)/100,0)</f>
        <v>0</v>
      </c>
      <c r="O270" s="24">
        <f>IF(O269&gt;0,ROUND(O269+N270-M270,2),0)</f>
        <v>0</v>
      </c>
      <c r="P270" s="24">
        <f>IF(O269&gt;0,ROUND(P269+ROUND(ROUND(P269*100,0)*ROUND(M$7*10000,0)/12000000,0)/100+0.02,2),0)</f>
        <v>0</v>
      </c>
      <c r="Q270" s="24">
        <f>IF(S269&gt;0,IF(AND(ROUND(S269+R270-ROUND(Q$6+IF(Q$5=$C270,$E$5+$E270,0),2),2)&gt;0,ROUND(S269+R270-ROUND(Q$6+IF(Q$5=$C270,$E$5+$E270,0),2),2)&lt;=T270,ROUND(S269+R270-ROUND(Q$6+IF(Q$5=$C270,$E$5+$E270,0),2),2)*10&lt;=ROUND(Q$6+IF(Q$5=$C270,$E$5+$E270,0),2)),ROUND(S269+R270,2),MIN(ROUND(Q$6+IF(Q$5=$C270,$E$5+$E270,0),2),ROUND(S269+R270,2))),0)</f>
        <v>0</v>
      </c>
      <c r="R270" s="24">
        <f>IF(S269&gt;0,ROUND(ROUND(S269*100,0)*ROUND(Q$7*10000,0)/12000000,0)/100,0)</f>
        <v>0</v>
      </c>
      <c r="S270" s="24">
        <f>IF(S269&gt;0,ROUND(S269+R270-Q270,2),0)</f>
        <v>0</v>
      </c>
      <c r="T270" s="24">
        <f>IF(S269&gt;0,ROUND(T269+ROUND(ROUND(T269*100,0)*ROUND(Q$7*10000,0)/12000000,0)/100+0.02,2),0)</f>
        <v>0</v>
      </c>
      <c r="U270" s="24">
        <f>IF(W269&gt;0,IF(AND(ROUND(W269+V270-ROUND(U$6+IF(U$5=$C270,$E$5+$E270,0),2),2)&gt;0,ROUND(W269+V270-ROUND(U$6+IF(U$5=$C270,$E$5+$E270,0),2),2)&lt;=X270,ROUND(W269+V270-ROUND(U$6+IF(U$5=$C270,$E$5+$E270,0),2),2)*10&lt;=ROUND(U$6+IF(U$5=$C270,$E$5+$E270,0),2)),ROUND(W269+V270,2),MIN(ROUND(U$6+IF(U$5=$C270,$E$5+$E270,0),2),ROUND(W269+V270,2))),0)</f>
        <v>0</v>
      </c>
      <c r="V270" s="24">
        <f>IF(W269&gt;0,ROUND(ROUND(W269*100,0)*ROUND(U$7*10000,0)/12000000,0)/100,0)</f>
        <v>0</v>
      </c>
      <c r="W270" s="24">
        <f>IF(W269&gt;0,ROUND(W269+V270-U270,2),0)</f>
        <v>0</v>
      </c>
      <c r="X270" s="24">
        <f>IF(W269&gt;0,ROUND(X269+ROUND(ROUND(X269*100,0)*ROUND(U$7*10000,0)/12000000,0)/100+0.02,2),0)</f>
        <v>0</v>
      </c>
      <c r="Y270" s="24">
        <f>IF(AA269&gt;0,IF(AND(ROUND(AA269+Z270-ROUND(Y$6+IF(Y$5=$C270,$E$5+$E270,0),2),2)&gt;0,ROUND(AA269+Z270-ROUND(Y$6+IF(Y$5=$C270,$E$5+$E270,0),2),2)&lt;=AB270,ROUND(AA269+Z270-ROUND(Y$6+IF(Y$5=$C270,$E$5+$E270,0),2),2)*10&lt;=ROUND(Y$6+IF(Y$5=$C270,$E$5+$E270,0),2)),ROUND(AA269+Z270,2),MIN(ROUND(Y$6+IF(Y$5=$C270,$E$5+$E270,0),2),ROUND(AA269+Z270,2))),0)</f>
        <v>0</v>
      </c>
      <c r="Z270" s="24">
        <f>IF(AA269&gt;0,ROUND(ROUND(AA269*100,0)*ROUND(Y$7*10000,0)/12000000,0)/100,0)</f>
        <v>0</v>
      </c>
      <c r="AA270" s="24">
        <f>IF(AA269&gt;0,ROUND(AA269+Z270-Y270,2),0)</f>
        <v>0</v>
      </c>
      <c r="AB270" s="24">
        <f>IF(AA269&gt;0,ROUND(AB269+ROUND(ROUND(AB269*100,0)*ROUND(Y$7*10000,0)/12000000,0)/100+0.02,2),0)</f>
        <v>0</v>
      </c>
      <c r="AC270" s="24">
        <f>IF(AE269&gt;0,IF(AND(ROUND(AE269+AD270-ROUND(AC$6+IF(AC$5=$C270,$E$5+$E270,0),2),2)&gt;0,ROUND(AE269+AD270-ROUND(AC$6+IF(AC$5=$C270,$E$5+$E270,0),2),2)&lt;=AF270,ROUND(AE269+AD270-ROUND(AC$6+IF(AC$5=$C270,$E$5+$E270,0),2),2)*10&lt;=ROUND(AC$6+IF(AC$5=$C270,$E$5+$E270,0),2)),ROUND(AE269+AD270,2),MIN(ROUND(AC$6+IF(AC$5=$C270,$E$5+$E270,0),2),ROUND(AE269+AD270,2))),0)</f>
        <v>0</v>
      </c>
      <c r="AD270" s="24">
        <f>IF(AE269&gt;0,ROUND(ROUND(AE269*100,0)*ROUND(AC$7*10000,0)/12000000,0)/100,0)</f>
        <v>0</v>
      </c>
      <c r="AE270" s="24">
        <f>IF(AE269&gt;0,ROUND(AE269+AD270-AC270,2),0)</f>
        <v>0</v>
      </c>
      <c r="AF270" s="24">
        <f>IF(AE269&gt;0,ROUND(AF269+ROUND(ROUND(AF269*100,0)*ROUND(AC$7*10000,0)/12000000,0)/100+0.02,2),0)</f>
        <v>0</v>
      </c>
      <c r="AG270" s="24">
        <f>IF(AI269&gt;0,IF(AND(ROUND(AI269+AH270-ROUND(AG$6+IF(AG$5=$C270,$E$5+$E270,0),2),2)&gt;0,ROUND(AI269+AH270-ROUND(AG$6+IF(AG$5=$C270,$E$5+$E270,0),2),2)&lt;=AJ270,ROUND(AI269+AH270-ROUND(AG$6+IF(AG$5=$C270,$E$5+$E270,0),2),2)*10&lt;=ROUND(AG$6+IF(AG$5=$C270,$E$5+$E270,0),2)),ROUND(AI269+AH270,2),MIN(ROUND(AG$6+IF(AG$5=$C270,$E$5+$E270,0),2),ROUND(AI269+AH270,2))),0)</f>
        <v>0</v>
      </c>
      <c r="AH270" s="24">
        <f>IF(AI269&gt;0,ROUND(ROUND(AI269*100,0)*ROUND(AG$7*10000,0)/12000000,0)/100,0)</f>
        <v>0</v>
      </c>
      <c r="AI270" s="24">
        <f>IF(AI269&gt;0,ROUND(AI269+AH270-AG270,2),0)</f>
        <v>0</v>
      </c>
      <c r="AJ270" s="24">
        <f>IF(AI269&gt;0,ROUND(AJ269+ROUND(ROUND(AJ269*100,0)*ROUND(AG$7*10000,0)/12000000,0)/100+0.02,2),0)</f>
        <v>0</v>
      </c>
      <c r="AK270" s="24">
        <f>IF(AM269&gt;0,IF(AND(ROUND(AM269+AL270-ROUND(AK$6+IF(AK$5=$C270,$E$5+$E270,0),2),2)&gt;0,ROUND(AM269+AL270-ROUND(AK$6+IF(AK$5=$C270,$E$5+$E270,0),2),2)&lt;=AN270,ROUND(AM269+AL270-ROUND(AK$6+IF(AK$5=$C270,$E$5+$E270,0),2),2)*10&lt;=ROUND(AK$6+IF(AK$5=$C270,$E$5+$E270,0),2)),ROUND(AM269+AL270,2),MIN(ROUND(AK$6+IF(AK$5=$C270,$E$5+$E270,0),2),ROUND(AM269+AL270,2))),0)</f>
        <v>0</v>
      </c>
      <c r="AL270" s="24">
        <f>IF(AM269&gt;0,ROUND(ROUND(AM269*100,0)*ROUND(AK$7*10000,0)/12000000,0)/100,0)</f>
        <v>0</v>
      </c>
      <c r="AM270" s="24">
        <f>IF(AM269&gt;0,ROUND(AM269+AL270-AK270,2),0)</f>
        <v>0</v>
      </c>
      <c r="AN270" s="24">
        <f>IF(AM269&gt;0,ROUND(AN269+ROUND(ROUND(AN269*100,0)*ROUND(AK$7*10000,0)/12000000,0)/100+0.02,2),0)</f>
        <v>0</v>
      </c>
      <c r="AO270" s="24">
        <f>IF(AQ269&gt;0,IF(AND(ROUND(AQ269+AP270-ROUND(AO$6+IF(AO$5=$C270,$E$5+$E270,0),2),2)&gt;0,ROUND(AQ269+AP270-ROUND(AO$6+IF(AO$5=$C270,$E$5+$E270,0),2),2)&lt;=AR270,ROUND(AQ269+AP270-ROUND(AO$6+IF(AO$5=$C270,$E$5+$E270,0),2),2)*10&lt;=ROUND(AO$6+IF(AO$5=$C270,$E$5+$E270,0),2)),ROUND(AQ269+AP270,2),MIN(ROUND(AO$6+IF(AO$5=$C270,$E$5+$E270,0),2),ROUND(AQ269+AP270,2))),0)</f>
        <v>0</v>
      </c>
      <c r="AP270" s="24">
        <f>IF(AQ269&gt;0,ROUND(ROUND(AQ269*100,0)*ROUND(AO$7*10000,0)/12000000,0)/100,0)</f>
        <v>0</v>
      </c>
      <c r="AQ270" s="24">
        <f>IF(AQ269&gt;0,ROUND(AQ269+AP270-AO270,2),0)</f>
        <v>0</v>
      </c>
      <c r="AR270" s="24">
        <f>IF(AQ269&gt;0,ROUND(AR269+ROUND(ROUND(AR269*100,0)*ROUND(AO$7*10000,0)/12000000,0)/100+0.02,2),0)</f>
        <v>0</v>
      </c>
      <c r="AS270" s="24">
        <f>IF(AU269&gt;0,IF(AND(ROUND(AU269+AT270-ROUND(AS$6+IF(AS$5=$C270,$E$5+$E270,0),2),2)&gt;0,ROUND(AU269+AT270-ROUND(AS$6+IF(AS$5=$C270,$E$5+$E270,0),2),2)&lt;=AV270,ROUND(AU269+AT270-ROUND(AS$6+IF(AS$5=$C270,$E$5+$E270,0),2),2)*10&lt;=ROUND(AS$6+IF(AS$5=$C270,$E$5+$E270,0),2)),ROUND(AU269+AT270,2),MIN(ROUND(AS$6+IF(AS$5=$C270,$E$5+$E270,0),2),ROUND(AU269+AT270,2))),0)</f>
        <v>0</v>
      </c>
      <c r="AT270" s="24">
        <f>IF(AU269&gt;0,ROUND(ROUND(AU269*100,0)*ROUND(AS$7*10000,0)/12000000,0)/100,0)</f>
        <v>0</v>
      </c>
      <c r="AU270" s="24">
        <f>IF(AU269&gt;0,ROUND(AU269+AT270-AS270,2),0)</f>
        <v>0</v>
      </c>
      <c r="AV270" s="24">
        <f>IF(AU269&gt;0,ROUND(AV269+ROUND(ROUND(AV269*100,0)*ROUND(AS$7*10000,0)/12000000,0)/100+0.02,2),0)</f>
        <v>0</v>
      </c>
    </row>
    <row r="271" spans="1:48" x14ac:dyDescent="0.25">
      <c r="A271" s="17" t="str">
        <f>IF(F271&gt;0,261,"")</f>
        <v/>
      </c>
      <c r="B271" s="18" t="str">
        <f>IF(F271&gt;0,EDATE($E$6,261),"")</f>
        <v/>
      </c>
      <c r="C271" s="21">
        <f>IF(H270&gt;0,MIN(IF(K270&gt;0,I$5,99),IF(O270&gt;0,M$5,99),IF(S270&gt;0,Q$5,99),IF(W270&gt;0,U$5,99),IF(AA270&gt;0,Y$5,99),IF(AE270&gt;0,AC$5,99),IF(AI270&gt;0,AG$5,99),IF(AM270&gt;0,AK$5,99),IF(AQ270&gt;0,AO$5,99),IF(AU270&gt;0,AS$5,99)),0)</f>
        <v>0</v>
      </c>
      <c r="D271" t="str">
        <f>IF(C271&gt;0,INDEX($I$4:$AV$4,1,MATCH(C271,$I$5:$AV$5,0)),"")</f>
        <v/>
      </c>
      <c r="E271" s="24">
        <f>ROUND(IF(AND(I$8&gt;0,K270=0),I$6,0)+IF(AND(M$8&gt;0,O270=0),M$6,0)+IF(AND(Q$8&gt;0,S270=0),Q$6,0)+IF(AND(U$8&gt;0,W270=0),U$6,0)+IF(AND(Y$8&gt;0,AA270=0),Y$6,0)+IF(AND(AC$8&gt;0,AE270=0),AC$6,0)+IF(AND(AG$8&gt;0,AI270=0),AG$6,0)+IF(AND(AK$8&gt;0,AM270=0),AK$6,0)+IF(AND(AO$8&gt;0,AQ270=0),AO$6,0)+IF(AND(AS$8&gt;0,AU270=0),AS$6,0),2)</f>
        <v>325</v>
      </c>
      <c r="F271" s="24">
        <f>ROUND(I271+M271+Q271+U271+Y271+AC271+AG271+AK271+AO271+AS271,2)</f>
        <v>0</v>
      </c>
      <c r="G271" s="24">
        <f>ROUND(J271+N271+R271+V271+Z271+AD271+AH271+AL271+AP271+AT271,2)</f>
        <v>0</v>
      </c>
      <c r="H271" s="24">
        <f>ROUND(K271+O271+S271+W271+AA271+AE271+AI271+AM271+AQ271+AU271,2)</f>
        <v>0</v>
      </c>
      <c r="I271" s="24">
        <f>IF(K270&gt;0,IF(AND(ROUND(K270+J271-ROUND(I$6+IF(I$5=$C271,$E$5+$E271,0),2),2)&gt;0,ROUND(K270+J271-ROUND(I$6+IF(I$5=$C271,$E$5+$E271,0),2),2)&lt;=L271,ROUND(K270+J271-ROUND(I$6+IF(I$5=$C271,$E$5+$E271,0),2),2)*10&lt;=ROUND(I$6+IF(I$5=$C271,$E$5+$E271,0),2)),ROUND(K270+J271,2),MIN(ROUND(I$6+IF(I$5=$C271,$E$5+$E271,0),2),ROUND(K270+J271,2))),0)</f>
        <v>0</v>
      </c>
      <c r="J271" s="24">
        <f>IF(K270&gt;0,ROUND(ROUND(K270*100,0)*ROUND(I$7*10000,0)/12000000,0)/100,0)</f>
        <v>0</v>
      </c>
      <c r="K271" s="24">
        <f>IF(K270&gt;0,ROUND(K270+J271-I271,2),0)</f>
        <v>0</v>
      </c>
      <c r="L271" s="24">
        <f>IF(K270&gt;0,ROUND(L270+ROUND(ROUND(L270*100,0)*ROUND(I$7*10000,0)/12000000,0)/100+0.02,2),0)</f>
        <v>0</v>
      </c>
      <c r="M271" s="24">
        <f>IF(O270&gt;0,IF(AND(ROUND(O270+N271-ROUND(M$6+IF(M$5=$C271,$E$5+$E271,0),2),2)&gt;0,ROUND(O270+N271-ROUND(M$6+IF(M$5=$C271,$E$5+$E271,0),2),2)&lt;=P271,ROUND(O270+N271-ROUND(M$6+IF(M$5=$C271,$E$5+$E271,0),2),2)*10&lt;=ROUND(M$6+IF(M$5=$C271,$E$5+$E271,0),2)),ROUND(O270+N271,2),MIN(ROUND(M$6+IF(M$5=$C271,$E$5+$E271,0),2),ROUND(O270+N271,2))),0)</f>
        <v>0</v>
      </c>
      <c r="N271" s="24">
        <f>IF(O270&gt;0,ROUND(ROUND(O270*100,0)*ROUND(M$7*10000,0)/12000000,0)/100,0)</f>
        <v>0</v>
      </c>
      <c r="O271" s="24">
        <f>IF(O270&gt;0,ROUND(O270+N271-M271,2),0)</f>
        <v>0</v>
      </c>
      <c r="P271" s="24">
        <f>IF(O270&gt;0,ROUND(P270+ROUND(ROUND(P270*100,0)*ROUND(M$7*10000,0)/12000000,0)/100+0.02,2),0)</f>
        <v>0</v>
      </c>
      <c r="Q271" s="24">
        <f>IF(S270&gt;0,IF(AND(ROUND(S270+R271-ROUND(Q$6+IF(Q$5=$C271,$E$5+$E271,0),2),2)&gt;0,ROUND(S270+R271-ROUND(Q$6+IF(Q$5=$C271,$E$5+$E271,0),2),2)&lt;=T271,ROUND(S270+R271-ROUND(Q$6+IF(Q$5=$C271,$E$5+$E271,0),2),2)*10&lt;=ROUND(Q$6+IF(Q$5=$C271,$E$5+$E271,0),2)),ROUND(S270+R271,2),MIN(ROUND(Q$6+IF(Q$5=$C271,$E$5+$E271,0),2),ROUND(S270+R271,2))),0)</f>
        <v>0</v>
      </c>
      <c r="R271" s="24">
        <f>IF(S270&gt;0,ROUND(ROUND(S270*100,0)*ROUND(Q$7*10000,0)/12000000,0)/100,0)</f>
        <v>0</v>
      </c>
      <c r="S271" s="24">
        <f>IF(S270&gt;0,ROUND(S270+R271-Q271,2),0)</f>
        <v>0</v>
      </c>
      <c r="T271" s="24">
        <f>IF(S270&gt;0,ROUND(T270+ROUND(ROUND(T270*100,0)*ROUND(Q$7*10000,0)/12000000,0)/100+0.02,2),0)</f>
        <v>0</v>
      </c>
      <c r="U271" s="24">
        <f>IF(W270&gt;0,IF(AND(ROUND(W270+V271-ROUND(U$6+IF(U$5=$C271,$E$5+$E271,0),2),2)&gt;0,ROUND(W270+V271-ROUND(U$6+IF(U$5=$C271,$E$5+$E271,0),2),2)&lt;=X271,ROUND(W270+V271-ROUND(U$6+IF(U$5=$C271,$E$5+$E271,0),2),2)*10&lt;=ROUND(U$6+IF(U$5=$C271,$E$5+$E271,0),2)),ROUND(W270+V271,2),MIN(ROUND(U$6+IF(U$5=$C271,$E$5+$E271,0),2),ROUND(W270+V271,2))),0)</f>
        <v>0</v>
      </c>
      <c r="V271" s="24">
        <f>IF(W270&gt;0,ROUND(ROUND(W270*100,0)*ROUND(U$7*10000,0)/12000000,0)/100,0)</f>
        <v>0</v>
      </c>
      <c r="W271" s="24">
        <f>IF(W270&gt;0,ROUND(W270+V271-U271,2),0)</f>
        <v>0</v>
      </c>
      <c r="X271" s="24">
        <f>IF(W270&gt;0,ROUND(X270+ROUND(ROUND(X270*100,0)*ROUND(U$7*10000,0)/12000000,0)/100+0.02,2),0)</f>
        <v>0</v>
      </c>
      <c r="Y271" s="24">
        <f>IF(AA270&gt;0,IF(AND(ROUND(AA270+Z271-ROUND(Y$6+IF(Y$5=$C271,$E$5+$E271,0),2),2)&gt;0,ROUND(AA270+Z271-ROUND(Y$6+IF(Y$5=$C271,$E$5+$E271,0),2),2)&lt;=AB271,ROUND(AA270+Z271-ROUND(Y$6+IF(Y$5=$C271,$E$5+$E271,0),2),2)*10&lt;=ROUND(Y$6+IF(Y$5=$C271,$E$5+$E271,0),2)),ROUND(AA270+Z271,2),MIN(ROUND(Y$6+IF(Y$5=$C271,$E$5+$E271,0),2),ROUND(AA270+Z271,2))),0)</f>
        <v>0</v>
      </c>
      <c r="Z271" s="24">
        <f>IF(AA270&gt;0,ROUND(ROUND(AA270*100,0)*ROUND(Y$7*10000,0)/12000000,0)/100,0)</f>
        <v>0</v>
      </c>
      <c r="AA271" s="24">
        <f>IF(AA270&gt;0,ROUND(AA270+Z271-Y271,2),0)</f>
        <v>0</v>
      </c>
      <c r="AB271" s="24">
        <f>IF(AA270&gt;0,ROUND(AB270+ROUND(ROUND(AB270*100,0)*ROUND(Y$7*10000,0)/12000000,0)/100+0.02,2),0)</f>
        <v>0</v>
      </c>
      <c r="AC271" s="24">
        <f>IF(AE270&gt;0,IF(AND(ROUND(AE270+AD271-ROUND(AC$6+IF(AC$5=$C271,$E$5+$E271,0),2),2)&gt;0,ROUND(AE270+AD271-ROUND(AC$6+IF(AC$5=$C271,$E$5+$E271,0),2),2)&lt;=AF271,ROUND(AE270+AD271-ROUND(AC$6+IF(AC$5=$C271,$E$5+$E271,0),2),2)*10&lt;=ROUND(AC$6+IF(AC$5=$C271,$E$5+$E271,0),2)),ROUND(AE270+AD271,2),MIN(ROUND(AC$6+IF(AC$5=$C271,$E$5+$E271,0),2),ROUND(AE270+AD271,2))),0)</f>
        <v>0</v>
      </c>
      <c r="AD271" s="24">
        <f>IF(AE270&gt;0,ROUND(ROUND(AE270*100,0)*ROUND(AC$7*10000,0)/12000000,0)/100,0)</f>
        <v>0</v>
      </c>
      <c r="AE271" s="24">
        <f>IF(AE270&gt;0,ROUND(AE270+AD271-AC271,2),0)</f>
        <v>0</v>
      </c>
      <c r="AF271" s="24">
        <f>IF(AE270&gt;0,ROUND(AF270+ROUND(ROUND(AF270*100,0)*ROUND(AC$7*10000,0)/12000000,0)/100+0.02,2),0)</f>
        <v>0</v>
      </c>
      <c r="AG271" s="24">
        <f>IF(AI270&gt;0,IF(AND(ROUND(AI270+AH271-ROUND(AG$6+IF(AG$5=$C271,$E$5+$E271,0),2),2)&gt;0,ROUND(AI270+AH271-ROUND(AG$6+IF(AG$5=$C271,$E$5+$E271,0),2),2)&lt;=AJ271,ROUND(AI270+AH271-ROUND(AG$6+IF(AG$5=$C271,$E$5+$E271,0),2),2)*10&lt;=ROUND(AG$6+IF(AG$5=$C271,$E$5+$E271,0),2)),ROUND(AI270+AH271,2),MIN(ROUND(AG$6+IF(AG$5=$C271,$E$5+$E271,0),2),ROUND(AI270+AH271,2))),0)</f>
        <v>0</v>
      </c>
      <c r="AH271" s="24">
        <f>IF(AI270&gt;0,ROUND(ROUND(AI270*100,0)*ROUND(AG$7*10000,0)/12000000,0)/100,0)</f>
        <v>0</v>
      </c>
      <c r="AI271" s="24">
        <f>IF(AI270&gt;0,ROUND(AI270+AH271-AG271,2),0)</f>
        <v>0</v>
      </c>
      <c r="AJ271" s="24">
        <f>IF(AI270&gt;0,ROUND(AJ270+ROUND(ROUND(AJ270*100,0)*ROUND(AG$7*10000,0)/12000000,0)/100+0.02,2),0)</f>
        <v>0</v>
      </c>
      <c r="AK271" s="24">
        <f>IF(AM270&gt;0,IF(AND(ROUND(AM270+AL271-ROUND(AK$6+IF(AK$5=$C271,$E$5+$E271,0),2),2)&gt;0,ROUND(AM270+AL271-ROUND(AK$6+IF(AK$5=$C271,$E$5+$E271,0),2),2)&lt;=AN271,ROUND(AM270+AL271-ROUND(AK$6+IF(AK$5=$C271,$E$5+$E271,0),2),2)*10&lt;=ROUND(AK$6+IF(AK$5=$C271,$E$5+$E271,0),2)),ROUND(AM270+AL271,2),MIN(ROUND(AK$6+IF(AK$5=$C271,$E$5+$E271,0),2),ROUND(AM270+AL271,2))),0)</f>
        <v>0</v>
      </c>
      <c r="AL271" s="24">
        <f>IF(AM270&gt;0,ROUND(ROUND(AM270*100,0)*ROUND(AK$7*10000,0)/12000000,0)/100,0)</f>
        <v>0</v>
      </c>
      <c r="AM271" s="24">
        <f>IF(AM270&gt;0,ROUND(AM270+AL271-AK271,2),0)</f>
        <v>0</v>
      </c>
      <c r="AN271" s="24">
        <f>IF(AM270&gt;0,ROUND(AN270+ROUND(ROUND(AN270*100,0)*ROUND(AK$7*10000,0)/12000000,0)/100+0.02,2),0)</f>
        <v>0</v>
      </c>
      <c r="AO271" s="24">
        <f>IF(AQ270&gt;0,IF(AND(ROUND(AQ270+AP271-ROUND(AO$6+IF(AO$5=$C271,$E$5+$E271,0),2),2)&gt;0,ROUND(AQ270+AP271-ROUND(AO$6+IF(AO$5=$C271,$E$5+$E271,0),2),2)&lt;=AR271,ROUND(AQ270+AP271-ROUND(AO$6+IF(AO$5=$C271,$E$5+$E271,0),2),2)*10&lt;=ROUND(AO$6+IF(AO$5=$C271,$E$5+$E271,0),2)),ROUND(AQ270+AP271,2),MIN(ROUND(AO$6+IF(AO$5=$C271,$E$5+$E271,0),2),ROUND(AQ270+AP271,2))),0)</f>
        <v>0</v>
      </c>
      <c r="AP271" s="24">
        <f>IF(AQ270&gt;0,ROUND(ROUND(AQ270*100,0)*ROUND(AO$7*10000,0)/12000000,0)/100,0)</f>
        <v>0</v>
      </c>
      <c r="AQ271" s="24">
        <f>IF(AQ270&gt;0,ROUND(AQ270+AP271-AO271,2),0)</f>
        <v>0</v>
      </c>
      <c r="AR271" s="24">
        <f>IF(AQ270&gt;0,ROUND(AR270+ROUND(ROUND(AR270*100,0)*ROUND(AO$7*10000,0)/12000000,0)/100+0.02,2),0)</f>
        <v>0</v>
      </c>
      <c r="AS271" s="24">
        <f>IF(AU270&gt;0,IF(AND(ROUND(AU270+AT271-ROUND(AS$6+IF(AS$5=$C271,$E$5+$E271,0),2),2)&gt;0,ROUND(AU270+AT271-ROUND(AS$6+IF(AS$5=$C271,$E$5+$E271,0),2),2)&lt;=AV271,ROUND(AU270+AT271-ROUND(AS$6+IF(AS$5=$C271,$E$5+$E271,0),2),2)*10&lt;=ROUND(AS$6+IF(AS$5=$C271,$E$5+$E271,0),2)),ROUND(AU270+AT271,2),MIN(ROUND(AS$6+IF(AS$5=$C271,$E$5+$E271,0),2),ROUND(AU270+AT271,2))),0)</f>
        <v>0</v>
      </c>
      <c r="AT271" s="24">
        <f>IF(AU270&gt;0,ROUND(ROUND(AU270*100,0)*ROUND(AS$7*10000,0)/12000000,0)/100,0)</f>
        <v>0</v>
      </c>
      <c r="AU271" s="24">
        <f>IF(AU270&gt;0,ROUND(AU270+AT271-AS271,2),0)</f>
        <v>0</v>
      </c>
      <c r="AV271" s="24">
        <f>IF(AU270&gt;0,ROUND(AV270+ROUND(ROUND(AV270*100,0)*ROUND(AS$7*10000,0)/12000000,0)/100+0.02,2),0)</f>
        <v>0</v>
      </c>
    </row>
    <row r="272" spans="1:48" x14ac:dyDescent="0.25">
      <c r="A272" s="17" t="str">
        <f>IF(F272&gt;0,262,"")</f>
        <v/>
      </c>
      <c r="B272" s="18" t="str">
        <f>IF(F272&gt;0,EDATE($E$6,262),"")</f>
        <v/>
      </c>
      <c r="C272" s="21">
        <f>IF(H271&gt;0,MIN(IF(K271&gt;0,I$5,99),IF(O271&gt;0,M$5,99),IF(S271&gt;0,Q$5,99),IF(W271&gt;0,U$5,99),IF(AA271&gt;0,Y$5,99),IF(AE271&gt;0,AC$5,99),IF(AI271&gt;0,AG$5,99),IF(AM271&gt;0,AK$5,99),IF(AQ271&gt;0,AO$5,99),IF(AU271&gt;0,AS$5,99)),0)</f>
        <v>0</v>
      </c>
      <c r="D272" t="str">
        <f>IF(C272&gt;0,INDEX($I$4:$AV$4,1,MATCH(C272,$I$5:$AV$5,0)),"")</f>
        <v/>
      </c>
      <c r="E272" s="24">
        <f>ROUND(IF(AND(I$8&gt;0,K271=0),I$6,0)+IF(AND(M$8&gt;0,O271=0),M$6,0)+IF(AND(Q$8&gt;0,S271=0),Q$6,0)+IF(AND(U$8&gt;0,W271=0),U$6,0)+IF(AND(Y$8&gt;0,AA271=0),Y$6,0)+IF(AND(AC$8&gt;0,AE271=0),AC$6,0)+IF(AND(AG$8&gt;0,AI271=0),AG$6,0)+IF(AND(AK$8&gt;0,AM271=0),AK$6,0)+IF(AND(AO$8&gt;0,AQ271=0),AO$6,0)+IF(AND(AS$8&gt;0,AU271=0),AS$6,0),2)</f>
        <v>325</v>
      </c>
      <c r="F272" s="24">
        <f>ROUND(I272+M272+Q272+U272+Y272+AC272+AG272+AK272+AO272+AS272,2)</f>
        <v>0</v>
      </c>
      <c r="G272" s="24">
        <f>ROUND(J272+N272+R272+V272+Z272+AD272+AH272+AL272+AP272+AT272,2)</f>
        <v>0</v>
      </c>
      <c r="H272" s="24">
        <f>ROUND(K272+O272+S272+W272+AA272+AE272+AI272+AM272+AQ272+AU272,2)</f>
        <v>0</v>
      </c>
      <c r="I272" s="24">
        <f>IF(K271&gt;0,IF(AND(ROUND(K271+J272-ROUND(I$6+IF(I$5=$C272,$E$5+$E272,0),2),2)&gt;0,ROUND(K271+J272-ROUND(I$6+IF(I$5=$C272,$E$5+$E272,0),2),2)&lt;=L272,ROUND(K271+J272-ROUND(I$6+IF(I$5=$C272,$E$5+$E272,0),2),2)*10&lt;=ROUND(I$6+IF(I$5=$C272,$E$5+$E272,0),2)),ROUND(K271+J272,2),MIN(ROUND(I$6+IF(I$5=$C272,$E$5+$E272,0),2),ROUND(K271+J272,2))),0)</f>
        <v>0</v>
      </c>
      <c r="J272" s="24">
        <f>IF(K271&gt;0,ROUND(ROUND(K271*100,0)*ROUND(I$7*10000,0)/12000000,0)/100,0)</f>
        <v>0</v>
      </c>
      <c r="K272" s="24">
        <f>IF(K271&gt;0,ROUND(K271+J272-I272,2),0)</f>
        <v>0</v>
      </c>
      <c r="L272" s="24">
        <f>IF(K271&gt;0,ROUND(L271+ROUND(ROUND(L271*100,0)*ROUND(I$7*10000,0)/12000000,0)/100+0.02,2),0)</f>
        <v>0</v>
      </c>
      <c r="M272" s="24">
        <f>IF(O271&gt;0,IF(AND(ROUND(O271+N272-ROUND(M$6+IF(M$5=$C272,$E$5+$E272,0),2),2)&gt;0,ROUND(O271+N272-ROUND(M$6+IF(M$5=$C272,$E$5+$E272,0),2),2)&lt;=P272,ROUND(O271+N272-ROUND(M$6+IF(M$5=$C272,$E$5+$E272,0),2),2)*10&lt;=ROUND(M$6+IF(M$5=$C272,$E$5+$E272,0),2)),ROUND(O271+N272,2),MIN(ROUND(M$6+IF(M$5=$C272,$E$5+$E272,0),2),ROUND(O271+N272,2))),0)</f>
        <v>0</v>
      </c>
      <c r="N272" s="24">
        <f>IF(O271&gt;0,ROUND(ROUND(O271*100,0)*ROUND(M$7*10000,0)/12000000,0)/100,0)</f>
        <v>0</v>
      </c>
      <c r="O272" s="24">
        <f>IF(O271&gt;0,ROUND(O271+N272-M272,2),0)</f>
        <v>0</v>
      </c>
      <c r="P272" s="24">
        <f>IF(O271&gt;0,ROUND(P271+ROUND(ROUND(P271*100,0)*ROUND(M$7*10000,0)/12000000,0)/100+0.02,2),0)</f>
        <v>0</v>
      </c>
      <c r="Q272" s="24">
        <f>IF(S271&gt;0,IF(AND(ROUND(S271+R272-ROUND(Q$6+IF(Q$5=$C272,$E$5+$E272,0),2),2)&gt;0,ROUND(S271+R272-ROUND(Q$6+IF(Q$5=$C272,$E$5+$E272,0),2),2)&lt;=T272,ROUND(S271+R272-ROUND(Q$6+IF(Q$5=$C272,$E$5+$E272,0),2),2)*10&lt;=ROUND(Q$6+IF(Q$5=$C272,$E$5+$E272,0),2)),ROUND(S271+R272,2),MIN(ROUND(Q$6+IF(Q$5=$C272,$E$5+$E272,0),2),ROUND(S271+R272,2))),0)</f>
        <v>0</v>
      </c>
      <c r="R272" s="24">
        <f>IF(S271&gt;0,ROUND(ROUND(S271*100,0)*ROUND(Q$7*10000,0)/12000000,0)/100,0)</f>
        <v>0</v>
      </c>
      <c r="S272" s="24">
        <f>IF(S271&gt;0,ROUND(S271+R272-Q272,2),0)</f>
        <v>0</v>
      </c>
      <c r="T272" s="24">
        <f>IF(S271&gt;0,ROUND(T271+ROUND(ROUND(T271*100,0)*ROUND(Q$7*10000,0)/12000000,0)/100+0.02,2),0)</f>
        <v>0</v>
      </c>
      <c r="U272" s="24">
        <f>IF(W271&gt;0,IF(AND(ROUND(W271+V272-ROUND(U$6+IF(U$5=$C272,$E$5+$E272,0),2),2)&gt;0,ROUND(W271+V272-ROUND(U$6+IF(U$5=$C272,$E$5+$E272,0),2),2)&lt;=X272,ROUND(W271+V272-ROUND(U$6+IF(U$5=$C272,$E$5+$E272,0),2),2)*10&lt;=ROUND(U$6+IF(U$5=$C272,$E$5+$E272,0),2)),ROUND(W271+V272,2),MIN(ROUND(U$6+IF(U$5=$C272,$E$5+$E272,0),2),ROUND(W271+V272,2))),0)</f>
        <v>0</v>
      </c>
      <c r="V272" s="24">
        <f>IF(W271&gt;0,ROUND(ROUND(W271*100,0)*ROUND(U$7*10000,0)/12000000,0)/100,0)</f>
        <v>0</v>
      </c>
      <c r="W272" s="24">
        <f>IF(W271&gt;0,ROUND(W271+V272-U272,2),0)</f>
        <v>0</v>
      </c>
      <c r="X272" s="24">
        <f>IF(W271&gt;0,ROUND(X271+ROUND(ROUND(X271*100,0)*ROUND(U$7*10000,0)/12000000,0)/100+0.02,2),0)</f>
        <v>0</v>
      </c>
      <c r="Y272" s="24">
        <f>IF(AA271&gt;0,IF(AND(ROUND(AA271+Z272-ROUND(Y$6+IF(Y$5=$C272,$E$5+$E272,0),2),2)&gt;0,ROUND(AA271+Z272-ROUND(Y$6+IF(Y$5=$C272,$E$5+$E272,0),2),2)&lt;=AB272,ROUND(AA271+Z272-ROUND(Y$6+IF(Y$5=$C272,$E$5+$E272,0),2),2)*10&lt;=ROUND(Y$6+IF(Y$5=$C272,$E$5+$E272,0),2)),ROUND(AA271+Z272,2),MIN(ROUND(Y$6+IF(Y$5=$C272,$E$5+$E272,0),2),ROUND(AA271+Z272,2))),0)</f>
        <v>0</v>
      </c>
      <c r="Z272" s="24">
        <f>IF(AA271&gt;0,ROUND(ROUND(AA271*100,0)*ROUND(Y$7*10000,0)/12000000,0)/100,0)</f>
        <v>0</v>
      </c>
      <c r="AA272" s="24">
        <f>IF(AA271&gt;0,ROUND(AA271+Z272-Y272,2),0)</f>
        <v>0</v>
      </c>
      <c r="AB272" s="24">
        <f>IF(AA271&gt;0,ROUND(AB271+ROUND(ROUND(AB271*100,0)*ROUND(Y$7*10000,0)/12000000,0)/100+0.02,2),0)</f>
        <v>0</v>
      </c>
      <c r="AC272" s="24">
        <f>IF(AE271&gt;0,IF(AND(ROUND(AE271+AD272-ROUND(AC$6+IF(AC$5=$C272,$E$5+$E272,0),2),2)&gt;0,ROUND(AE271+AD272-ROUND(AC$6+IF(AC$5=$C272,$E$5+$E272,0),2),2)&lt;=AF272,ROUND(AE271+AD272-ROUND(AC$6+IF(AC$5=$C272,$E$5+$E272,0),2),2)*10&lt;=ROUND(AC$6+IF(AC$5=$C272,$E$5+$E272,0),2)),ROUND(AE271+AD272,2),MIN(ROUND(AC$6+IF(AC$5=$C272,$E$5+$E272,0),2),ROUND(AE271+AD272,2))),0)</f>
        <v>0</v>
      </c>
      <c r="AD272" s="24">
        <f>IF(AE271&gt;0,ROUND(ROUND(AE271*100,0)*ROUND(AC$7*10000,0)/12000000,0)/100,0)</f>
        <v>0</v>
      </c>
      <c r="AE272" s="24">
        <f>IF(AE271&gt;0,ROUND(AE271+AD272-AC272,2),0)</f>
        <v>0</v>
      </c>
      <c r="AF272" s="24">
        <f>IF(AE271&gt;0,ROUND(AF271+ROUND(ROUND(AF271*100,0)*ROUND(AC$7*10000,0)/12000000,0)/100+0.02,2),0)</f>
        <v>0</v>
      </c>
      <c r="AG272" s="24">
        <f>IF(AI271&gt;0,IF(AND(ROUND(AI271+AH272-ROUND(AG$6+IF(AG$5=$C272,$E$5+$E272,0),2),2)&gt;0,ROUND(AI271+AH272-ROUND(AG$6+IF(AG$5=$C272,$E$5+$E272,0),2),2)&lt;=AJ272,ROUND(AI271+AH272-ROUND(AG$6+IF(AG$5=$C272,$E$5+$E272,0),2),2)*10&lt;=ROUND(AG$6+IF(AG$5=$C272,$E$5+$E272,0),2)),ROUND(AI271+AH272,2),MIN(ROUND(AG$6+IF(AG$5=$C272,$E$5+$E272,0),2),ROUND(AI271+AH272,2))),0)</f>
        <v>0</v>
      </c>
      <c r="AH272" s="24">
        <f>IF(AI271&gt;0,ROUND(ROUND(AI271*100,0)*ROUND(AG$7*10000,0)/12000000,0)/100,0)</f>
        <v>0</v>
      </c>
      <c r="AI272" s="24">
        <f>IF(AI271&gt;0,ROUND(AI271+AH272-AG272,2),0)</f>
        <v>0</v>
      </c>
      <c r="AJ272" s="24">
        <f>IF(AI271&gt;0,ROUND(AJ271+ROUND(ROUND(AJ271*100,0)*ROUND(AG$7*10000,0)/12000000,0)/100+0.02,2),0)</f>
        <v>0</v>
      </c>
      <c r="AK272" s="24">
        <f>IF(AM271&gt;0,IF(AND(ROUND(AM271+AL272-ROUND(AK$6+IF(AK$5=$C272,$E$5+$E272,0),2),2)&gt;0,ROUND(AM271+AL272-ROUND(AK$6+IF(AK$5=$C272,$E$5+$E272,0),2),2)&lt;=AN272,ROUND(AM271+AL272-ROUND(AK$6+IF(AK$5=$C272,$E$5+$E272,0),2),2)*10&lt;=ROUND(AK$6+IF(AK$5=$C272,$E$5+$E272,0),2)),ROUND(AM271+AL272,2),MIN(ROUND(AK$6+IF(AK$5=$C272,$E$5+$E272,0),2),ROUND(AM271+AL272,2))),0)</f>
        <v>0</v>
      </c>
      <c r="AL272" s="24">
        <f>IF(AM271&gt;0,ROUND(ROUND(AM271*100,0)*ROUND(AK$7*10000,0)/12000000,0)/100,0)</f>
        <v>0</v>
      </c>
      <c r="AM272" s="24">
        <f>IF(AM271&gt;0,ROUND(AM271+AL272-AK272,2),0)</f>
        <v>0</v>
      </c>
      <c r="AN272" s="24">
        <f>IF(AM271&gt;0,ROUND(AN271+ROUND(ROUND(AN271*100,0)*ROUND(AK$7*10000,0)/12000000,0)/100+0.02,2),0)</f>
        <v>0</v>
      </c>
      <c r="AO272" s="24">
        <f>IF(AQ271&gt;0,IF(AND(ROUND(AQ271+AP272-ROUND(AO$6+IF(AO$5=$C272,$E$5+$E272,0),2),2)&gt;0,ROUND(AQ271+AP272-ROUND(AO$6+IF(AO$5=$C272,$E$5+$E272,0),2),2)&lt;=AR272,ROUND(AQ271+AP272-ROUND(AO$6+IF(AO$5=$C272,$E$5+$E272,0),2),2)*10&lt;=ROUND(AO$6+IF(AO$5=$C272,$E$5+$E272,0),2)),ROUND(AQ271+AP272,2),MIN(ROUND(AO$6+IF(AO$5=$C272,$E$5+$E272,0),2),ROUND(AQ271+AP272,2))),0)</f>
        <v>0</v>
      </c>
      <c r="AP272" s="24">
        <f>IF(AQ271&gt;0,ROUND(ROUND(AQ271*100,0)*ROUND(AO$7*10000,0)/12000000,0)/100,0)</f>
        <v>0</v>
      </c>
      <c r="AQ272" s="24">
        <f>IF(AQ271&gt;0,ROUND(AQ271+AP272-AO272,2),0)</f>
        <v>0</v>
      </c>
      <c r="AR272" s="24">
        <f>IF(AQ271&gt;0,ROUND(AR271+ROUND(ROUND(AR271*100,0)*ROUND(AO$7*10000,0)/12000000,0)/100+0.02,2),0)</f>
        <v>0</v>
      </c>
      <c r="AS272" s="24">
        <f>IF(AU271&gt;0,IF(AND(ROUND(AU271+AT272-ROUND(AS$6+IF(AS$5=$C272,$E$5+$E272,0),2),2)&gt;0,ROUND(AU271+AT272-ROUND(AS$6+IF(AS$5=$C272,$E$5+$E272,0),2),2)&lt;=AV272,ROUND(AU271+AT272-ROUND(AS$6+IF(AS$5=$C272,$E$5+$E272,0),2),2)*10&lt;=ROUND(AS$6+IF(AS$5=$C272,$E$5+$E272,0),2)),ROUND(AU271+AT272,2),MIN(ROUND(AS$6+IF(AS$5=$C272,$E$5+$E272,0),2),ROUND(AU271+AT272,2))),0)</f>
        <v>0</v>
      </c>
      <c r="AT272" s="24">
        <f>IF(AU271&gt;0,ROUND(ROUND(AU271*100,0)*ROUND(AS$7*10000,0)/12000000,0)/100,0)</f>
        <v>0</v>
      </c>
      <c r="AU272" s="24">
        <f>IF(AU271&gt;0,ROUND(AU271+AT272-AS272,2),0)</f>
        <v>0</v>
      </c>
      <c r="AV272" s="24">
        <f>IF(AU271&gt;0,ROUND(AV271+ROUND(ROUND(AV271*100,0)*ROUND(AS$7*10000,0)/12000000,0)/100+0.02,2),0)</f>
        <v>0</v>
      </c>
    </row>
    <row r="273" spans="1:48" x14ac:dyDescent="0.25">
      <c r="A273" s="17" t="str">
        <f>IF(F273&gt;0,263,"")</f>
        <v/>
      </c>
      <c r="B273" s="18" t="str">
        <f>IF(F273&gt;0,EDATE($E$6,263),"")</f>
        <v/>
      </c>
      <c r="C273" s="21">
        <f>IF(H272&gt;0,MIN(IF(K272&gt;0,I$5,99),IF(O272&gt;0,M$5,99),IF(S272&gt;0,Q$5,99),IF(W272&gt;0,U$5,99),IF(AA272&gt;0,Y$5,99),IF(AE272&gt;0,AC$5,99),IF(AI272&gt;0,AG$5,99),IF(AM272&gt;0,AK$5,99),IF(AQ272&gt;0,AO$5,99),IF(AU272&gt;0,AS$5,99)),0)</f>
        <v>0</v>
      </c>
      <c r="D273" t="str">
        <f>IF(C273&gt;0,INDEX($I$4:$AV$4,1,MATCH(C273,$I$5:$AV$5,0)),"")</f>
        <v/>
      </c>
      <c r="E273" s="24">
        <f>ROUND(IF(AND(I$8&gt;0,K272=0),I$6,0)+IF(AND(M$8&gt;0,O272=0),M$6,0)+IF(AND(Q$8&gt;0,S272=0),Q$6,0)+IF(AND(U$8&gt;0,W272=0),U$6,0)+IF(AND(Y$8&gt;0,AA272=0),Y$6,0)+IF(AND(AC$8&gt;0,AE272=0),AC$6,0)+IF(AND(AG$8&gt;0,AI272=0),AG$6,0)+IF(AND(AK$8&gt;0,AM272=0),AK$6,0)+IF(AND(AO$8&gt;0,AQ272=0),AO$6,0)+IF(AND(AS$8&gt;0,AU272=0),AS$6,0),2)</f>
        <v>325</v>
      </c>
      <c r="F273" s="24">
        <f>ROUND(I273+M273+Q273+U273+Y273+AC273+AG273+AK273+AO273+AS273,2)</f>
        <v>0</v>
      </c>
      <c r="G273" s="24">
        <f>ROUND(J273+N273+R273+V273+Z273+AD273+AH273+AL273+AP273+AT273,2)</f>
        <v>0</v>
      </c>
      <c r="H273" s="24">
        <f>ROUND(K273+O273+S273+W273+AA273+AE273+AI273+AM273+AQ273+AU273,2)</f>
        <v>0</v>
      </c>
      <c r="I273" s="24">
        <f>IF(K272&gt;0,IF(AND(ROUND(K272+J273-ROUND(I$6+IF(I$5=$C273,$E$5+$E273,0),2),2)&gt;0,ROUND(K272+J273-ROUND(I$6+IF(I$5=$C273,$E$5+$E273,0),2),2)&lt;=L273,ROUND(K272+J273-ROUND(I$6+IF(I$5=$C273,$E$5+$E273,0),2),2)*10&lt;=ROUND(I$6+IF(I$5=$C273,$E$5+$E273,0),2)),ROUND(K272+J273,2),MIN(ROUND(I$6+IF(I$5=$C273,$E$5+$E273,0),2),ROUND(K272+J273,2))),0)</f>
        <v>0</v>
      </c>
      <c r="J273" s="24">
        <f>IF(K272&gt;0,ROUND(ROUND(K272*100,0)*ROUND(I$7*10000,0)/12000000,0)/100,0)</f>
        <v>0</v>
      </c>
      <c r="K273" s="24">
        <f>IF(K272&gt;0,ROUND(K272+J273-I273,2),0)</f>
        <v>0</v>
      </c>
      <c r="L273" s="24">
        <f>IF(K272&gt;0,ROUND(L272+ROUND(ROUND(L272*100,0)*ROUND(I$7*10000,0)/12000000,0)/100+0.02,2),0)</f>
        <v>0</v>
      </c>
      <c r="M273" s="24">
        <f>IF(O272&gt;0,IF(AND(ROUND(O272+N273-ROUND(M$6+IF(M$5=$C273,$E$5+$E273,0),2),2)&gt;0,ROUND(O272+N273-ROUND(M$6+IF(M$5=$C273,$E$5+$E273,0),2),2)&lt;=P273,ROUND(O272+N273-ROUND(M$6+IF(M$5=$C273,$E$5+$E273,0),2),2)*10&lt;=ROUND(M$6+IF(M$5=$C273,$E$5+$E273,0),2)),ROUND(O272+N273,2),MIN(ROUND(M$6+IF(M$5=$C273,$E$5+$E273,0),2),ROUND(O272+N273,2))),0)</f>
        <v>0</v>
      </c>
      <c r="N273" s="24">
        <f>IF(O272&gt;0,ROUND(ROUND(O272*100,0)*ROUND(M$7*10000,0)/12000000,0)/100,0)</f>
        <v>0</v>
      </c>
      <c r="O273" s="24">
        <f>IF(O272&gt;0,ROUND(O272+N273-M273,2),0)</f>
        <v>0</v>
      </c>
      <c r="P273" s="24">
        <f>IF(O272&gt;0,ROUND(P272+ROUND(ROUND(P272*100,0)*ROUND(M$7*10000,0)/12000000,0)/100+0.02,2),0)</f>
        <v>0</v>
      </c>
      <c r="Q273" s="24">
        <f>IF(S272&gt;0,IF(AND(ROUND(S272+R273-ROUND(Q$6+IF(Q$5=$C273,$E$5+$E273,0),2),2)&gt;0,ROUND(S272+R273-ROUND(Q$6+IF(Q$5=$C273,$E$5+$E273,0),2),2)&lt;=T273,ROUND(S272+R273-ROUND(Q$6+IF(Q$5=$C273,$E$5+$E273,0),2),2)*10&lt;=ROUND(Q$6+IF(Q$5=$C273,$E$5+$E273,0),2)),ROUND(S272+R273,2),MIN(ROUND(Q$6+IF(Q$5=$C273,$E$5+$E273,0),2),ROUND(S272+R273,2))),0)</f>
        <v>0</v>
      </c>
      <c r="R273" s="24">
        <f>IF(S272&gt;0,ROUND(ROUND(S272*100,0)*ROUND(Q$7*10000,0)/12000000,0)/100,0)</f>
        <v>0</v>
      </c>
      <c r="S273" s="24">
        <f>IF(S272&gt;0,ROUND(S272+R273-Q273,2),0)</f>
        <v>0</v>
      </c>
      <c r="T273" s="24">
        <f>IF(S272&gt;0,ROUND(T272+ROUND(ROUND(T272*100,0)*ROUND(Q$7*10000,0)/12000000,0)/100+0.02,2),0)</f>
        <v>0</v>
      </c>
      <c r="U273" s="24">
        <f>IF(W272&gt;0,IF(AND(ROUND(W272+V273-ROUND(U$6+IF(U$5=$C273,$E$5+$E273,0),2),2)&gt;0,ROUND(W272+V273-ROUND(U$6+IF(U$5=$C273,$E$5+$E273,0),2),2)&lt;=X273,ROUND(W272+V273-ROUND(U$6+IF(U$5=$C273,$E$5+$E273,0),2),2)*10&lt;=ROUND(U$6+IF(U$5=$C273,$E$5+$E273,0),2)),ROUND(W272+V273,2),MIN(ROUND(U$6+IF(U$5=$C273,$E$5+$E273,0),2),ROUND(W272+V273,2))),0)</f>
        <v>0</v>
      </c>
      <c r="V273" s="24">
        <f>IF(W272&gt;0,ROUND(ROUND(W272*100,0)*ROUND(U$7*10000,0)/12000000,0)/100,0)</f>
        <v>0</v>
      </c>
      <c r="W273" s="24">
        <f>IF(W272&gt;0,ROUND(W272+V273-U273,2),0)</f>
        <v>0</v>
      </c>
      <c r="X273" s="24">
        <f>IF(W272&gt;0,ROUND(X272+ROUND(ROUND(X272*100,0)*ROUND(U$7*10000,0)/12000000,0)/100+0.02,2),0)</f>
        <v>0</v>
      </c>
      <c r="Y273" s="24">
        <f>IF(AA272&gt;0,IF(AND(ROUND(AA272+Z273-ROUND(Y$6+IF(Y$5=$C273,$E$5+$E273,0),2),2)&gt;0,ROUND(AA272+Z273-ROUND(Y$6+IF(Y$5=$C273,$E$5+$E273,0),2),2)&lt;=AB273,ROUND(AA272+Z273-ROUND(Y$6+IF(Y$5=$C273,$E$5+$E273,0),2),2)*10&lt;=ROUND(Y$6+IF(Y$5=$C273,$E$5+$E273,0),2)),ROUND(AA272+Z273,2),MIN(ROUND(Y$6+IF(Y$5=$C273,$E$5+$E273,0),2),ROUND(AA272+Z273,2))),0)</f>
        <v>0</v>
      </c>
      <c r="Z273" s="24">
        <f>IF(AA272&gt;0,ROUND(ROUND(AA272*100,0)*ROUND(Y$7*10000,0)/12000000,0)/100,0)</f>
        <v>0</v>
      </c>
      <c r="AA273" s="24">
        <f>IF(AA272&gt;0,ROUND(AA272+Z273-Y273,2),0)</f>
        <v>0</v>
      </c>
      <c r="AB273" s="24">
        <f>IF(AA272&gt;0,ROUND(AB272+ROUND(ROUND(AB272*100,0)*ROUND(Y$7*10000,0)/12000000,0)/100+0.02,2),0)</f>
        <v>0</v>
      </c>
      <c r="AC273" s="24">
        <f>IF(AE272&gt;0,IF(AND(ROUND(AE272+AD273-ROUND(AC$6+IF(AC$5=$C273,$E$5+$E273,0),2),2)&gt;0,ROUND(AE272+AD273-ROUND(AC$6+IF(AC$5=$C273,$E$5+$E273,0),2),2)&lt;=AF273,ROUND(AE272+AD273-ROUND(AC$6+IF(AC$5=$C273,$E$5+$E273,0),2),2)*10&lt;=ROUND(AC$6+IF(AC$5=$C273,$E$5+$E273,0),2)),ROUND(AE272+AD273,2),MIN(ROUND(AC$6+IF(AC$5=$C273,$E$5+$E273,0),2),ROUND(AE272+AD273,2))),0)</f>
        <v>0</v>
      </c>
      <c r="AD273" s="24">
        <f>IF(AE272&gt;0,ROUND(ROUND(AE272*100,0)*ROUND(AC$7*10000,0)/12000000,0)/100,0)</f>
        <v>0</v>
      </c>
      <c r="AE273" s="24">
        <f>IF(AE272&gt;0,ROUND(AE272+AD273-AC273,2),0)</f>
        <v>0</v>
      </c>
      <c r="AF273" s="24">
        <f>IF(AE272&gt;0,ROUND(AF272+ROUND(ROUND(AF272*100,0)*ROUND(AC$7*10000,0)/12000000,0)/100+0.02,2),0)</f>
        <v>0</v>
      </c>
      <c r="AG273" s="24">
        <f>IF(AI272&gt;0,IF(AND(ROUND(AI272+AH273-ROUND(AG$6+IF(AG$5=$C273,$E$5+$E273,0),2),2)&gt;0,ROUND(AI272+AH273-ROUND(AG$6+IF(AG$5=$C273,$E$5+$E273,0),2),2)&lt;=AJ273,ROUND(AI272+AH273-ROUND(AG$6+IF(AG$5=$C273,$E$5+$E273,0),2),2)*10&lt;=ROUND(AG$6+IF(AG$5=$C273,$E$5+$E273,0),2)),ROUND(AI272+AH273,2),MIN(ROUND(AG$6+IF(AG$5=$C273,$E$5+$E273,0),2),ROUND(AI272+AH273,2))),0)</f>
        <v>0</v>
      </c>
      <c r="AH273" s="24">
        <f>IF(AI272&gt;0,ROUND(ROUND(AI272*100,0)*ROUND(AG$7*10000,0)/12000000,0)/100,0)</f>
        <v>0</v>
      </c>
      <c r="AI273" s="24">
        <f>IF(AI272&gt;0,ROUND(AI272+AH273-AG273,2),0)</f>
        <v>0</v>
      </c>
      <c r="AJ273" s="24">
        <f>IF(AI272&gt;0,ROUND(AJ272+ROUND(ROUND(AJ272*100,0)*ROUND(AG$7*10000,0)/12000000,0)/100+0.02,2),0)</f>
        <v>0</v>
      </c>
      <c r="AK273" s="24">
        <f>IF(AM272&gt;0,IF(AND(ROUND(AM272+AL273-ROUND(AK$6+IF(AK$5=$C273,$E$5+$E273,0),2),2)&gt;0,ROUND(AM272+AL273-ROUND(AK$6+IF(AK$5=$C273,$E$5+$E273,0),2),2)&lt;=AN273,ROUND(AM272+AL273-ROUND(AK$6+IF(AK$5=$C273,$E$5+$E273,0),2),2)*10&lt;=ROUND(AK$6+IF(AK$5=$C273,$E$5+$E273,0),2)),ROUND(AM272+AL273,2),MIN(ROUND(AK$6+IF(AK$5=$C273,$E$5+$E273,0),2),ROUND(AM272+AL273,2))),0)</f>
        <v>0</v>
      </c>
      <c r="AL273" s="24">
        <f>IF(AM272&gt;0,ROUND(ROUND(AM272*100,0)*ROUND(AK$7*10000,0)/12000000,0)/100,0)</f>
        <v>0</v>
      </c>
      <c r="AM273" s="24">
        <f>IF(AM272&gt;0,ROUND(AM272+AL273-AK273,2),0)</f>
        <v>0</v>
      </c>
      <c r="AN273" s="24">
        <f>IF(AM272&gt;0,ROUND(AN272+ROUND(ROUND(AN272*100,0)*ROUND(AK$7*10000,0)/12000000,0)/100+0.02,2),0)</f>
        <v>0</v>
      </c>
      <c r="AO273" s="24">
        <f>IF(AQ272&gt;0,IF(AND(ROUND(AQ272+AP273-ROUND(AO$6+IF(AO$5=$C273,$E$5+$E273,0),2),2)&gt;0,ROUND(AQ272+AP273-ROUND(AO$6+IF(AO$5=$C273,$E$5+$E273,0),2),2)&lt;=AR273,ROUND(AQ272+AP273-ROUND(AO$6+IF(AO$5=$C273,$E$5+$E273,0),2),2)*10&lt;=ROUND(AO$6+IF(AO$5=$C273,$E$5+$E273,0),2)),ROUND(AQ272+AP273,2),MIN(ROUND(AO$6+IF(AO$5=$C273,$E$5+$E273,0),2),ROUND(AQ272+AP273,2))),0)</f>
        <v>0</v>
      </c>
      <c r="AP273" s="24">
        <f>IF(AQ272&gt;0,ROUND(ROUND(AQ272*100,0)*ROUND(AO$7*10000,0)/12000000,0)/100,0)</f>
        <v>0</v>
      </c>
      <c r="AQ273" s="24">
        <f>IF(AQ272&gt;0,ROUND(AQ272+AP273-AO273,2),0)</f>
        <v>0</v>
      </c>
      <c r="AR273" s="24">
        <f>IF(AQ272&gt;0,ROUND(AR272+ROUND(ROUND(AR272*100,0)*ROUND(AO$7*10000,0)/12000000,0)/100+0.02,2),0)</f>
        <v>0</v>
      </c>
      <c r="AS273" s="24">
        <f>IF(AU272&gt;0,IF(AND(ROUND(AU272+AT273-ROUND(AS$6+IF(AS$5=$C273,$E$5+$E273,0),2),2)&gt;0,ROUND(AU272+AT273-ROUND(AS$6+IF(AS$5=$C273,$E$5+$E273,0),2),2)&lt;=AV273,ROUND(AU272+AT273-ROUND(AS$6+IF(AS$5=$C273,$E$5+$E273,0),2),2)*10&lt;=ROUND(AS$6+IF(AS$5=$C273,$E$5+$E273,0),2)),ROUND(AU272+AT273,2),MIN(ROUND(AS$6+IF(AS$5=$C273,$E$5+$E273,0),2),ROUND(AU272+AT273,2))),0)</f>
        <v>0</v>
      </c>
      <c r="AT273" s="24">
        <f>IF(AU272&gt;0,ROUND(ROUND(AU272*100,0)*ROUND(AS$7*10000,0)/12000000,0)/100,0)</f>
        <v>0</v>
      </c>
      <c r="AU273" s="24">
        <f>IF(AU272&gt;0,ROUND(AU272+AT273-AS273,2),0)</f>
        <v>0</v>
      </c>
      <c r="AV273" s="24">
        <f>IF(AU272&gt;0,ROUND(AV272+ROUND(ROUND(AV272*100,0)*ROUND(AS$7*10000,0)/12000000,0)/100+0.02,2),0)</f>
        <v>0</v>
      </c>
    </row>
    <row r="274" spans="1:48" x14ac:dyDescent="0.25">
      <c r="A274" s="17" t="str">
        <f>IF(F274&gt;0,264,"")</f>
        <v/>
      </c>
      <c r="B274" s="18" t="str">
        <f>IF(F274&gt;0,EDATE($E$6,264),"")</f>
        <v/>
      </c>
      <c r="C274" s="21">
        <f>IF(H273&gt;0,MIN(IF(K273&gt;0,I$5,99),IF(O273&gt;0,M$5,99),IF(S273&gt;0,Q$5,99),IF(W273&gt;0,U$5,99),IF(AA273&gt;0,Y$5,99),IF(AE273&gt;0,AC$5,99),IF(AI273&gt;0,AG$5,99),IF(AM273&gt;0,AK$5,99),IF(AQ273&gt;0,AO$5,99),IF(AU273&gt;0,AS$5,99)),0)</f>
        <v>0</v>
      </c>
      <c r="D274" t="str">
        <f>IF(C274&gt;0,INDEX($I$4:$AV$4,1,MATCH(C274,$I$5:$AV$5,0)),"")</f>
        <v/>
      </c>
      <c r="E274" s="24">
        <f>ROUND(IF(AND(I$8&gt;0,K273=0),I$6,0)+IF(AND(M$8&gt;0,O273=0),M$6,0)+IF(AND(Q$8&gt;0,S273=0),Q$6,0)+IF(AND(U$8&gt;0,W273=0),U$6,0)+IF(AND(Y$8&gt;0,AA273=0),Y$6,0)+IF(AND(AC$8&gt;0,AE273=0),AC$6,0)+IF(AND(AG$8&gt;0,AI273=0),AG$6,0)+IF(AND(AK$8&gt;0,AM273=0),AK$6,0)+IF(AND(AO$8&gt;0,AQ273=0),AO$6,0)+IF(AND(AS$8&gt;0,AU273=0),AS$6,0),2)</f>
        <v>325</v>
      </c>
      <c r="F274" s="24">
        <f>ROUND(I274+M274+Q274+U274+Y274+AC274+AG274+AK274+AO274+AS274,2)</f>
        <v>0</v>
      </c>
      <c r="G274" s="24">
        <f>ROUND(J274+N274+R274+V274+Z274+AD274+AH274+AL274+AP274+AT274,2)</f>
        <v>0</v>
      </c>
      <c r="H274" s="24">
        <f>ROUND(K274+O274+S274+W274+AA274+AE274+AI274+AM274+AQ274+AU274,2)</f>
        <v>0</v>
      </c>
      <c r="I274" s="24">
        <f>IF(K273&gt;0,IF(AND(ROUND(K273+J274-ROUND(I$6+IF(I$5=$C274,$E$5+$E274,0),2),2)&gt;0,ROUND(K273+J274-ROUND(I$6+IF(I$5=$C274,$E$5+$E274,0),2),2)&lt;=L274,ROUND(K273+J274-ROUND(I$6+IF(I$5=$C274,$E$5+$E274,0),2),2)*10&lt;=ROUND(I$6+IF(I$5=$C274,$E$5+$E274,0),2)),ROUND(K273+J274,2),MIN(ROUND(I$6+IF(I$5=$C274,$E$5+$E274,0),2),ROUND(K273+J274,2))),0)</f>
        <v>0</v>
      </c>
      <c r="J274" s="24">
        <f>IF(K273&gt;0,ROUND(ROUND(K273*100,0)*ROUND(I$7*10000,0)/12000000,0)/100,0)</f>
        <v>0</v>
      </c>
      <c r="K274" s="24">
        <f>IF(K273&gt;0,ROUND(K273+J274-I274,2),0)</f>
        <v>0</v>
      </c>
      <c r="L274" s="24">
        <f>IF(K273&gt;0,ROUND(L273+ROUND(ROUND(L273*100,0)*ROUND(I$7*10000,0)/12000000,0)/100+0.02,2),0)</f>
        <v>0</v>
      </c>
      <c r="M274" s="24">
        <f>IF(O273&gt;0,IF(AND(ROUND(O273+N274-ROUND(M$6+IF(M$5=$C274,$E$5+$E274,0),2),2)&gt;0,ROUND(O273+N274-ROUND(M$6+IF(M$5=$C274,$E$5+$E274,0),2),2)&lt;=P274,ROUND(O273+N274-ROUND(M$6+IF(M$5=$C274,$E$5+$E274,0),2),2)*10&lt;=ROUND(M$6+IF(M$5=$C274,$E$5+$E274,0),2)),ROUND(O273+N274,2),MIN(ROUND(M$6+IF(M$5=$C274,$E$5+$E274,0),2),ROUND(O273+N274,2))),0)</f>
        <v>0</v>
      </c>
      <c r="N274" s="24">
        <f>IF(O273&gt;0,ROUND(ROUND(O273*100,0)*ROUND(M$7*10000,0)/12000000,0)/100,0)</f>
        <v>0</v>
      </c>
      <c r="O274" s="24">
        <f>IF(O273&gt;0,ROUND(O273+N274-M274,2),0)</f>
        <v>0</v>
      </c>
      <c r="P274" s="24">
        <f>IF(O273&gt;0,ROUND(P273+ROUND(ROUND(P273*100,0)*ROUND(M$7*10000,0)/12000000,0)/100+0.02,2),0)</f>
        <v>0</v>
      </c>
      <c r="Q274" s="24">
        <f>IF(S273&gt;0,IF(AND(ROUND(S273+R274-ROUND(Q$6+IF(Q$5=$C274,$E$5+$E274,0),2),2)&gt;0,ROUND(S273+R274-ROUND(Q$6+IF(Q$5=$C274,$E$5+$E274,0),2),2)&lt;=T274,ROUND(S273+R274-ROUND(Q$6+IF(Q$5=$C274,$E$5+$E274,0),2),2)*10&lt;=ROUND(Q$6+IF(Q$5=$C274,$E$5+$E274,0),2)),ROUND(S273+R274,2),MIN(ROUND(Q$6+IF(Q$5=$C274,$E$5+$E274,0),2),ROUND(S273+R274,2))),0)</f>
        <v>0</v>
      </c>
      <c r="R274" s="24">
        <f>IF(S273&gt;0,ROUND(ROUND(S273*100,0)*ROUND(Q$7*10000,0)/12000000,0)/100,0)</f>
        <v>0</v>
      </c>
      <c r="S274" s="24">
        <f>IF(S273&gt;0,ROUND(S273+R274-Q274,2),0)</f>
        <v>0</v>
      </c>
      <c r="T274" s="24">
        <f>IF(S273&gt;0,ROUND(T273+ROUND(ROUND(T273*100,0)*ROUND(Q$7*10000,0)/12000000,0)/100+0.02,2),0)</f>
        <v>0</v>
      </c>
      <c r="U274" s="24">
        <f>IF(W273&gt;0,IF(AND(ROUND(W273+V274-ROUND(U$6+IF(U$5=$C274,$E$5+$E274,0),2),2)&gt;0,ROUND(W273+V274-ROUND(U$6+IF(U$5=$C274,$E$5+$E274,0),2),2)&lt;=X274,ROUND(W273+V274-ROUND(U$6+IF(U$5=$C274,$E$5+$E274,0),2),2)*10&lt;=ROUND(U$6+IF(U$5=$C274,$E$5+$E274,0),2)),ROUND(W273+V274,2),MIN(ROUND(U$6+IF(U$5=$C274,$E$5+$E274,0),2),ROUND(W273+V274,2))),0)</f>
        <v>0</v>
      </c>
      <c r="V274" s="24">
        <f>IF(W273&gt;0,ROUND(ROUND(W273*100,0)*ROUND(U$7*10000,0)/12000000,0)/100,0)</f>
        <v>0</v>
      </c>
      <c r="W274" s="24">
        <f>IF(W273&gt;0,ROUND(W273+V274-U274,2),0)</f>
        <v>0</v>
      </c>
      <c r="X274" s="24">
        <f>IF(W273&gt;0,ROUND(X273+ROUND(ROUND(X273*100,0)*ROUND(U$7*10000,0)/12000000,0)/100+0.02,2),0)</f>
        <v>0</v>
      </c>
      <c r="Y274" s="24">
        <f>IF(AA273&gt;0,IF(AND(ROUND(AA273+Z274-ROUND(Y$6+IF(Y$5=$C274,$E$5+$E274,0),2),2)&gt;0,ROUND(AA273+Z274-ROUND(Y$6+IF(Y$5=$C274,$E$5+$E274,0),2),2)&lt;=AB274,ROUND(AA273+Z274-ROUND(Y$6+IF(Y$5=$C274,$E$5+$E274,0),2),2)*10&lt;=ROUND(Y$6+IF(Y$5=$C274,$E$5+$E274,0),2)),ROUND(AA273+Z274,2),MIN(ROUND(Y$6+IF(Y$5=$C274,$E$5+$E274,0),2),ROUND(AA273+Z274,2))),0)</f>
        <v>0</v>
      </c>
      <c r="Z274" s="24">
        <f>IF(AA273&gt;0,ROUND(ROUND(AA273*100,0)*ROUND(Y$7*10000,0)/12000000,0)/100,0)</f>
        <v>0</v>
      </c>
      <c r="AA274" s="24">
        <f>IF(AA273&gt;0,ROUND(AA273+Z274-Y274,2),0)</f>
        <v>0</v>
      </c>
      <c r="AB274" s="24">
        <f>IF(AA273&gt;0,ROUND(AB273+ROUND(ROUND(AB273*100,0)*ROUND(Y$7*10000,0)/12000000,0)/100+0.02,2),0)</f>
        <v>0</v>
      </c>
      <c r="AC274" s="24">
        <f>IF(AE273&gt;0,IF(AND(ROUND(AE273+AD274-ROUND(AC$6+IF(AC$5=$C274,$E$5+$E274,0),2),2)&gt;0,ROUND(AE273+AD274-ROUND(AC$6+IF(AC$5=$C274,$E$5+$E274,0),2),2)&lt;=AF274,ROUND(AE273+AD274-ROUND(AC$6+IF(AC$5=$C274,$E$5+$E274,0),2),2)*10&lt;=ROUND(AC$6+IF(AC$5=$C274,$E$5+$E274,0),2)),ROUND(AE273+AD274,2),MIN(ROUND(AC$6+IF(AC$5=$C274,$E$5+$E274,0),2),ROUND(AE273+AD274,2))),0)</f>
        <v>0</v>
      </c>
      <c r="AD274" s="24">
        <f>IF(AE273&gt;0,ROUND(ROUND(AE273*100,0)*ROUND(AC$7*10000,0)/12000000,0)/100,0)</f>
        <v>0</v>
      </c>
      <c r="AE274" s="24">
        <f>IF(AE273&gt;0,ROUND(AE273+AD274-AC274,2),0)</f>
        <v>0</v>
      </c>
      <c r="AF274" s="24">
        <f>IF(AE273&gt;0,ROUND(AF273+ROUND(ROUND(AF273*100,0)*ROUND(AC$7*10000,0)/12000000,0)/100+0.02,2),0)</f>
        <v>0</v>
      </c>
      <c r="AG274" s="24">
        <f>IF(AI273&gt;0,IF(AND(ROUND(AI273+AH274-ROUND(AG$6+IF(AG$5=$C274,$E$5+$E274,0),2),2)&gt;0,ROUND(AI273+AH274-ROUND(AG$6+IF(AG$5=$C274,$E$5+$E274,0),2),2)&lt;=AJ274,ROUND(AI273+AH274-ROUND(AG$6+IF(AG$5=$C274,$E$5+$E274,0),2),2)*10&lt;=ROUND(AG$6+IF(AG$5=$C274,$E$5+$E274,0),2)),ROUND(AI273+AH274,2),MIN(ROUND(AG$6+IF(AG$5=$C274,$E$5+$E274,0),2),ROUND(AI273+AH274,2))),0)</f>
        <v>0</v>
      </c>
      <c r="AH274" s="24">
        <f>IF(AI273&gt;0,ROUND(ROUND(AI273*100,0)*ROUND(AG$7*10000,0)/12000000,0)/100,0)</f>
        <v>0</v>
      </c>
      <c r="AI274" s="24">
        <f>IF(AI273&gt;0,ROUND(AI273+AH274-AG274,2),0)</f>
        <v>0</v>
      </c>
      <c r="AJ274" s="24">
        <f>IF(AI273&gt;0,ROUND(AJ273+ROUND(ROUND(AJ273*100,0)*ROUND(AG$7*10000,0)/12000000,0)/100+0.02,2),0)</f>
        <v>0</v>
      </c>
      <c r="AK274" s="24">
        <f>IF(AM273&gt;0,IF(AND(ROUND(AM273+AL274-ROUND(AK$6+IF(AK$5=$C274,$E$5+$E274,0),2),2)&gt;0,ROUND(AM273+AL274-ROUND(AK$6+IF(AK$5=$C274,$E$5+$E274,0),2),2)&lt;=AN274,ROUND(AM273+AL274-ROUND(AK$6+IF(AK$5=$C274,$E$5+$E274,0),2),2)*10&lt;=ROUND(AK$6+IF(AK$5=$C274,$E$5+$E274,0),2)),ROUND(AM273+AL274,2),MIN(ROUND(AK$6+IF(AK$5=$C274,$E$5+$E274,0),2),ROUND(AM273+AL274,2))),0)</f>
        <v>0</v>
      </c>
      <c r="AL274" s="24">
        <f>IF(AM273&gt;0,ROUND(ROUND(AM273*100,0)*ROUND(AK$7*10000,0)/12000000,0)/100,0)</f>
        <v>0</v>
      </c>
      <c r="AM274" s="24">
        <f>IF(AM273&gt;0,ROUND(AM273+AL274-AK274,2),0)</f>
        <v>0</v>
      </c>
      <c r="AN274" s="24">
        <f>IF(AM273&gt;0,ROUND(AN273+ROUND(ROUND(AN273*100,0)*ROUND(AK$7*10000,0)/12000000,0)/100+0.02,2),0)</f>
        <v>0</v>
      </c>
      <c r="AO274" s="24">
        <f>IF(AQ273&gt;0,IF(AND(ROUND(AQ273+AP274-ROUND(AO$6+IF(AO$5=$C274,$E$5+$E274,0),2),2)&gt;0,ROUND(AQ273+AP274-ROUND(AO$6+IF(AO$5=$C274,$E$5+$E274,0),2),2)&lt;=AR274,ROUND(AQ273+AP274-ROUND(AO$6+IF(AO$5=$C274,$E$5+$E274,0),2),2)*10&lt;=ROUND(AO$6+IF(AO$5=$C274,$E$5+$E274,0),2)),ROUND(AQ273+AP274,2),MIN(ROUND(AO$6+IF(AO$5=$C274,$E$5+$E274,0),2),ROUND(AQ273+AP274,2))),0)</f>
        <v>0</v>
      </c>
      <c r="AP274" s="24">
        <f>IF(AQ273&gt;0,ROUND(ROUND(AQ273*100,0)*ROUND(AO$7*10000,0)/12000000,0)/100,0)</f>
        <v>0</v>
      </c>
      <c r="AQ274" s="24">
        <f>IF(AQ273&gt;0,ROUND(AQ273+AP274-AO274,2),0)</f>
        <v>0</v>
      </c>
      <c r="AR274" s="24">
        <f>IF(AQ273&gt;0,ROUND(AR273+ROUND(ROUND(AR273*100,0)*ROUND(AO$7*10000,0)/12000000,0)/100+0.02,2),0)</f>
        <v>0</v>
      </c>
      <c r="AS274" s="24">
        <f>IF(AU273&gt;0,IF(AND(ROUND(AU273+AT274-ROUND(AS$6+IF(AS$5=$C274,$E$5+$E274,0),2),2)&gt;0,ROUND(AU273+AT274-ROUND(AS$6+IF(AS$5=$C274,$E$5+$E274,0),2),2)&lt;=AV274,ROUND(AU273+AT274-ROUND(AS$6+IF(AS$5=$C274,$E$5+$E274,0),2),2)*10&lt;=ROUND(AS$6+IF(AS$5=$C274,$E$5+$E274,0),2)),ROUND(AU273+AT274,2),MIN(ROUND(AS$6+IF(AS$5=$C274,$E$5+$E274,0),2),ROUND(AU273+AT274,2))),0)</f>
        <v>0</v>
      </c>
      <c r="AT274" s="24">
        <f>IF(AU273&gt;0,ROUND(ROUND(AU273*100,0)*ROUND(AS$7*10000,0)/12000000,0)/100,0)</f>
        <v>0</v>
      </c>
      <c r="AU274" s="24">
        <f>IF(AU273&gt;0,ROUND(AU273+AT274-AS274,2),0)</f>
        <v>0</v>
      </c>
      <c r="AV274" s="24">
        <f>IF(AU273&gt;0,ROUND(AV273+ROUND(ROUND(AV273*100,0)*ROUND(AS$7*10000,0)/12000000,0)/100+0.02,2),0)</f>
        <v>0</v>
      </c>
    </row>
    <row r="275" spans="1:48" x14ac:dyDescent="0.25">
      <c r="A275" s="17" t="str">
        <f>IF(F275&gt;0,265,"")</f>
        <v/>
      </c>
      <c r="B275" s="18" t="str">
        <f>IF(F275&gt;0,EDATE($E$6,265),"")</f>
        <v/>
      </c>
      <c r="C275" s="21">
        <f>IF(H274&gt;0,MIN(IF(K274&gt;0,I$5,99),IF(O274&gt;0,M$5,99),IF(S274&gt;0,Q$5,99),IF(W274&gt;0,U$5,99),IF(AA274&gt;0,Y$5,99),IF(AE274&gt;0,AC$5,99),IF(AI274&gt;0,AG$5,99),IF(AM274&gt;0,AK$5,99),IF(AQ274&gt;0,AO$5,99),IF(AU274&gt;0,AS$5,99)),0)</f>
        <v>0</v>
      </c>
      <c r="D275" t="str">
        <f>IF(C275&gt;0,INDEX($I$4:$AV$4,1,MATCH(C275,$I$5:$AV$5,0)),"")</f>
        <v/>
      </c>
      <c r="E275" s="24">
        <f>ROUND(IF(AND(I$8&gt;0,K274=0),I$6,0)+IF(AND(M$8&gt;0,O274=0),M$6,0)+IF(AND(Q$8&gt;0,S274=0),Q$6,0)+IF(AND(U$8&gt;0,W274=0),U$6,0)+IF(AND(Y$8&gt;0,AA274=0),Y$6,0)+IF(AND(AC$8&gt;0,AE274=0),AC$6,0)+IF(AND(AG$8&gt;0,AI274=0),AG$6,0)+IF(AND(AK$8&gt;0,AM274=0),AK$6,0)+IF(AND(AO$8&gt;0,AQ274=0),AO$6,0)+IF(AND(AS$8&gt;0,AU274=0),AS$6,0),2)</f>
        <v>325</v>
      </c>
      <c r="F275" s="24">
        <f>ROUND(I275+M275+Q275+U275+Y275+AC275+AG275+AK275+AO275+AS275,2)</f>
        <v>0</v>
      </c>
      <c r="G275" s="24">
        <f>ROUND(J275+N275+R275+V275+Z275+AD275+AH275+AL275+AP275+AT275,2)</f>
        <v>0</v>
      </c>
      <c r="H275" s="24">
        <f>ROUND(K275+O275+S275+W275+AA275+AE275+AI275+AM275+AQ275+AU275,2)</f>
        <v>0</v>
      </c>
      <c r="I275" s="24">
        <f>IF(K274&gt;0,IF(AND(ROUND(K274+J275-ROUND(I$6+IF(I$5=$C275,$E$5+$E275,0),2),2)&gt;0,ROUND(K274+J275-ROUND(I$6+IF(I$5=$C275,$E$5+$E275,0),2),2)&lt;=L275,ROUND(K274+J275-ROUND(I$6+IF(I$5=$C275,$E$5+$E275,0),2),2)*10&lt;=ROUND(I$6+IF(I$5=$C275,$E$5+$E275,0),2)),ROUND(K274+J275,2),MIN(ROUND(I$6+IF(I$5=$C275,$E$5+$E275,0),2),ROUND(K274+J275,2))),0)</f>
        <v>0</v>
      </c>
      <c r="J275" s="24">
        <f>IF(K274&gt;0,ROUND(ROUND(K274*100,0)*ROUND(I$7*10000,0)/12000000,0)/100,0)</f>
        <v>0</v>
      </c>
      <c r="K275" s="24">
        <f>IF(K274&gt;0,ROUND(K274+J275-I275,2),0)</f>
        <v>0</v>
      </c>
      <c r="L275" s="24">
        <f>IF(K274&gt;0,ROUND(L274+ROUND(ROUND(L274*100,0)*ROUND(I$7*10000,0)/12000000,0)/100+0.02,2),0)</f>
        <v>0</v>
      </c>
      <c r="M275" s="24">
        <f>IF(O274&gt;0,IF(AND(ROUND(O274+N275-ROUND(M$6+IF(M$5=$C275,$E$5+$E275,0),2),2)&gt;0,ROUND(O274+N275-ROUND(M$6+IF(M$5=$C275,$E$5+$E275,0),2),2)&lt;=P275,ROUND(O274+N275-ROUND(M$6+IF(M$5=$C275,$E$5+$E275,0),2),2)*10&lt;=ROUND(M$6+IF(M$5=$C275,$E$5+$E275,0),2)),ROUND(O274+N275,2),MIN(ROUND(M$6+IF(M$5=$C275,$E$5+$E275,0),2),ROUND(O274+N275,2))),0)</f>
        <v>0</v>
      </c>
      <c r="N275" s="24">
        <f>IF(O274&gt;0,ROUND(ROUND(O274*100,0)*ROUND(M$7*10000,0)/12000000,0)/100,0)</f>
        <v>0</v>
      </c>
      <c r="O275" s="24">
        <f>IF(O274&gt;0,ROUND(O274+N275-M275,2),0)</f>
        <v>0</v>
      </c>
      <c r="P275" s="24">
        <f>IF(O274&gt;0,ROUND(P274+ROUND(ROUND(P274*100,0)*ROUND(M$7*10000,0)/12000000,0)/100+0.02,2),0)</f>
        <v>0</v>
      </c>
      <c r="Q275" s="24">
        <f>IF(S274&gt;0,IF(AND(ROUND(S274+R275-ROUND(Q$6+IF(Q$5=$C275,$E$5+$E275,0),2),2)&gt;0,ROUND(S274+R275-ROUND(Q$6+IF(Q$5=$C275,$E$5+$E275,0),2),2)&lt;=T275,ROUND(S274+R275-ROUND(Q$6+IF(Q$5=$C275,$E$5+$E275,0),2),2)*10&lt;=ROUND(Q$6+IF(Q$5=$C275,$E$5+$E275,0),2)),ROUND(S274+R275,2),MIN(ROUND(Q$6+IF(Q$5=$C275,$E$5+$E275,0),2),ROUND(S274+R275,2))),0)</f>
        <v>0</v>
      </c>
      <c r="R275" s="24">
        <f>IF(S274&gt;0,ROUND(ROUND(S274*100,0)*ROUND(Q$7*10000,0)/12000000,0)/100,0)</f>
        <v>0</v>
      </c>
      <c r="S275" s="24">
        <f>IF(S274&gt;0,ROUND(S274+R275-Q275,2),0)</f>
        <v>0</v>
      </c>
      <c r="T275" s="24">
        <f>IF(S274&gt;0,ROUND(T274+ROUND(ROUND(T274*100,0)*ROUND(Q$7*10000,0)/12000000,0)/100+0.02,2),0)</f>
        <v>0</v>
      </c>
      <c r="U275" s="24">
        <f>IF(W274&gt;0,IF(AND(ROUND(W274+V275-ROUND(U$6+IF(U$5=$C275,$E$5+$E275,0),2),2)&gt;0,ROUND(W274+V275-ROUND(U$6+IF(U$5=$C275,$E$5+$E275,0),2),2)&lt;=X275,ROUND(W274+V275-ROUND(U$6+IF(U$5=$C275,$E$5+$E275,0),2),2)*10&lt;=ROUND(U$6+IF(U$5=$C275,$E$5+$E275,0),2)),ROUND(W274+V275,2),MIN(ROUND(U$6+IF(U$5=$C275,$E$5+$E275,0),2),ROUND(W274+V275,2))),0)</f>
        <v>0</v>
      </c>
      <c r="V275" s="24">
        <f>IF(W274&gt;0,ROUND(ROUND(W274*100,0)*ROUND(U$7*10000,0)/12000000,0)/100,0)</f>
        <v>0</v>
      </c>
      <c r="W275" s="24">
        <f>IF(W274&gt;0,ROUND(W274+V275-U275,2),0)</f>
        <v>0</v>
      </c>
      <c r="X275" s="24">
        <f>IF(W274&gt;0,ROUND(X274+ROUND(ROUND(X274*100,0)*ROUND(U$7*10000,0)/12000000,0)/100+0.02,2),0)</f>
        <v>0</v>
      </c>
      <c r="Y275" s="24">
        <f>IF(AA274&gt;0,IF(AND(ROUND(AA274+Z275-ROUND(Y$6+IF(Y$5=$C275,$E$5+$E275,0),2),2)&gt;0,ROUND(AA274+Z275-ROUND(Y$6+IF(Y$5=$C275,$E$5+$E275,0),2),2)&lt;=AB275,ROUND(AA274+Z275-ROUND(Y$6+IF(Y$5=$C275,$E$5+$E275,0),2),2)*10&lt;=ROUND(Y$6+IF(Y$5=$C275,$E$5+$E275,0),2)),ROUND(AA274+Z275,2),MIN(ROUND(Y$6+IF(Y$5=$C275,$E$5+$E275,0),2),ROUND(AA274+Z275,2))),0)</f>
        <v>0</v>
      </c>
      <c r="Z275" s="24">
        <f>IF(AA274&gt;0,ROUND(ROUND(AA274*100,0)*ROUND(Y$7*10000,0)/12000000,0)/100,0)</f>
        <v>0</v>
      </c>
      <c r="AA275" s="24">
        <f>IF(AA274&gt;0,ROUND(AA274+Z275-Y275,2),0)</f>
        <v>0</v>
      </c>
      <c r="AB275" s="24">
        <f>IF(AA274&gt;0,ROUND(AB274+ROUND(ROUND(AB274*100,0)*ROUND(Y$7*10000,0)/12000000,0)/100+0.02,2),0)</f>
        <v>0</v>
      </c>
      <c r="AC275" s="24">
        <f>IF(AE274&gt;0,IF(AND(ROUND(AE274+AD275-ROUND(AC$6+IF(AC$5=$C275,$E$5+$E275,0),2),2)&gt;0,ROUND(AE274+AD275-ROUND(AC$6+IF(AC$5=$C275,$E$5+$E275,0),2),2)&lt;=AF275,ROUND(AE274+AD275-ROUND(AC$6+IF(AC$5=$C275,$E$5+$E275,0),2),2)*10&lt;=ROUND(AC$6+IF(AC$5=$C275,$E$5+$E275,0),2)),ROUND(AE274+AD275,2),MIN(ROUND(AC$6+IF(AC$5=$C275,$E$5+$E275,0),2),ROUND(AE274+AD275,2))),0)</f>
        <v>0</v>
      </c>
      <c r="AD275" s="24">
        <f>IF(AE274&gt;0,ROUND(ROUND(AE274*100,0)*ROUND(AC$7*10000,0)/12000000,0)/100,0)</f>
        <v>0</v>
      </c>
      <c r="AE275" s="24">
        <f>IF(AE274&gt;0,ROUND(AE274+AD275-AC275,2),0)</f>
        <v>0</v>
      </c>
      <c r="AF275" s="24">
        <f>IF(AE274&gt;0,ROUND(AF274+ROUND(ROUND(AF274*100,0)*ROUND(AC$7*10000,0)/12000000,0)/100+0.02,2),0)</f>
        <v>0</v>
      </c>
      <c r="AG275" s="24">
        <f>IF(AI274&gt;0,IF(AND(ROUND(AI274+AH275-ROUND(AG$6+IF(AG$5=$C275,$E$5+$E275,0),2),2)&gt;0,ROUND(AI274+AH275-ROUND(AG$6+IF(AG$5=$C275,$E$5+$E275,0),2),2)&lt;=AJ275,ROUND(AI274+AH275-ROUND(AG$6+IF(AG$5=$C275,$E$5+$E275,0),2),2)*10&lt;=ROUND(AG$6+IF(AG$5=$C275,$E$5+$E275,0),2)),ROUND(AI274+AH275,2),MIN(ROUND(AG$6+IF(AG$5=$C275,$E$5+$E275,0),2),ROUND(AI274+AH275,2))),0)</f>
        <v>0</v>
      </c>
      <c r="AH275" s="24">
        <f>IF(AI274&gt;0,ROUND(ROUND(AI274*100,0)*ROUND(AG$7*10000,0)/12000000,0)/100,0)</f>
        <v>0</v>
      </c>
      <c r="AI275" s="24">
        <f>IF(AI274&gt;0,ROUND(AI274+AH275-AG275,2),0)</f>
        <v>0</v>
      </c>
      <c r="AJ275" s="24">
        <f>IF(AI274&gt;0,ROUND(AJ274+ROUND(ROUND(AJ274*100,0)*ROUND(AG$7*10000,0)/12000000,0)/100+0.02,2),0)</f>
        <v>0</v>
      </c>
      <c r="AK275" s="24">
        <f>IF(AM274&gt;0,IF(AND(ROUND(AM274+AL275-ROUND(AK$6+IF(AK$5=$C275,$E$5+$E275,0),2),2)&gt;0,ROUND(AM274+AL275-ROUND(AK$6+IF(AK$5=$C275,$E$5+$E275,0),2),2)&lt;=AN275,ROUND(AM274+AL275-ROUND(AK$6+IF(AK$5=$C275,$E$5+$E275,0),2),2)*10&lt;=ROUND(AK$6+IF(AK$5=$C275,$E$5+$E275,0),2)),ROUND(AM274+AL275,2),MIN(ROUND(AK$6+IF(AK$5=$C275,$E$5+$E275,0),2),ROUND(AM274+AL275,2))),0)</f>
        <v>0</v>
      </c>
      <c r="AL275" s="24">
        <f>IF(AM274&gt;0,ROUND(ROUND(AM274*100,0)*ROUND(AK$7*10000,0)/12000000,0)/100,0)</f>
        <v>0</v>
      </c>
      <c r="AM275" s="24">
        <f>IF(AM274&gt;0,ROUND(AM274+AL275-AK275,2),0)</f>
        <v>0</v>
      </c>
      <c r="AN275" s="24">
        <f>IF(AM274&gt;0,ROUND(AN274+ROUND(ROUND(AN274*100,0)*ROUND(AK$7*10000,0)/12000000,0)/100+0.02,2),0)</f>
        <v>0</v>
      </c>
      <c r="AO275" s="24">
        <f>IF(AQ274&gt;0,IF(AND(ROUND(AQ274+AP275-ROUND(AO$6+IF(AO$5=$C275,$E$5+$E275,0),2),2)&gt;0,ROUND(AQ274+AP275-ROUND(AO$6+IF(AO$5=$C275,$E$5+$E275,0),2),2)&lt;=AR275,ROUND(AQ274+AP275-ROUND(AO$6+IF(AO$5=$C275,$E$5+$E275,0),2),2)*10&lt;=ROUND(AO$6+IF(AO$5=$C275,$E$5+$E275,0),2)),ROUND(AQ274+AP275,2),MIN(ROUND(AO$6+IF(AO$5=$C275,$E$5+$E275,0),2),ROUND(AQ274+AP275,2))),0)</f>
        <v>0</v>
      </c>
      <c r="AP275" s="24">
        <f>IF(AQ274&gt;0,ROUND(ROUND(AQ274*100,0)*ROUND(AO$7*10000,0)/12000000,0)/100,0)</f>
        <v>0</v>
      </c>
      <c r="AQ275" s="24">
        <f>IF(AQ274&gt;0,ROUND(AQ274+AP275-AO275,2),0)</f>
        <v>0</v>
      </c>
      <c r="AR275" s="24">
        <f>IF(AQ274&gt;0,ROUND(AR274+ROUND(ROUND(AR274*100,0)*ROUND(AO$7*10000,0)/12000000,0)/100+0.02,2),0)</f>
        <v>0</v>
      </c>
      <c r="AS275" s="24">
        <f>IF(AU274&gt;0,IF(AND(ROUND(AU274+AT275-ROUND(AS$6+IF(AS$5=$C275,$E$5+$E275,0),2),2)&gt;0,ROUND(AU274+AT275-ROUND(AS$6+IF(AS$5=$C275,$E$5+$E275,0),2),2)&lt;=AV275,ROUND(AU274+AT275-ROUND(AS$6+IF(AS$5=$C275,$E$5+$E275,0),2),2)*10&lt;=ROUND(AS$6+IF(AS$5=$C275,$E$5+$E275,0),2)),ROUND(AU274+AT275,2),MIN(ROUND(AS$6+IF(AS$5=$C275,$E$5+$E275,0),2),ROUND(AU274+AT275,2))),0)</f>
        <v>0</v>
      </c>
      <c r="AT275" s="24">
        <f>IF(AU274&gt;0,ROUND(ROUND(AU274*100,0)*ROUND(AS$7*10000,0)/12000000,0)/100,0)</f>
        <v>0</v>
      </c>
      <c r="AU275" s="24">
        <f>IF(AU274&gt;0,ROUND(AU274+AT275-AS275,2),0)</f>
        <v>0</v>
      </c>
      <c r="AV275" s="24">
        <f>IF(AU274&gt;0,ROUND(AV274+ROUND(ROUND(AV274*100,0)*ROUND(AS$7*10000,0)/12000000,0)/100+0.02,2),0)</f>
        <v>0</v>
      </c>
    </row>
    <row r="276" spans="1:48" x14ac:dyDescent="0.25">
      <c r="A276" s="17" t="str">
        <f>IF(F276&gt;0,266,"")</f>
        <v/>
      </c>
      <c r="B276" s="18" t="str">
        <f>IF(F276&gt;0,EDATE($E$6,266),"")</f>
        <v/>
      </c>
      <c r="C276" s="21">
        <f>IF(H275&gt;0,MIN(IF(K275&gt;0,I$5,99),IF(O275&gt;0,M$5,99),IF(S275&gt;0,Q$5,99),IF(W275&gt;0,U$5,99),IF(AA275&gt;0,Y$5,99),IF(AE275&gt;0,AC$5,99),IF(AI275&gt;0,AG$5,99),IF(AM275&gt;0,AK$5,99),IF(AQ275&gt;0,AO$5,99),IF(AU275&gt;0,AS$5,99)),0)</f>
        <v>0</v>
      </c>
      <c r="D276" t="str">
        <f>IF(C276&gt;0,INDEX($I$4:$AV$4,1,MATCH(C276,$I$5:$AV$5,0)),"")</f>
        <v/>
      </c>
      <c r="E276" s="24">
        <f>ROUND(IF(AND(I$8&gt;0,K275=0),I$6,0)+IF(AND(M$8&gt;0,O275=0),M$6,0)+IF(AND(Q$8&gt;0,S275=0),Q$6,0)+IF(AND(U$8&gt;0,W275=0),U$6,0)+IF(AND(Y$8&gt;0,AA275=0),Y$6,0)+IF(AND(AC$8&gt;0,AE275=0),AC$6,0)+IF(AND(AG$8&gt;0,AI275=0),AG$6,0)+IF(AND(AK$8&gt;0,AM275=0),AK$6,0)+IF(AND(AO$8&gt;0,AQ275=0),AO$6,0)+IF(AND(AS$8&gt;0,AU275=0),AS$6,0),2)</f>
        <v>325</v>
      </c>
      <c r="F276" s="24">
        <f>ROUND(I276+M276+Q276+U276+Y276+AC276+AG276+AK276+AO276+AS276,2)</f>
        <v>0</v>
      </c>
      <c r="G276" s="24">
        <f>ROUND(J276+N276+R276+V276+Z276+AD276+AH276+AL276+AP276+AT276,2)</f>
        <v>0</v>
      </c>
      <c r="H276" s="24">
        <f>ROUND(K276+O276+S276+W276+AA276+AE276+AI276+AM276+AQ276+AU276,2)</f>
        <v>0</v>
      </c>
      <c r="I276" s="24">
        <f>IF(K275&gt;0,IF(AND(ROUND(K275+J276-ROUND(I$6+IF(I$5=$C276,$E$5+$E276,0),2),2)&gt;0,ROUND(K275+J276-ROUND(I$6+IF(I$5=$C276,$E$5+$E276,0),2),2)&lt;=L276,ROUND(K275+J276-ROUND(I$6+IF(I$5=$C276,$E$5+$E276,0),2),2)*10&lt;=ROUND(I$6+IF(I$5=$C276,$E$5+$E276,0),2)),ROUND(K275+J276,2),MIN(ROUND(I$6+IF(I$5=$C276,$E$5+$E276,0),2),ROUND(K275+J276,2))),0)</f>
        <v>0</v>
      </c>
      <c r="J276" s="24">
        <f>IF(K275&gt;0,ROUND(ROUND(K275*100,0)*ROUND(I$7*10000,0)/12000000,0)/100,0)</f>
        <v>0</v>
      </c>
      <c r="K276" s="24">
        <f>IF(K275&gt;0,ROUND(K275+J276-I276,2),0)</f>
        <v>0</v>
      </c>
      <c r="L276" s="24">
        <f>IF(K275&gt;0,ROUND(L275+ROUND(ROUND(L275*100,0)*ROUND(I$7*10000,0)/12000000,0)/100+0.02,2),0)</f>
        <v>0</v>
      </c>
      <c r="M276" s="24">
        <f>IF(O275&gt;0,IF(AND(ROUND(O275+N276-ROUND(M$6+IF(M$5=$C276,$E$5+$E276,0),2),2)&gt;0,ROUND(O275+N276-ROUND(M$6+IF(M$5=$C276,$E$5+$E276,0),2),2)&lt;=P276,ROUND(O275+N276-ROUND(M$6+IF(M$5=$C276,$E$5+$E276,0),2),2)*10&lt;=ROUND(M$6+IF(M$5=$C276,$E$5+$E276,0),2)),ROUND(O275+N276,2),MIN(ROUND(M$6+IF(M$5=$C276,$E$5+$E276,0),2),ROUND(O275+N276,2))),0)</f>
        <v>0</v>
      </c>
      <c r="N276" s="24">
        <f>IF(O275&gt;0,ROUND(ROUND(O275*100,0)*ROUND(M$7*10000,0)/12000000,0)/100,0)</f>
        <v>0</v>
      </c>
      <c r="O276" s="24">
        <f>IF(O275&gt;0,ROUND(O275+N276-M276,2),0)</f>
        <v>0</v>
      </c>
      <c r="P276" s="24">
        <f>IF(O275&gt;0,ROUND(P275+ROUND(ROUND(P275*100,0)*ROUND(M$7*10000,0)/12000000,0)/100+0.02,2),0)</f>
        <v>0</v>
      </c>
      <c r="Q276" s="24">
        <f>IF(S275&gt;0,IF(AND(ROUND(S275+R276-ROUND(Q$6+IF(Q$5=$C276,$E$5+$E276,0),2),2)&gt;0,ROUND(S275+R276-ROUND(Q$6+IF(Q$5=$C276,$E$5+$E276,0),2),2)&lt;=T276,ROUND(S275+R276-ROUND(Q$6+IF(Q$5=$C276,$E$5+$E276,0),2),2)*10&lt;=ROUND(Q$6+IF(Q$5=$C276,$E$5+$E276,0),2)),ROUND(S275+R276,2),MIN(ROUND(Q$6+IF(Q$5=$C276,$E$5+$E276,0),2),ROUND(S275+R276,2))),0)</f>
        <v>0</v>
      </c>
      <c r="R276" s="24">
        <f>IF(S275&gt;0,ROUND(ROUND(S275*100,0)*ROUND(Q$7*10000,0)/12000000,0)/100,0)</f>
        <v>0</v>
      </c>
      <c r="S276" s="24">
        <f>IF(S275&gt;0,ROUND(S275+R276-Q276,2),0)</f>
        <v>0</v>
      </c>
      <c r="T276" s="24">
        <f>IF(S275&gt;0,ROUND(T275+ROUND(ROUND(T275*100,0)*ROUND(Q$7*10000,0)/12000000,0)/100+0.02,2),0)</f>
        <v>0</v>
      </c>
      <c r="U276" s="24">
        <f>IF(W275&gt;0,IF(AND(ROUND(W275+V276-ROUND(U$6+IF(U$5=$C276,$E$5+$E276,0),2),2)&gt;0,ROUND(W275+V276-ROUND(U$6+IF(U$5=$C276,$E$5+$E276,0),2),2)&lt;=X276,ROUND(W275+V276-ROUND(U$6+IF(U$5=$C276,$E$5+$E276,0),2),2)*10&lt;=ROUND(U$6+IF(U$5=$C276,$E$5+$E276,0),2)),ROUND(W275+V276,2),MIN(ROUND(U$6+IF(U$5=$C276,$E$5+$E276,0),2),ROUND(W275+V276,2))),0)</f>
        <v>0</v>
      </c>
      <c r="V276" s="24">
        <f>IF(W275&gt;0,ROUND(ROUND(W275*100,0)*ROUND(U$7*10000,0)/12000000,0)/100,0)</f>
        <v>0</v>
      </c>
      <c r="W276" s="24">
        <f>IF(W275&gt;0,ROUND(W275+V276-U276,2),0)</f>
        <v>0</v>
      </c>
      <c r="X276" s="24">
        <f>IF(W275&gt;0,ROUND(X275+ROUND(ROUND(X275*100,0)*ROUND(U$7*10000,0)/12000000,0)/100+0.02,2),0)</f>
        <v>0</v>
      </c>
      <c r="Y276" s="24">
        <f>IF(AA275&gt;0,IF(AND(ROUND(AA275+Z276-ROUND(Y$6+IF(Y$5=$C276,$E$5+$E276,0),2),2)&gt;0,ROUND(AA275+Z276-ROUND(Y$6+IF(Y$5=$C276,$E$5+$E276,0),2),2)&lt;=AB276,ROUND(AA275+Z276-ROUND(Y$6+IF(Y$5=$C276,$E$5+$E276,0),2),2)*10&lt;=ROUND(Y$6+IF(Y$5=$C276,$E$5+$E276,0),2)),ROUND(AA275+Z276,2),MIN(ROUND(Y$6+IF(Y$5=$C276,$E$5+$E276,0),2),ROUND(AA275+Z276,2))),0)</f>
        <v>0</v>
      </c>
      <c r="Z276" s="24">
        <f>IF(AA275&gt;0,ROUND(ROUND(AA275*100,0)*ROUND(Y$7*10000,0)/12000000,0)/100,0)</f>
        <v>0</v>
      </c>
      <c r="AA276" s="24">
        <f>IF(AA275&gt;0,ROUND(AA275+Z276-Y276,2),0)</f>
        <v>0</v>
      </c>
      <c r="AB276" s="24">
        <f>IF(AA275&gt;0,ROUND(AB275+ROUND(ROUND(AB275*100,0)*ROUND(Y$7*10000,0)/12000000,0)/100+0.02,2),0)</f>
        <v>0</v>
      </c>
      <c r="AC276" s="24">
        <f>IF(AE275&gt;0,IF(AND(ROUND(AE275+AD276-ROUND(AC$6+IF(AC$5=$C276,$E$5+$E276,0),2),2)&gt;0,ROUND(AE275+AD276-ROUND(AC$6+IF(AC$5=$C276,$E$5+$E276,0),2),2)&lt;=AF276,ROUND(AE275+AD276-ROUND(AC$6+IF(AC$5=$C276,$E$5+$E276,0),2),2)*10&lt;=ROUND(AC$6+IF(AC$5=$C276,$E$5+$E276,0),2)),ROUND(AE275+AD276,2),MIN(ROUND(AC$6+IF(AC$5=$C276,$E$5+$E276,0),2),ROUND(AE275+AD276,2))),0)</f>
        <v>0</v>
      </c>
      <c r="AD276" s="24">
        <f>IF(AE275&gt;0,ROUND(ROUND(AE275*100,0)*ROUND(AC$7*10000,0)/12000000,0)/100,0)</f>
        <v>0</v>
      </c>
      <c r="AE276" s="24">
        <f>IF(AE275&gt;0,ROUND(AE275+AD276-AC276,2),0)</f>
        <v>0</v>
      </c>
      <c r="AF276" s="24">
        <f>IF(AE275&gt;0,ROUND(AF275+ROUND(ROUND(AF275*100,0)*ROUND(AC$7*10000,0)/12000000,0)/100+0.02,2),0)</f>
        <v>0</v>
      </c>
      <c r="AG276" s="24">
        <f>IF(AI275&gt;0,IF(AND(ROUND(AI275+AH276-ROUND(AG$6+IF(AG$5=$C276,$E$5+$E276,0),2),2)&gt;0,ROUND(AI275+AH276-ROUND(AG$6+IF(AG$5=$C276,$E$5+$E276,0),2),2)&lt;=AJ276,ROUND(AI275+AH276-ROUND(AG$6+IF(AG$5=$C276,$E$5+$E276,0),2),2)*10&lt;=ROUND(AG$6+IF(AG$5=$C276,$E$5+$E276,0),2)),ROUND(AI275+AH276,2),MIN(ROUND(AG$6+IF(AG$5=$C276,$E$5+$E276,0),2),ROUND(AI275+AH276,2))),0)</f>
        <v>0</v>
      </c>
      <c r="AH276" s="24">
        <f>IF(AI275&gt;0,ROUND(ROUND(AI275*100,0)*ROUND(AG$7*10000,0)/12000000,0)/100,0)</f>
        <v>0</v>
      </c>
      <c r="AI276" s="24">
        <f>IF(AI275&gt;0,ROUND(AI275+AH276-AG276,2),0)</f>
        <v>0</v>
      </c>
      <c r="AJ276" s="24">
        <f>IF(AI275&gt;0,ROUND(AJ275+ROUND(ROUND(AJ275*100,0)*ROUND(AG$7*10000,0)/12000000,0)/100+0.02,2),0)</f>
        <v>0</v>
      </c>
      <c r="AK276" s="24">
        <f>IF(AM275&gt;0,IF(AND(ROUND(AM275+AL276-ROUND(AK$6+IF(AK$5=$C276,$E$5+$E276,0),2),2)&gt;0,ROUND(AM275+AL276-ROUND(AK$6+IF(AK$5=$C276,$E$5+$E276,0),2),2)&lt;=AN276,ROUND(AM275+AL276-ROUND(AK$6+IF(AK$5=$C276,$E$5+$E276,0),2),2)*10&lt;=ROUND(AK$6+IF(AK$5=$C276,$E$5+$E276,0),2)),ROUND(AM275+AL276,2),MIN(ROUND(AK$6+IF(AK$5=$C276,$E$5+$E276,0),2),ROUND(AM275+AL276,2))),0)</f>
        <v>0</v>
      </c>
      <c r="AL276" s="24">
        <f>IF(AM275&gt;0,ROUND(ROUND(AM275*100,0)*ROUND(AK$7*10000,0)/12000000,0)/100,0)</f>
        <v>0</v>
      </c>
      <c r="AM276" s="24">
        <f>IF(AM275&gt;0,ROUND(AM275+AL276-AK276,2),0)</f>
        <v>0</v>
      </c>
      <c r="AN276" s="24">
        <f>IF(AM275&gt;0,ROUND(AN275+ROUND(ROUND(AN275*100,0)*ROUND(AK$7*10000,0)/12000000,0)/100+0.02,2),0)</f>
        <v>0</v>
      </c>
      <c r="AO276" s="24">
        <f>IF(AQ275&gt;0,IF(AND(ROUND(AQ275+AP276-ROUND(AO$6+IF(AO$5=$C276,$E$5+$E276,0),2),2)&gt;0,ROUND(AQ275+AP276-ROUND(AO$6+IF(AO$5=$C276,$E$5+$E276,0),2),2)&lt;=AR276,ROUND(AQ275+AP276-ROUND(AO$6+IF(AO$5=$C276,$E$5+$E276,0),2),2)*10&lt;=ROUND(AO$6+IF(AO$5=$C276,$E$5+$E276,0),2)),ROUND(AQ275+AP276,2),MIN(ROUND(AO$6+IF(AO$5=$C276,$E$5+$E276,0),2),ROUND(AQ275+AP276,2))),0)</f>
        <v>0</v>
      </c>
      <c r="AP276" s="24">
        <f>IF(AQ275&gt;0,ROUND(ROUND(AQ275*100,0)*ROUND(AO$7*10000,0)/12000000,0)/100,0)</f>
        <v>0</v>
      </c>
      <c r="AQ276" s="24">
        <f>IF(AQ275&gt;0,ROUND(AQ275+AP276-AO276,2),0)</f>
        <v>0</v>
      </c>
      <c r="AR276" s="24">
        <f>IF(AQ275&gt;0,ROUND(AR275+ROUND(ROUND(AR275*100,0)*ROUND(AO$7*10000,0)/12000000,0)/100+0.02,2),0)</f>
        <v>0</v>
      </c>
      <c r="AS276" s="24">
        <f>IF(AU275&gt;0,IF(AND(ROUND(AU275+AT276-ROUND(AS$6+IF(AS$5=$C276,$E$5+$E276,0),2),2)&gt;0,ROUND(AU275+AT276-ROUND(AS$6+IF(AS$5=$C276,$E$5+$E276,0),2),2)&lt;=AV276,ROUND(AU275+AT276-ROUND(AS$6+IF(AS$5=$C276,$E$5+$E276,0),2),2)*10&lt;=ROUND(AS$6+IF(AS$5=$C276,$E$5+$E276,0),2)),ROUND(AU275+AT276,2),MIN(ROUND(AS$6+IF(AS$5=$C276,$E$5+$E276,0),2),ROUND(AU275+AT276,2))),0)</f>
        <v>0</v>
      </c>
      <c r="AT276" s="24">
        <f>IF(AU275&gt;0,ROUND(ROUND(AU275*100,0)*ROUND(AS$7*10000,0)/12000000,0)/100,0)</f>
        <v>0</v>
      </c>
      <c r="AU276" s="24">
        <f>IF(AU275&gt;0,ROUND(AU275+AT276-AS276,2),0)</f>
        <v>0</v>
      </c>
      <c r="AV276" s="24">
        <f>IF(AU275&gt;0,ROUND(AV275+ROUND(ROUND(AV275*100,0)*ROUND(AS$7*10000,0)/12000000,0)/100+0.02,2),0)</f>
        <v>0</v>
      </c>
    </row>
    <row r="277" spans="1:48" x14ac:dyDescent="0.25">
      <c r="A277" s="17" t="str">
        <f>IF(F277&gt;0,267,"")</f>
        <v/>
      </c>
      <c r="B277" s="18" t="str">
        <f>IF(F277&gt;0,EDATE($E$6,267),"")</f>
        <v/>
      </c>
      <c r="C277" s="21">
        <f>IF(H276&gt;0,MIN(IF(K276&gt;0,I$5,99),IF(O276&gt;0,M$5,99),IF(S276&gt;0,Q$5,99),IF(W276&gt;0,U$5,99),IF(AA276&gt;0,Y$5,99),IF(AE276&gt;0,AC$5,99),IF(AI276&gt;0,AG$5,99),IF(AM276&gt;0,AK$5,99),IF(AQ276&gt;0,AO$5,99),IF(AU276&gt;0,AS$5,99)),0)</f>
        <v>0</v>
      </c>
      <c r="D277" t="str">
        <f>IF(C277&gt;0,INDEX($I$4:$AV$4,1,MATCH(C277,$I$5:$AV$5,0)),"")</f>
        <v/>
      </c>
      <c r="E277" s="24">
        <f>ROUND(IF(AND(I$8&gt;0,K276=0),I$6,0)+IF(AND(M$8&gt;0,O276=0),M$6,0)+IF(AND(Q$8&gt;0,S276=0),Q$6,0)+IF(AND(U$8&gt;0,W276=0),U$6,0)+IF(AND(Y$8&gt;0,AA276=0),Y$6,0)+IF(AND(AC$8&gt;0,AE276=0),AC$6,0)+IF(AND(AG$8&gt;0,AI276=0),AG$6,0)+IF(AND(AK$8&gt;0,AM276=0),AK$6,0)+IF(AND(AO$8&gt;0,AQ276=0),AO$6,0)+IF(AND(AS$8&gt;0,AU276=0),AS$6,0),2)</f>
        <v>325</v>
      </c>
      <c r="F277" s="24">
        <f>ROUND(I277+M277+Q277+U277+Y277+AC277+AG277+AK277+AO277+AS277,2)</f>
        <v>0</v>
      </c>
      <c r="G277" s="24">
        <f>ROUND(J277+N277+R277+V277+Z277+AD277+AH277+AL277+AP277+AT277,2)</f>
        <v>0</v>
      </c>
      <c r="H277" s="24">
        <f>ROUND(K277+O277+S277+W277+AA277+AE277+AI277+AM277+AQ277+AU277,2)</f>
        <v>0</v>
      </c>
      <c r="I277" s="24">
        <f>IF(K276&gt;0,IF(AND(ROUND(K276+J277-ROUND(I$6+IF(I$5=$C277,$E$5+$E277,0),2),2)&gt;0,ROUND(K276+J277-ROUND(I$6+IF(I$5=$C277,$E$5+$E277,0),2),2)&lt;=L277,ROUND(K276+J277-ROUND(I$6+IF(I$5=$C277,$E$5+$E277,0),2),2)*10&lt;=ROUND(I$6+IF(I$5=$C277,$E$5+$E277,0),2)),ROUND(K276+J277,2),MIN(ROUND(I$6+IF(I$5=$C277,$E$5+$E277,0),2),ROUND(K276+J277,2))),0)</f>
        <v>0</v>
      </c>
      <c r="J277" s="24">
        <f>IF(K276&gt;0,ROUND(ROUND(K276*100,0)*ROUND(I$7*10000,0)/12000000,0)/100,0)</f>
        <v>0</v>
      </c>
      <c r="K277" s="24">
        <f>IF(K276&gt;0,ROUND(K276+J277-I277,2),0)</f>
        <v>0</v>
      </c>
      <c r="L277" s="24">
        <f>IF(K276&gt;0,ROUND(L276+ROUND(ROUND(L276*100,0)*ROUND(I$7*10000,0)/12000000,0)/100+0.02,2),0)</f>
        <v>0</v>
      </c>
      <c r="M277" s="24">
        <f>IF(O276&gt;0,IF(AND(ROUND(O276+N277-ROUND(M$6+IF(M$5=$C277,$E$5+$E277,0),2),2)&gt;0,ROUND(O276+N277-ROUND(M$6+IF(M$5=$C277,$E$5+$E277,0),2),2)&lt;=P277,ROUND(O276+N277-ROUND(M$6+IF(M$5=$C277,$E$5+$E277,0),2),2)*10&lt;=ROUND(M$6+IF(M$5=$C277,$E$5+$E277,0),2)),ROUND(O276+N277,2),MIN(ROUND(M$6+IF(M$5=$C277,$E$5+$E277,0),2),ROUND(O276+N277,2))),0)</f>
        <v>0</v>
      </c>
      <c r="N277" s="24">
        <f>IF(O276&gt;0,ROUND(ROUND(O276*100,0)*ROUND(M$7*10000,0)/12000000,0)/100,0)</f>
        <v>0</v>
      </c>
      <c r="O277" s="24">
        <f>IF(O276&gt;0,ROUND(O276+N277-M277,2),0)</f>
        <v>0</v>
      </c>
      <c r="P277" s="24">
        <f>IF(O276&gt;0,ROUND(P276+ROUND(ROUND(P276*100,0)*ROUND(M$7*10000,0)/12000000,0)/100+0.02,2),0)</f>
        <v>0</v>
      </c>
      <c r="Q277" s="24">
        <f>IF(S276&gt;0,IF(AND(ROUND(S276+R277-ROUND(Q$6+IF(Q$5=$C277,$E$5+$E277,0),2),2)&gt;0,ROUND(S276+R277-ROUND(Q$6+IF(Q$5=$C277,$E$5+$E277,0),2),2)&lt;=T277,ROUND(S276+R277-ROUND(Q$6+IF(Q$5=$C277,$E$5+$E277,0),2),2)*10&lt;=ROUND(Q$6+IF(Q$5=$C277,$E$5+$E277,0),2)),ROUND(S276+R277,2),MIN(ROUND(Q$6+IF(Q$5=$C277,$E$5+$E277,0),2),ROUND(S276+R277,2))),0)</f>
        <v>0</v>
      </c>
      <c r="R277" s="24">
        <f>IF(S276&gt;0,ROUND(ROUND(S276*100,0)*ROUND(Q$7*10000,0)/12000000,0)/100,0)</f>
        <v>0</v>
      </c>
      <c r="S277" s="24">
        <f>IF(S276&gt;0,ROUND(S276+R277-Q277,2),0)</f>
        <v>0</v>
      </c>
      <c r="T277" s="24">
        <f>IF(S276&gt;0,ROUND(T276+ROUND(ROUND(T276*100,0)*ROUND(Q$7*10000,0)/12000000,0)/100+0.02,2),0)</f>
        <v>0</v>
      </c>
      <c r="U277" s="24">
        <f>IF(W276&gt;0,IF(AND(ROUND(W276+V277-ROUND(U$6+IF(U$5=$C277,$E$5+$E277,0),2),2)&gt;0,ROUND(W276+V277-ROUND(U$6+IF(U$5=$C277,$E$5+$E277,0),2),2)&lt;=X277,ROUND(W276+V277-ROUND(U$6+IF(U$5=$C277,$E$5+$E277,0),2),2)*10&lt;=ROUND(U$6+IF(U$5=$C277,$E$5+$E277,0),2)),ROUND(W276+V277,2),MIN(ROUND(U$6+IF(U$5=$C277,$E$5+$E277,0),2),ROUND(W276+V277,2))),0)</f>
        <v>0</v>
      </c>
      <c r="V277" s="24">
        <f>IF(W276&gt;0,ROUND(ROUND(W276*100,0)*ROUND(U$7*10000,0)/12000000,0)/100,0)</f>
        <v>0</v>
      </c>
      <c r="W277" s="24">
        <f>IF(W276&gt;0,ROUND(W276+V277-U277,2),0)</f>
        <v>0</v>
      </c>
      <c r="X277" s="24">
        <f>IF(W276&gt;0,ROUND(X276+ROUND(ROUND(X276*100,0)*ROUND(U$7*10000,0)/12000000,0)/100+0.02,2),0)</f>
        <v>0</v>
      </c>
      <c r="Y277" s="24">
        <f>IF(AA276&gt;0,IF(AND(ROUND(AA276+Z277-ROUND(Y$6+IF(Y$5=$C277,$E$5+$E277,0),2),2)&gt;0,ROUND(AA276+Z277-ROUND(Y$6+IF(Y$5=$C277,$E$5+$E277,0),2),2)&lt;=AB277,ROUND(AA276+Z277-ROUND(Y$6+IF(Y$5=$C277,$E$5+$E277,0),2),2)*10&lt;=ROUND(Y$6+IF(Y$5=$C277,$E$5+$E277,0),2)),ROUND(AA276+Z277,2),MIN(ROUND(Y$6+IF(Y$5=$C277,$E$5+$E277,0),2),ROUND(AA276+Z277,2))),0)</f>
        <v>0</v>
      </c>
      <c r="Z277" s="24">
        <f>IF(AA276&gt;0,ROUND(ROUND(AA276*100,0)*ROUND(Y$7*10000,0)/12000000,0)/100,0)</f>
        <v>0</v>
      </c>
      <c r="AA277" s="24">
        <f>IF(AA276&gt;0,ROUND(AA276+Z277-Y277,2),0)</f>
        <v>0</v>
      </c>
      <c r="AB277" s="24">
        <f>IF(AA276&gt;0,ROUND(AB276+ROUND(ROUND(AB276*100,0)*ROUND(Y$7*10000,0)/12000000,0)/100+0.02,2),0)</f>
        <v>0</v>
      </c>
      <c r="AC277" s="24">
        <f>IF(AE276&gt;0,IF(AND(ROUND(AE276+AD277-ROUND(AC$6+IF(AC$5=$C277,$E$5+$E277,0),2),2)&gt;0,ROUND(AE276+AD277-ROUND(AC$6+IF(AC$5=$C277,$E$5+$E277,0),2),2)&lt;=AF277,ROUND(AE276+AD277-ROUND(AC$6+IF(AC$5=$C277,$E$5+$E277,0),2),2)*10&lt;=ROUND(AC$6+IF(AC$5=$C277,$E$5+$E277,0),2)),ROUND(AE276+AD277,2),MIN(ROUND(AC$6+IF(AC$5=$C277,$E$5+$E277,0),2),ROUND(AE276+AD277,2))),0)</f>
        <v>0</v>
      </c>
      <c r="AD277" s="24">
        <f>IF(AE276&gt;0,ROUND(ROUND(AE276*100,0)*ROUND(AC$7*10000,0)/12000000,0)/100,0)</f>
        <v>0</v>
      </c>
      <c r="AE277" s="24">
        <f>IF(AE276&gt;0,ROUND(AE276+AD277-AC277,2),0)</f>
        <v>0</v>
      </c>
      <c r="AF277" s="24">
        <f>IF(AE276&gt;0,ROUND(AF276+ROUND(ROUND(AF276*100,0)*ROUND(AC$7*10000,0)/12000000,0)/100+0.02,2),0)</f>
        <v>0</v>
      </c>
      <c r="AG277" s="24">
        <f>IF(AI276&gt;0,IF(AND(ROUND(AI276+AH277-ROUND(AG$6+IF(AG$5=$C277,$E$5+$E277,0),2),2)&gt;0,ROUND(AI276+AH277-ROUND(AG$6+IF(AG$5=$C277,$E$5+$E277,0),2),2)&lt;=AJ277,ROUND(AI276+AH277-ROUND(AG$6+IF(AG$5=$C277,$E$5+$E277,0),2),2)*10&lt;=ROUND(AG$6+IF(AG$5=$C277,$E$5+$E277,0),2)),ROUND(AI276+AH277,2),MIN(ROUND(AG$6+IF(AG$5=$C277,$E$5+$E277,0),2),ROUND(AI276+AH277,2))),0)</f>
        <v>0</v>
      </c>
      <c r="AH277" s="24">
        <f>IF(AI276&gt;0,ROUND(ROUND(AI276*100,0)*ROUND(AG$7*10000,0)/12000000,0)/100,0)</f>
        <v>0</v>
      </c>
      <c r="AI277" s="24">
        <f>IF(AI276&gt;0,ROUND(AI276+AH277-AG277,2),0)</f>
        <v>0</v>
      </c>
      <c r="AJ277" s="24">
        <f>IF(AI276&gt;0,ROUND(AJ276+ROUND(ROUND(AJ276*100,0)*ROUND(AG$7*10000,0)/12000000,0)/100+0.02,2),0)</f>
        <v>0</v>
      </c>
      <c r="AK277" s="24">
        <f>IF(AM276&gt;0,IF(AND(ROUND(AM276+AL277-ROUND(AK$6+IF(AK$5=$C277,$E$5+$E277,0),2),2)&gt;0,ROUND(AM276+AL277-ROUND(AK$6+IF(AK$5=$C277,$E$5+$E277,0),2),2)&lt;=AN277,ROUND(AM276+AL277-ROUND(AK$6+IF(AK$5=$C277,$E$5+$E277,0),2),2)*10&lt;=ROUND(AK$6+IF(AK$5=$C277,$E$5+$E277,0),2)),ROUND(AM276+AL277,2),MIN(ROUND(AK$6+IF(AK$5=$C277,$E$5+$E277,0),2),ROUND(AM276+AL277,2))),0)</f>
        <v>0</v>
      </c>
      <c r="AL277" s="24">
        <f>IF(AM276&gt;0,ROUND(ROUND(AM276*100,0)*ROUND(AK$7*10000,0)/12000000,0)/100,0)</f>
        <v>0</v>
      </c>
      <c r="AM277" s="24">
        <f>IF(AM276&gt;0,ROUND(AM276+AL277-AK277,2),0)</f>
        <v>0</v>
      </c>
      <c r="AN277" s="24">
        <f>IF(AM276&gt;0,ROUND(AN276+ROUND(ROUND(AN276*100,0)*ROUND(AK$7*10000,0)/12000000,0)/100+0.02,2),0)</f>
        <v>0</v>
      </c>
      <c r="AO277" s="24">
        <f>IF(AQ276&gt;0,IF(AND(ROUND(AQ276+AP277-ROUND(AO$6+IF(AO$5=$C277,$E$5+$E277,0),2),2)&gt;0,ROUND(AQ276+AP277-ROUND(AO$6+IF(AO$5=$C277,$E$5+$E277,0),2),2)&lt;=AR277,ROUND(AQ276+AP277-ROUND(AO$6+IF(AO$5=$C277,$E$5+$E277,0),2),2)*10&lt;=ROUND(AO$6+IF(AO$5=$C277,$E$5+$E277,0),2)),ROUND(AQ276+AP277,2),MIN(ROUND(AO$6+IF(AO$5=$C277,$E$5+$E277,0),2),ROUND(AQ276+AP277,2))),0)</f>
        <v>0</v>
      </c>
      <c r="AP277" s="24">
        <f>IF(AQ276&gt;0,ROUND(ROUND(AQ276*100,0)*ROUND(AO$7*10000,0)/12000000,0)/100,0)</f>
        <v>0</v>
      </c>
      <c r="AQ277" s="24">
        <f>IF(AQ276&gt;0,ROUND(AQ276+AP277-AO277,2),0)</f>
        <v>0</v>
      </c>
      <c r="AR277" s="24">
        <f>IF(AQ276&gt;0,ROUND(AR276+ROUND(ROUND(AR276*100,0)*ROUND(AO$7*10000,0)/12000000,0)/100+0.02,2),0)</f>
        <v>0</v>
      </c>
      <c r="AS277" s="24">
        <f>IF(AU276&gt;0,IF(AND(ROUND(AU276+AT277-ROUND(AS$6+IF(AS$5=$C277,$E$5+$E277,0),2),2)&gt;0,ROUND(AU276+AT277-ROUND(AS$6+IF(AS$5=$C277,$E$5+$E277,0),2),2)&lt;=AV277,ROUND(AU276+AT277-ROUND(AS$6+IF(AS$5=$C277,$E$5+$E277,0),2),2)*10&lt;=ROUND(AS$6+IF(AS$5=$C277,$E$5+$E277,0),2)),ROUND(AU276+AT277,2),MIN(ROUND(AS$6+IF(AS$5=$C277,$E$5+$E277,0),2),ROUND(AU276+AT277,2))),0)</f>
        <v>0</v>
      </c>
      <c r="AT277" s="24">
        <f>IF(AU276&gt;0,ROUND(ROUND(AU276*100,0)*ROUND(AS$7*10000,0)/12000000,0)/100,0)</f>
        <v>0</v>
      </c>
      <c r="AU277" s="24">
        <f>IF(AU276&gt;0,ROUND(AU276+AT277-AS277,2),0)</f>
        <v>0</v>
      </c>
      <c r="AV277" s="24">
        <f>IF(AU276&gt;0,ROUND(AV276+ROUND(ROUND(AV276*100,0)*ROUND(AS$7*10000,0)/12000000,0)/100+0.02,2),0)</f>
        <v>0</v>
      </c>
    </row>
    <row r="278" spans="1:48" x14ac:dyDescent="0.25">
      <c r="A278" s="17" t="str">
        <f>IF(F278&gt;0,268,"")</f>
        <v/>
      </c>
      <c r="B278" s="18" t="str">
        <f>IF(F278&gt;0,EDATE($E$6,268),"")</f>
        <v/>
      </c>
      <c r="C278" s="21">
        <f>IF(H277&gt;0,MIN(IF(K277&gt;0,I$5,99),IF(O277&gt;0,M$5,99),IF(S277&gt;0,Q$5,99),IF(W277&gt;0,U$5,99),IF(AA277&gt;0,Y$5,99),IF(AE277&gt;0,AC$5,99),IF(AI277&gt;0,AG$5,99),IF(AM277&gt;0,AK$5,99),IF(AQ277&gt;0,AO$5,99),IF(AU277&gt;0,AS$5,99)),0)</f>
        <v>0</v>
      </c>
      <c r="D278" t="str">
        <f>IF(C278&gt;0,INDEX($I$4:$AV$4,1,MATCH(C278,$I$5:$AV$5,0)),"")</f>
        <v/>
      </c>
      <c r="E278" s="24">
        <f>ROUND(IF(AND(I$8&gt;0,K277=0),I$6,0)+IF(AND(M$8&gt;0,O277=0),M$6,0)+IF(AND(Q$8&gt;0,S277=0),Q$6,0)+IF(AND(U$8&gt;0,W277=0),U$6,0)+IF(AND(Y$8&gt;0,AA277=0),Y$6,0)+IF(AND(AC$8&gt;0,AE277=0),AC$6,0)+IF(AND(AG$8&gt;0,AI277=0),AG$6,0)+IF(AND(AK$8&gt;0,AM277=0),AK$6,0)+IF(AND(AO$8&gt;0,AQ277=0),AO$6,0)+IF(AND(AS$8&gt;0,AU277=0),AS$6,0),2)</f>
        <v>325</v>
      </c>
      <c r="F278" s="24">
        <f>ROUND(I278+M278+Q278+U278+Y278+AC278+AG278+AK278+AO278+AS278,2)</f>
        <v>0</v>
      </c>
      <c r="G278" s="24">
        <f>ROUND(J278+N278+R278+V278+Z278+AD278+AH278+AL278+AP278+AT278,2)</f>
        <v>0</v>
      </c>
      <c r="H278" s="24">
        <f>ROUND(K278+O278+S278+W278+AA278+AE278+AI278+AM278+AQ278+AU278,2)</f>
        <v>0</v>
      </c>
      <c r="I278" s="24">
        <f>IF(K277&gt;0,IF(AND(ROUND(K277+J278-ROUND(I$6+IF(I$5=$C278,$E$5+$E278,0),2),2)&gt;0,ROUND(K277+J278-ROUND(I$6+IF(I$5=$C278,$E$5+$E278,0),2),2)&lt;=L278,ROUND(K277+J278-ROUND(I$6+IF(I$5=$C278,$E$5+$E278,0),2),2)*10&lt;=ROUND(I$6+IF(I$5=$C278,$E$5+$E278,0),2)),ROUND(K277+J278,2),MIN(ROUND(I$6+IF(I$5=$C278,$E$5+$E278,0),2),ROUND(K277+J278,2))),0)</f>
        <v>0</v>
      </c>
      <c r="J278" s="24">
        <f>IF(K277&gt;0,ROUND(ROUND(K277*100,0)*ROUND(I$7*10000,0)/12000000,0)/100,0)</f>
        <v>0</v>
      </c>
      <c r="K278" s="24">
        <f>IF(K277&gt;0,ROUND(K277+J278-I278,2),0)</f>
        <v>0</v>
      </c>
      <c r="L278" s="24">
        <f>IF(K277&gt;0,ROUND(L277+ROUND(ROUND(L277*100,0)*ROUND(I$7*10000,0)/12000000,0)/100+0.02,2),0)</f>
        <v>0</v>
      </c>
      <c r="M278" s="24">
        <f>IF(O277&gt;0,IF(AND(ROUND(O277+N278-ROUND(M$6+IF(M$5=$C278,$E$5+$E278,0),2),2)&gt;0,ROUND(O277+N278-ROUND(M$6+IF(M$5=$C278,$E$5+$E278,0),2),2)&lt;=P278,ROUND(O277+N278-ROUND(M$6+IF(M$5=$C278,$E$5+$E278,0),2),2)*10&lt;=ROUND(M$6+IF(M$5=$C278,$E$5+$E278,0),2)),ROUND(O277+N278,2),MIN(ROUND(M$6+IF(M$5=$C278,$E$5+$E278,0),2),ROUND(O277+N278,2))),0)</f>
        <v>0</v>
      </c>
      <c r="N278" s="24">
        <f>IF(O277&gt;0,ROUND(ROUND(O277*100,0)*ROUND(M$7*10000,0)/12000000,0)/100,0)</f>
        <v>0</v>
      </c>
      <c r="O278" s="24">
        <f>IF(O277&gt;0,ROUND(O277+N278-M278,2),0)</f>
        <v>0</v>
      </c>
      <c r="P278" s="24">
        <f>IF(O277&gt;0,ROUND(P277+ROUND(ROUND(P277*100,0)*ROUND(M$7*10000,0)/12000000,0)/100+0.02,2),0)</f>
        <v>0</v>
      </c>
      <c r="Q278" s="24">
        <f>IF(S277&gt;0,IF(AND(ROUND(S277+R278-ROUND(Q$6+IF(Q$5=$C278,$E$5+$E278,0),2),2)&gt;0,ROUND(S277+R278-ROUND(Q$6+IF(Q$5=$C278,$E$5+$E278,0),2),2)&lt;=T278,ROUND(S277+R278-ROUND(Q$6+IF(Q$5=$C278,$E$5+$E278,0),2),2)*10&lt;=ROUND(Q$6+IF(Q$5=$C278,$E$5+$E278,0),2)),ROUND(S277+R278,2),MIN(ROUND(Q$6+IF(Q$5=$C278,$E$5+$E278,0),2),ROUND(S277+R278,2))),0)</f>
        <v>0</v>
      </c>
      <c r="R278" s="24">
        <f>IF(S277&gt;0,ROUND(ROUND(S277*100,0)*ROUND(Q$7*10000,0)/12000000,0)/100,0)</f>
        <v>0</v>
      </c>
      <c r="S278" s="24">
        <f>IF(S277&gt;0,ROUND(S277+R278-Q278,2),0)</f>
        <v>0</v>
      </c>
      <c r="T278" s="24">
        <f>IF(S277&gt;0,ROUND(T277+ROUND(ROUND(T277*100,0)*ROUND(Q$7*10000,0)/12000000,0)/100+0.02,2),0)</f>
        <v>0</v>
      </c>
      <c r="U278" s="24">
        <f>IF(W277&gt;0,IF(AND(ROUND(W277+V278-ROUND(U$6+IF(U$5=$C278,$E$5+$E278,0),2),2)&gt;0,ROUND(W277+V278-ROUND(U$6+IF(U$5=$C278,$E$5+$E278,0),2),2)&lt;=X278,ROUND(W277+V278-ROUND(U$6+IF(U$5=$C278,$E$5+$E278,0),2),2)*10&lt;=ROUND(U$6+IF(U$5=$C278,$E$5+$E278,0),2)),ROUND(W277+V278,2),MIN(ROUND(U$6+IF(U$5=$C278,$E$5+$E278,0),2),ROUND(W277+V278,2))),0)</f>
        <v>0</v>
      </c>
      <c r="V278" s="24">
        <f>IF(W277&gt;0,ROUND(ROUND(W277*100,0)*ROUND(U$7*10000,0)/12000000,0)/100,0)</f>
        <v>0</v>
      </c>
      <c r="W278" s="24">
        <f>IF(W277&gt;0,ROUND(W277+V278-U278,2),0)</f>
        <v>0</v>
      </c>
      <c r="X278" s="24">
        <f>IF(W277&gt;0,ROUND(X277+ROUND(ROUND(X277*100,0)*ROUND(U$7*10000,0)/12000000,0)/100+0.02,2),0)</f>
        <v>0</v>
      </c>
      <c r="Y278" s="24">
        <f>IF(AA277&gt;0,IF(AND(ROUND(AA277+Z278-ROUND(Y$6+IF(Y$5=$C278,$E$5+$E278,0),2),2)&gt;0,ROUND(AA277+Z278-ROUND(Y$6+IF(Y$5=$C278,$E$5+$E278,0),2),2)&lt;=AB278,ROUND(AA277+Z278-ROUND(Y$6+IF(Y$5=$C278,$E$5+$E278,0),2),2)*10&lt;=ROUND(Y$6+IF(Y$5=$C278,$E$5+$E278,0),2)),ROUND(AA277+Z278,2),MIN(ROUND(Y$6+IF(Y$5=$C278,$E$5+$E278,0),2),ROUND(AA277+Z278,2))),0)</f>
        <v>0</v>
      </c>
      <c r="Z278" s="24">
        <f>IF(AA277&gt;0,ROUND(ROUND(AA277*100,0)*ROUND(Y$7*10000,0)/12000000,0)/100,0)</f>
        <v>0</v>
      </c>
      <c r="AA278" s="24">
        <f>IF(AA277&gt;0,ROUND(AA277+Z278-Y278,2),0)</f>
        <v>0</v>
      </c>
      <c r="AB278" s="24">
        <f>IF(AA277&gt;0,ROUND(AB277+ROUND(ROUND(AB277*100,0)*ROUND(Y$7*10000,0)/12000000,0)/100+0.02,2),0)</f>
        <v>0</v>
      </c>
      <c r="AC278" s="24">
        <f>IF(AE277&gt;0,IF(AND(ROUND(AE277+AD278-ROUND(AC$6+IF(AC$5=$C278,$E$5+$E278,0),2),2)&gt;0,ROUND(AE277+AD278-ROUND(AC$6+IF(AC$5=$C278,$E$5+$E278,0),2),2)&lt;=AF278,ROUND(AE277+AD278-ROUND(AC$6+IF(AC$5=$C278,$E$5+$E278,0),2),2)*10&lt;=ROUND(AC$6+IF(AC$5=$C278,$E$5+$E278,0),2)),ROUND(AE277+AD278,2),MIN(ROUND(AC$6+IF(AC$5=$C278,$E$5+$E278,0),2),ROUND(AE277+AD278,2))),0)</f>
        <v>0</v>
      </c>
      <c r="AD278" s="24">
        <f>IF(AE277&gt;0,ROUND(ROUND(AE277*100,0)*ROUND(AC$7*10000,0)/12000000,0)/100,0)</f>
        <v>0</v>
      </c>
      <c r="AE278" s="24">
        <f>IF(AE277&gt;0,ROUND(AE277+AD278-AC278,2),0)</f>
        <v>0</v>
      </c>
      <c r="AF278" s="24">
        <f>IF(AE277&gt;0,ROUND(AF277+ROUND(ROUND(AF277*100,0)*ROUND(AC$7*10000,0)/12000000,0)/100+0.02,2),0)</f>
        <v>0</v>
      </c>
      <c r="AG278" s="24">
        <f>IF(AI277&gt;0,IF(AND(ROUND(AI277+AH278-ROUND(AG$6+IF(AG$5=$C278,$E$5+$E278,0),2),2)&gt;0,ROUND(AI277+AH278-ROUND(AG$6+IF(AG$5=$C278,$E$5+$E278,0),2),2)&lt;=AJ278,ROUND(AI277+AH278-ROUND(AG$6+IF(AG$5=$C278,$E$5+$E278,0),2),2)*10&lt;=ROUND(AG$6+IF(AG$5=$C278,$E$5+$E278,0),2)),ROUND(AI277+AH278,2),MIN(ROUND(AG$6+IF(AG$5=$C278,$E$5+$E278,0),2),ROUND(AI277+AH278,2))),0)</f>
        <v>0</v>
      </c>
      <c r="AH278" s="24">
        <f>IF(AI277&gt;0,ROUND(ROUND(AI277*100,0)*ROUND(AG$7*10000,0)/12000000,0)/100,0)</f>
        <v>0</v>
      </c>
      <c r="AI278" s="24">
        <f>IF(AI277&gt;0,ROUND(AI277+AH278-AG278,2),0)</f>
        <v>0</v>
      </c>
      <c r="AJ278" s="24">
        <f>IF(AI277&gt;0,ROUND(AJ277+ROUND(ROUND(AJ277*100,0)*ROUND(AG$7*10000,0)/12000000,0)/100+0.02,2),0)</f>
        <v>0</v>
      </c>
      <c r="AK278" s="24">
        <f>IF(AM277&gt;0,IF(AND(ROUND(AM277+AL278-ROUND(AK$6+IF(AK$5=$C278,$E$5+$E278,0),2),2)&gt;0,ROUND(AM277+AL278-ROUND(AK$6+IF(AK$5=$C278,$E$5+$E278,0),2),2)&lt;=AN278,ROUND(AM277+AL278-ROUND(AK$6+IF(AK$5=$C278,$E$5+$E278,0),2),2)*10&lt;=ROUND(AK$6+IF(AK$5=$C278,$E$5+$E278,0),2)),ROUND(AM277+AL278,2),MIN(ROUND(AK$6+IF(AK$5=$C278,$E$5+$E278,0),2),ROUND(AM277+AL278,2))),0)</f>
        <v>0</v>
      </c>
      <c r="AL278" s="24">
        <f>IF(AM277&gt;0,ROUND(ROUND(AM277*100,0)*ROUND(AK$7*10000,0)/12000000,0)/100,0)</f>
        <v>0</v>
      </c>
      <c r="AM278" s="24">
        <f>IF(AM277&gt;0,ROUND(AM277+AL278-AK278,2),0)</f>
        <v>0</v>
      </c>
      <c r="AN278" s="24">
        <f>IF(AM277&gt;0,ROUND(AN277+ROUND(ROUND(AN277*100,0)*ROUND(AK$7*10000,0)/12000000,0)/100+0.02,2),0)</f>
        <v>0</v>
      </c>
      <c r="AO278" s="24">
        <f>IF(AQ277&gt;0,IF(AND(ROUND(AQ277+AP278-ROUND(AO$6+IF(AO$5=$C278,$E$5+$E278,0),2),2)&gt;0,ROUND(AQ277+AP278-ROUND(AO$6+IF(AO$5=$C278,$E$5+$E278,0),2),2)&lt;=AR278,ROUND(AQ277+AP278-ROUND(AO$6+IF(AO$5=$C278,$E$5+$E278,0),2),2)*10&lt;=ROUND(AO$6+IF(AO$5=$C278,$E$5+$E278,0),2)),ROUND(AQ277+AP278,2),MIN(ROUND(AO$6+IF(AO$5=$C278,$E$5+$E278,0),2),ROUND(AQ277+AP278,2))),0)</f>
        <v>0</v>
      </c>
      <c r="AP278" s="24">
        <f>IF(AQ277&gt;0,ROUND(ROUND(AQ277*100,0)*ROUND(AO$7*10000,0)/12000000,0)/100,0)</f>
        <v>0</v>
      </c>
      <c r="AQ278" s="24">
        <f>IF(AQ277&gt;0,ROUND(AQ277+AP278-AO278,2),0)</f>
        <v>0</v>
      </c>
      <c r="AR278" s="24">
        <f>IF(AQ277&gt;0,ROUND(AR277+ROUND(ROUND(AR277*100,0)*ROUND(AO$7*10000,0)/12000000,0)/100+0.02,2),0)</f>
        <v>0</v>
      </c>
      <c r="AS278" s="24">
        <f>IF(AU277&gt;0,IF(AND(ROUND(AU277+AT278-ROUND(AS$6+IF(AS$5=$C278,$E$5+$E278,0),2),2)&gt;0,ROUND(AU277+AT278-ROUND(AS$6+IF(AS$5=$C278,$E$5+$E278,0),2),2)&lt;=AV278,ROUND(AU277+AT278-ROUND(AS$6+IF(AS$5=$C278,$E$5+$E278,0),2),2)*10&lt;=ROUND(AS$6+IF(AS$5=$C278,$E$5+$E278,0),2)),ROUND(AU277+AT278,2),MIN(ROUND(AS$6+IF(AS$5=$C278,$E$5+$E278,0),2),ROUND(AU277+AT278,2))),0)</f>
        <v>0</v>
      </c>
      <c r="AT278" s="24">
        <f>IF(AU277&gt;0,ROUND(ROUND(AU277*100,0)*ROUND(AS$7*10000,0)/12000000,0)/100,0)</f>
        <v>0</v>
      </c>
      <c r="AU278" s="24">
        <f>IF(AU277&gt;0,ROUND(AU277+AT278-AS278,2),0)</f>
        <v>0</v>
      </c>
      <c r="AV278" s="24">
        <f>IF(AU277&gt;0,ROUND(AV277+ROUND(ROUND(AV277*100,0)*ROUND(AS$7*10000,0)/12000000,0)/100+0.02,2),0)</f>
        <v>0</v>
      </c>
    </row>
    <row r="279" spans="1:48" x14ac:dyDescent="0.25">
      <c r="A279" s="17" t="str">
        <f>IF(F279&gt;0,269,"")</f>
        <v/>
      </c>
      <c r="B279" s="18" t="str">
        <f>IF(F279&gt;0,EDATE($E$6,269),"")</f>
        <v/>
      </c>
      <c r="C279" s="21">
        <f>IF(H278&gt;0,MIN(IF(K278&gt;0,I$5,99),IF(O278&gt;0,M$5,99),IF(S278&gt;0,Q$5,99),IF(W278&gt;0,U$5,99),IF(AA278&gt;0,Y$5,99),IF(AE278&gt;0,AC$5,99),IF(AI278&gt;0,AG$5,99),IF(AM278&gt;0,AK$5,99),IF(AQ278&gt;0,AO$5,99),IF(AU278&gt;0,AS$5,99)),0)</f>
        <v>0</v>
      </c>
      <c r="D279" t="str">
        <f>IF(C279&gt;0,INDEX($I$4:$AV$4,1,MATCH(C279,$I$5:$AV$5,0)),"")</f>
        <v/>
      </c>
      <c r="E279" s="24">
        <f>ROUND(IF(AND(I$8&gt;0,K278=0),I$6,0)+IF(AND(M$8&gt;0,O278=0),M$6,0)+IF(AND(Q$8&gt;0,S278=0),Q$6,0)+IF(AND(U$8&gt;0,W278=0),U$6,0)+IF(AND(Y$8&gt;0,AA278=0),Y$6,0)+IF(AND(AC$8&gt;0,AE278=0),AC$6,0)+IF(AND(AG$8&gt;0,AI278=0),AG$6,0)+IF(AND(AK$8&gt;0,AM278=0),AK$6,0)+IF(AND(AO$8&gt;0,AQ278=0),AO$6,0)+IF(AND(AS$8&gt;0,AU278=0),AS$6,0),2)</f>
        <v>325</v>
      </c>
      <c r="F279" s="24">
        <f>ROUND(I279+M279+Q279+U279+Y279+AC279+AG279+AK279+AO279+AS279,2)</f>
        <v>0</v>
      </c>
      <c r="G279" s="24">
        <f>ROUND(J279+N279+R279+V279+Z279+AD279+AH279+AL279+AP279+AT279,2)</f>
        <v>0</v>
      </c>
      <c r="H279" s="24">
        <f>ROUND(K279+O279+S279+W279+AA279+AE279+AI279+AM279+AQ279+AU279,2)</f>
        <v>0</v>
      </c>
      <c r="I279" s="24">
        <f>IF(K278&gt;0,IF(AND(ROUND(K278+J279-ROUND(I$6+IF(I$5=$C279,$E$5+$E279,0),2),2)&gt;0,ROUND(K278+J279-ROUND(I$6+IF(I$5=$C279,$E$5+$E279,0),2),2)&lt;=L279,ROUND(K278+J279-ROUND(I$6+IF(I$5=$C279,$E$5+$E279,0),2),2)*10&lt;=ROUND(I$6+IF(I$5=$C279,$E$5+$E279,0),2)),ROUND(K278+J279,2),MIN(ROUND(I$6+IF(I$5=$C279,$E$5+$E279,0),2),ROUND(K278+J279,2))),0)</f>
        <v>0</v>
      </c>
      <c r="J279" s="24">
        <f>IF(K278&gt;0,ROUND(ROUND(K278*100,0)*ROUND(I$7*10000,0)/12000000,0)/100,0)</f>
        <v>0</v>
      </c>
      <c r="K279" s="24">
        <f>IF(K278&gt;0,ROUND(K278+J279-I279,2),0)</f>
        <v>0</v>
      </c>
      <c r="L279" s="24">
        <f>IF(K278&gt;0,ROUND(L278+ROUND(ROUND(L278*100,0)*ROUND(I$7*10000,0)/12000000,0)/100+0.02,2),0)</f>
        <v>0</v>
      </c>
      <c r="M279" s="24">
        <f>IF(O278&gt;0,IF(AND(ROUND(O278+N279-ROUND(M$6+IF(M$5=$C279,$E$5+$E279,0),2),2)&gt;0,ROUND(O278+N279-ROUND(M$6+IF(M$5=$C279,$E$5+$E279,0),2),2)&lt;=P279,ROUND(O278+N279-ROUND(M$6+IF(M$5=$C279,$E$5+$E279,0),2),2)*10&lt;=ROUND(M$6+IF(M$5=$C279,$E$5+$E279,0),2)),ROUND(O278+N279,2),MIN(ROUND(M$6+IF(M$5=$C279,$E$5+$E279,0),2),ROUND(O278+N279,2))),0)</f>
        <v>0</v>
      </c>
      <c r="N279" s="24">
        <f>IF(O278&gt;0,ROUND(ROUND(O278*100,0)*ROUND(M$7*10000,0)/12000000,0)/100,0)</f>
        <v>0</v>
      </c>
      <c r="O279" s="24">
        <f>IF(O278&gt;0,ROUND(O278+N279-M279,2),0)</f>
        <v>0</v>
      </c>
      <c r="P279" s="24">
        <f>IF(O278&gt;0,ROUND(P278+ROUND(ROUND(P278*100,0)*ROUND(M$7*10000,0)/12000000,0)/100+0.02,2),0)</f>
        <v>0</v>
      </c>
      <c r="Q279" s="24">
        <f>IF(S278&gt;0,IF(AND(ROUND(S278+R279-ROUND(Q$6+IF(Q$5=$C279,$E$5+$E279,0),2),2)&gt;0,ROUND(S278+R279-ROUND(Q$6+IF(Q$5=$C279,$E$5+$E279,0),2),2)&lt;=T279,ROUND(S278+R279-ROUND(Q$6+IF(Q$5=$C279,$E$5+$E279,0),2),2)*10&lt;=ROUND(Q$6+IF(Q$5=$C279,$E$5+$E279,0),2)),ROUND(S278+R279,2),MIN(ROUND(Q$6+IF(Q$5=$C279,$E$5+$E279,0),2),ROUND(S278+R279,2))),0)</f>
        <v>0</v>
      </c>
      <c r="R279" s="24">
        <f>IF(S278&gt;0,ROUND(ROUND(S278*100,0)*ROUND(Q$7*10000,0)/12000000,0)/100,0)</f>
        <v>0</v>
      </c>
      <c r="S279" s="24">
        <f>IF(S278&gt;0,ROUND(S278+R279-Q279,2),0)</f>
        <v>0</v>
      </c>
      <c r="T279" s="24">
        <f>IF(S278&gt;0,ROUND(T278+ROUND(ROUND(T278*100,0)*ROUND(Q$7*10000,0)/12000000,0)/100+0.02,2),0)</f>
        <v>0</v>
      </c>
      <c r="U279" s="24">
        <f>IF(W278&gt;0,IF(AND(ROUND(W278+V279-ROUND(U$6+IF(U$5=$C279,$E$5+$E279,0),2),2)&gt;0,ROUND(W278+V279-ROUND(U$6+IF(U$5=$C279,$E$5+$E279,0),2),2)&lt;=X279,ROUND(W278+V279-ROUND(U$6+IF(U$5=$C279,$E$5+$E279,0),2),2)*10&lt;=ROUND(U$6+IF(U$5=$C279,$E$5+$E279,0),2)),ROUND(W278+V279,2),MIN(ROUND(U$6+IF(U$5=$C279,$E$5+$E279,0),2),ROUND(W278+V279,2))),0)</f>
        <v>0</v>
      </c>
      <c r="V279" s="24">
        <f>IF(W278&gt;0,ROUND(ROUND(W278*100,0)*ROUND(U$7*10000,0)/12000000,0)/100,0)</f>
        <v>0</v>
      </c>
      <c r="W279" s="24">
        <f>IF(W278&gt;0,ROUND(W278+V279-U279,2),0)</f>
        <v>0</v>
      </c>
      <c r="X279" s="24">
        <f>IF(W278&gt;0,ROUND(X278+ROUND(ROUND(X278*100,0)*ROUND(U$7*10000,0)/12000000,0)/100+0.02,2),0)</f>
        <v>0</v>
      </c>
      <c r="Y279" s="24">
        <f>IF(AA278&gt;0,IF(AND(ROUND(AA278+Z279-ROUND(Y$6+IF(Y$5=$C279,$E$5+$E279,0),2),2)&gt;0,ROUND(AA278+Z279-ROUND(Y$6+IF(Y$5=$C279,$E$5+$E279,0),2),2)&lt;=AB279,ROUND(AA278+Z279-ROUND(Y$6+IF(Y$5=$C279,$E$5+$E279,0),2),2)*10&lt;=ROUND(Y$6+IF(Y$5=$C279,$E$5+$E279,0),2)),ROUND(AA278+Z279,2),MIN(ROUND(Y$6+IF(Y$5=$C279,$E$5+$E279,0),2),ROUND(AA278+Z279,2))),0)</f>
        <v>0</v>
      </c>
      <c r="Z279" s="24">
        <f>IF(AA278&gt;0,ROUND(ROUND(AA278*100,0)*ROUND(Y$7*10000,0)/12000000,0)/100,0)</f>
        <v>0</v>
      </c>
      <c r="AA279" s="24">
        <f>IF(AA278&gt;0,ROUND(AA278+Z279-Y279,2),0)</f>
        <v>0</v>
      </c>
      <c r="AB279" s="24">
        <f>IF(AA278&gt;0,ROUND(AB278+ROUND(ROUND(AB278*100,0)*ROUND(Y$7*10000,0)/12000000,0)/100+0.02,2),0)</f>
        <v>0</v>
      </c>
      <c r="AC279" s="24">
        <f>IF(AE278&gt;0,IF(AND(ROUND(AE278+AD279-ROUND(AC$6+IF(AC$5=$C279,$E$5+$E279,0),2),2)&gt;0,ROUND(AE278+AD279-ROUND(AC$6+IF(AC$5=$C279,$E$5+$E279,0),2),2)&lt;=AF279,ROUND(AE278+AD279-ROUND(AC$6+IF(AC$5=$C279,$E$5+$E279,0),2),2)*10&lt;=ROUND(AC$6+IF(AC$5=$C279,$E$5+$E279,0),2)),ROUND(AE278+AD279,2),MIN(ROUND(AC$6+IF(AC$5=$C279,$E$5+$E279,0),2),ROUND(AE278+AD279,2))),0)</f>
        <v>0</v>
      </c>
      <c r="AD279" s="24">
        <f>IF(AE278&gt;0,ROUND(ROUND(AE278*100,0)*ROUND(AC$7*10000,0)/12000000,0)/100,0)</f>
        <v>0</v>
      </c>
      <c r="AE279" s="24">
        <f>IF(AE278&gt;0,ROUND(AE278+AD279-AC279,2),0)</f>
        <v>0</v>
      </c>
      <c r="AF279" s="24">
        <f>IF(AE278&gt;0,ROUND(AF278+ROUND(ROUND(AF278*100,0)*ROUND(AC$7*10000,0)/12000000,0)/100+0.02,2),0)</f>
        <v>0</v>
      </c>
      <c r="AG279" s="24">
        <f>IF(AI278&gt;0,IF(AND(ROUND(AI278+AH279-ROUND(AG$6+IF(AG$5=$C279,$E$5+$E279,0),2),2)&gt;0,ROUND(AI278+AH279-ROUND(AG$6+IF(AG$5=$C279,$E$5+$E279,0),2),2)&lt;=AJ279,ROUND(AI278+AH279-ROUND(AG$6+IF(AG$5=$C279,$E$5+$E279,0),2),2)*10&lt;=ROUND(AG$6+IF(AG$5=$C279,$E$5+$E279,0),2)),ROUND(AI278+AH279,2),MIN(ROUND(AG$6+IF(AG$5=$C279,$E$5+$E279,0),2),ROUND(AI278+AH279,2))),0)</f>
        <v>0</v>
      </c>
      <c r="AH279" s="24">
        <f>IF(AI278&gt;0,ROUND(ROUND(AI278*100,0)*ROUND(AG$7*10000,0)/12000000,0)/100,0)</f>
        <v>0</v>
      </c>
      <c r="AI279" s="24">
        <f>IF(AI278&gt;0,ROUND(AI278+AH279-AG279,2),0)</f>
        <v>0</v>
      </c>
      <c r="AJ279" s="24">
        <f>IF(AI278&gt;0,ROUND(AJ278+ROUND(ROUND(AJ278*100,0)*ROUND(AG$7*10000,0)/12000000,0)/100+0.02,2),0)</f>
        <v>0</v>
      </c>
      <c r="AK279" s="24">
        <f>IF(AM278&gt;0,IF(AND(ROUND(AM278+AL279-ROUND(AK$6+IF(AK$5=$C279,$E$5+$E279,0),2),2)&gt;0,ROUND(AM278+AL279-ROUND(AK$6+IF(AK$5=$C279,$E$5+$E279,0),2),2)&lt;=AN279,ROUND(AM278+AL279-ROUND(AK$6+IF(AK$5=$C279,$E$5+$E279,0),2),2)*10&lt;=ROUND(AK$6+IF(AK$5=$C279,$E$5+$E279,0),2)),ROUND(AM278+AL279,2),MIN(ROUND(AK$6+IF(AK$5=$C279,$E$5+$E279,0),2),ROUND(AM278+AL279,2))),0)</f>
        <v>0</v>
      </c>
      <c r="AL279" s="24">
        <f>IF(AM278&gt;0,ROUND(ROUND(AM278*100,0)*ROUND(AK$7*10000,0)/12000000,0)/100,0)</f>
        <v>0</v>
      </c>
      <c r="AM279" s="24">
        <f>IF(AM278&gt;0,ROUND(AM278+AL279-AK279,2),0)</f>
        <v>0</v>
      </c>
      <c r="AN279" s="24">
        <f>IF(AM278&gt;0,ROUND(AN278+ROUND(ROUND(AN278*100,0)*ROUND(AK$7*10000,0)/12000000,0)/100+0.02,2),0)</f>
        <v>0</v>
      </c>
      <c r="AO279" s="24">
        <f>IF(AQ278&gt;0,IF(AND(ROUND(AQ278+AP279-ROUND(AO$6+IF(AO$5=$C279,$E$5+$E279,0),2),2)&gt;0,ROUND(AQ278+AP279-ROUND(AO$6+IF(AO$5=$C279,$E$5+$E279,0),2),2)&lt;=AR279,ROUND(AQ278+AP279-ROUND(AO$6+IF(AO$5=$C279,$E$5+$E279,0),2),2)*10&lt;=ROUND(AO$6+IF(AO$5=$C279,$E$5+$E279,0),2)),ROUND(AQ278+AP279,2),MIN(ROUND(AO$6+IF(AO$5=$C279,$E$5+$E279,0),2),ROUND(AQ278+AP279,2))),0)</f>
        <v>0</v>
      </c>
      <c r="AP279" s="24">
        <f>IF(AQ278&gt;0,ROUND(ROUND(AQ278*100,0)*ROUND(AO$7*10000,0)/12000000,0)/100,0)</f>
        <v>0</v>
      </c>
      <c r="AQ279" s="24">
        <f>IF(AQ278&gt;0,ROUND(AQ278+AP279-AO279,2),0)</f>
        <v>0</v>
      </c>
      <c r="AR279" s="24">
        <f>IF(AQ278&gt;0,ROUND(AR278+ROUND(ROUND(AR278*100,0)*ROUND(AO$7*10000,0)/12000000,0)/100+0.02,2),0)</f>
        <v>0</v>
      </c>
      <c r="AS279" s="24">
        <f>IF(AU278&gt;0,IF(AND(ROUND(AU278+AT279-ROUND(AS$6+IF(AS$5=$C279,$E$5+$E279,0),2),2)&gt;0,ROUND(AU278+AT279-ROUND(AS$6+IF(AS$5=$C279,$E$5+$E279,0),2),2)&lt;=AV279,ROUND(AU278+AT279-ROUND(AS$6+IF(AS$5=$C279,$E$5+$E279,0),2),2)*10&lt;=ROUND(AS$6+IF(AS$5=$C279,$E$5+$E279,0),2)),ROUND(AU278+AT279,2),MIN(ROUND(AS$6+IF(AS$5=$C279,$E$5+$E279,0),2),ROUND(AU278+AT279,2))),0)</f>
        <v>0</v>
      </c>
      <c r="AT279" s="24">
        <f>IF(AU278&gt;0,ROUND(ROUND(AU278*100,0)*ROUND(AS$7*10000,0)/12000000,0)/100,0)</f>
        <v>0</v>
      </c>
      <c r="AU279" s="24">
        <f>IF(AU278&gt;0,ROUND(AU278+AT279-AS279,2),0)</f>
        <v>0</v>
      </c>
      <c r="AV279" s="24">
        <f>IF(AU278&gt;0,ROUND(AV278+ROUND(ROUND(AV278*100,0)*ROUND(AS$7*10000,0)/12000000,0)/100+0.02,2),0)</f>
        <v>0</v>
      </c>
    </row>
    <row r="280" spans="1:48" x14ac:dyDescent="0.25">
      <c r="A280" s="17" t="str">
        <f>IF(F280&gt;0,270,"")</f>
        <v/>
      </c>
      <c r="B280" s="18" t="str">
        <f>IF(F280&gt;0,EDATE($E$6,270),"")</f>
        <v/>
      </c>
      <c r="C280" s="21">
        <f>IF(H279&gt;0,MIN(IF(K279&gt;0,I$5,99),IF(O279&gt;0,M$5,99),IF(S279&gt;0,Q$5,99),IF(W279&gt;0,U$5,99),IF(AA279&gt;0,Y$5,99),IF(AE279&gt;0,AC$5,99),IF(AI279&gt;0,AG$5,99),IF(AM279&gt;0,AK$5,99),IF(AQ279&gt;0,AO$5,99),IF(AU279&gt;0,AS$5,99)),0)</f>
        <v>0</v>
      </c>
      <c r="D280" t="str">
        <f>IF(C280&gt;0,INDEX($I$4:$AV$4,1,MATCH(C280,$I$5:$AV$5,0)),"")</f>
        <v/>
      </c>
      <c r="E280" s="24">
        <f>ROUND(IF(AND(I$8&gt;0,K279=0),I$6,0)+IF(AND(M$8&gt;0,O279=0),M$6,0)+IF(AND(Q$8&gt;0,S279=0),Q$6,0)+IF(AND(U$8&gt;0,W279=0),U$6,0)+IF(AND(Y$8&gt;0,AA279=0),Y$6,0)+IF(AND(AC$8&gt;0,AE279=0),AC$6,0)+IF(AND(AG$8&gt;0,AI279=0),AG$6,0)+IF(AND(AK$8&gt;0,AM279=0),AK$6,0)+IF(AND(AO$8&gt;0,AQ279=0),AO$6,0)+IF(AND(AS$8&gt;0,AU279=0),AS$6,0),2)</f>
        <v>325</v>
      </c>
      <c r="F280" s="24">
        <f>ROUND(I280+M280+Q280+U280+Y280+AC280+AG280+AK280+AO280+AS280,2)</f>
        <v>0</v>
      </c>
      <c r="G280" s="24">
        <f>ROUND(J280+N280+R280+V280+Z280+AD280+AH280+AL280+AP280+AT280,2)</f>
        <v>0</v>
      </c>
      <c r="H280" s="24">
        <f>ROUND(K280+O280+S280+W280+AA280+AE280+AI280+AM280+AQ280+AU280,2)</f>
        <v>0</v>
      </c>
      <c r="I280" s="24">
        <f>IF(K279&gt;0,IF(AND(ROUND(K279+J280-ROUND(I$6+IF(I$5=$C280,$E$5+$E280,0),2),2)&gt;0,ROUND(K279+J280-ROUND(I$6+IF(I$5=$C280,$E$5+$E280,0),2),2)&lt;=L280,ROUND(K279+J280-ROUND(I$6+IF(I$5=$C280,$E$5+$E280,0),2),2)*10&lt;=ROUND(I$6+IF(I$5=$C280,$E$5+$E280,0),2)),ROUND(K279+J280,2),MIN(ROUND(I$6+IF(I$5=$C280,$E$5+$E280,0),2),ROUND(K279+J280,2))),0)</f>
        <v>0</v>
      </c>
      <c r="J280" s="24">
        <f>IF(K279&gt;0,ROUND(ROUND(K279*100,0)*ROUND(I$7*10000,0)/12000000,0)/100,0)</f>
        <v>0</v>
      </c>
      <c r="K280" s="24">
        <f>IF(K279&gt;0,ROUND(K279+J280-I280,2),0)</f>
        <v>0</v>
      </c>
      <c r="L280" s="24">
        <f>IF(K279&gt;0,ROUND(L279+ROUND(ROUND(L279*100,0)*ROUND(I$7*10000,0)/12000000,0)/100+0.02,2),0)</f>
        <v>0</v>
      </c>
      <c r="M280" s="24">
        <f>IF(O279&gt;0,IF(AND(ROUND(O279+N280-ROUND(M$6+IF(M$5=$C280,$E$5+$E280,0),2),2)&gt;0,ROUND(O279+N280-ROUND(M$6+IF(M$5=$C280,$E$5+$E280,0),2),2)&lt;=P280,ROUND(O279+N280-ROUND(M$6+IF(M$5=$C280,$E$5+$E280,0),2),2)*10&lt;=ROUND(M$6+IF(M$5=$C280,$E$5+$E280,0),2)),ROUND(O279+N280,2),MIN(ROUND(M$6+IF(M$5=$C280,$E$5+$E280,0),2),ROUND(O279+N280,2))),0)</f>
        <v>0</v>
      </c>
      <c r="N280" s="24">
        <f>IF(O279&gt;0,ROUND(ROUND(O279*100,0)*ROUND(M$7*10000,0)/12000000,0)/100,0)</f>
        <v>0</v>
      </c>
      <c r="O280" s="24">
        <f>IF(O279&gt;0,ROUND(O279+N280-M280,2),0)</f>
        <v>0</v>
      </c>
      <c r="P280" s="24">
        <f>IF(O279&gt;0,ROUND(P279+ROUND(ROUND(P279*100,0)*ROUND(M$7*10000,0)/12000000,0)/100+0.02,2),0)</f>
        <v>0</v>
      </c>
      <c r="Q280" s="24">
        <f>IF(S279&gt;0,IF(AND(ROUND(S279+R280-ROUND(Q$6+IF(Q$5=$C280,$E$5+$E280,0),2),2)&gt;0,ROUND(S279+R280-ROUND(Q$6+IF(Q$5=$C280,$E$5+$E280,0),2),2)&lt;=T280,ROUND(S279+R280-ROUND(Q$6+IF(Q$5=$C280,$E$5+$E280,0),2),2)*10&lt;=ROUND(Q$6+IF(Q$5=$C280,$E$5+$E280,0),2)),ROUND(S279+R280,2),MIN(ROUND(Q$6+IF(Q$5=$C280,$E$5+$E280,0),2),ROUND(S279+R280,2))),0)</f>
        <v>0</v>
      </c>
      <c r="R280" s="24">
        <f>IF(S279&gt;0,ROUND(ROUND(S279*100,0)*ROUND(Q$7*10000,0)/12000000,0)/100,0)</f>
        <v>0</v>
      </c>
      <c r="S280" s="24">
        <f>IF(S279&gt;0,ROUND(S279+R280-Q280,2),0)</f>
        <v>0</v>
      </c>
      <c r="T280" s="24">
        <f>IF(S279&gt;0,ROUND(T279+ROUND(ROUND(T279*100,0)*ROUND(Q$7*10000,0)/12000000,0)/100+0.02,2),0)</f>
        <v>0</v>
      </c>
      <c r="U280" s="24">
        <f>IF(W279&gt;0,IF(AND(ROUND(W279+V280-ROUND(U$6+IF(U$5=$C280,$E$5+$E280,0),2),2)&gt;0,ROUND(W279+V280-ROUND(U$6+IF(U$5=$C280,$E$5+$E280,0),2),2)&lt;=X280,ROUND(W279+V280-ROUND(U$6+IF(U$5=$C280,$E$5+$E280,0),2),2)*10&lt;=ROUND(U$6+IF(U$5=$C280,$E$5+$E280,0),2)),ROUND(W279+V280,2),MIN(ROUND(U$6+IF(U$5=$C280,$E$5+$E280,0),2),ROUND(W279+V280,2))),0)</f>
        <v>0</v>
      </c>
      <c r="V280" s="24">
        <f>IF(W279&gt;0,ROUND(ROUND(W279*100,0)*ROUND(U$7*10000,0)/12000000,0)/100,0)</f>
        <v>0</v>
      </c>
      <c r="W280" s="24">
        <f>IF(W279&gt;0,ROUND(W279+V280-U280,2),0)</f>
        <v>0</v>
      </c>
      <c r="X280" s="24">
        <f>IF(W279&gt;0,ROUND(X279+ROUND(ROUND(X279*100,0)*ROUND(U$7*10000,0)/12000000,0)/100+0.02,2),0)</f>
        <v>0</v>
      </c>
      <c r="Y280" s="24">
        <f>IF(AA279&gt;0,IF(AND(ROUND(AA279+Z280-ROUND(Y$6+IF(Y$5=$C280,$E$5+$E280,0),2),2)&gt;0,ROUND(AA279+Z280-ROUND(Y$6+IF(Y$5=$C280,$E$5+$E280,0),2),2)&lt;=AB280,ROUND(AA279+Z280-ROUND(Y$6+IF(Y$5=$C280,$E$5+$E280,0),2),2)*10&lt;=ROUND(Y$6+IF(Y$5=$C280,$E$5+$E280,0),2)),ROUND(AA279+Z280,2),MIN(ROUND(Y$6+IF(Y$5=$C280,$E$5+$E280,0),2),ROUND(AA279+Z280,2))),0)</f>
        <v>0</v>
      </c>
      <c r="Z280" s="24">
        <f>IF(AA279&gt;0,ROUND(ROUND(AA279*100,0)*ROUND(Y$7*10000,0)/12000000,0)/100,0)</f>
        <v>0</v>
      </c>
      <c r="AA280" s="24">
        <f>IF(AA279&gt;0,ROUND(AA279+Z280-Y280,2),0)</f>
        <v>0</v>
      </c>
      <c r="AB280" s="24">
        <f>IF(AA279&gt;0,ROUND(AB279+ROUND(ROUND(AB279*100,0)*ROUND(Y$7*10000,0)/12000000,0)/100+0.02,2),0)</f>
        <v>0</v>
      </c>
      <c r="AC280" s="24">
        <f>IF(AE279&gt;0,IF(AND(ROUND(AE279+AD280-ROUND(AC$6+IF(AC$5=$C280,$E$5+$E280,0),2),2)&gt;0,ROUND(AE279+AD280-ROUND(AC$6+IF(AC$5=$C280,$E$5+$E280,0),2),2)&lt;=AF280,ROUND(AE279+AD280-ROUND(AC$6+IF(AC$5=$C280,$E$5+$E280,0),2),2)*10&lt;=ROUND(AC$6+IF(AC$5=$C280,$E$5+$E280,0),2)),ROUND(AE279+AD280,2),MIN(ROUND(AC$6+IF(AC$5=$C280,$E$5+$E280,0),2),ROUND(AE279+AD280,2))),0)</f>
        <v>0</v>
      </c>
      <c r="AD280" s="24">
        <f>IF(AE279&gt;0,ROUND(ROUND(AE279*100,0)*ROUND(AC$7*10000,0)/12000000,0)/100,0)</f>
        <v>0</v>
      </c>
      <c r="AE280" s="24">
        <f>IF(AE279&gt;0,ROUND(AE279+AD280-AC280,2),0)</f>
        <v>0</v>
      </c>
      <c r="AF280" s="24">
        <f>IF(AE279&gt;0,ROUND(AF279+ROUND(ROUND(AF279*100,0)*ROUND(AC$7*10000,0)/12000000,0)/100+0.02,2),0)</f>
        <v>0</v>
      </c>
      <c r="AG280" s="24">
        <f>IF(AI279&gt;0,IF(AND(ROUND(AI279+AH280-ROUND(AG$6+IF(AG$5=$C280,$E$5+$E280,0),2),2)&gt;0,ROUND(AI279+AH280-ROUND(AG$6+IF(AG$5=$C280,$E$5+$E280,0),2),2)&lt;=AJ280,ROUND(AI279+AH280-ROUND(AG$6+IF(AG$5=$C280,$E$5+$E280,0),2),2)*10&lt;=ROUND(AG$6+IF(AG$5=$C280,$E$5+$E280,0),2)),ROUND(AI279+AH280,2),MIN(ROUND(AG$6+IF(AG$5=$C280,$E$5+$E280,0),2),ROUND(AI279+AH280,2))),0)</f>
        <v>0</v>
      </c>
      <c r="AH280" s="24">
        <f>IF(AI279&gt;0,ROUND(ROUND(AI279*100,0)*ROUND(AG$7*10000,0)/12000000,0)/100,0)</f>
        <v>0</v>
      </c>
      <c r="AI280" s="24">
        <f>IF(AI279&gt;0,ROUND(AI279+AH280-AG280,2),0)</f>
        <v>0</v>
      </c>
      <c r="AJ280" s="24">
        <f>IF(AI279&gt;0,ROUND(AJ279+ROUND(ROUND(AJ279*100,0)*ROUND(AG$7*10000,0)/12000000,0)/100+0.02,2),0)</f>
        <v>0</v>
      </c>
      <c r="AK280" s="24">
        <f>IF(AM279&gt;0,IF(AND(ROUND(AM279+AL280-ROUND(AK$6+IF(AK$5=$C280,$E$5+$E280,0),2),2)&gt;0,ROUND(AM279+AL280-ROUND(AK$6+IF(AK$5=$C280,$E$5+$E280,0),2),2)&lt;=AN280,ROUND(AM279+AL280-ROUND(AK$6+IF(AK$5=$C280,$E$5+$E280,0),2),2)*10&lt;=ROUND(AK$6+IF(AK$5=$C280,$E$5+$E280,0),2)),ROUND(AM279+AL280,2),MIN(ROUND(AK$6+IF(AK$5=$C280,$E$5+$E280,0),2),ROUND(AM279+AL280,2))),0)</f>
        <v>0</v>
      </c>
      <c r="AL280" s="24">
        <f>IF(AM279&gt;0,ROUND(ROUND(AM279*100,0)*ROUND(AK$7*10000,0)/12000000,0)/100,0)</f>
        <v>0</v>
      </c>
      <c r="AM280" s="24">
        <f>IF(AM279&gt;0,ROUND(AM279+AL280-AK280,2),0)</f>
        <v>0</v>
      </c>
      <c r="AN280" s="24">
        <f>IF(AM279&gt;0,ROUND(AN279+ROUND(ROUND(AN279*100,0)*ROUND(AK$7*10000,0)/12000000,0)/100+0.02,2),0)</f>
        <v>0</v>
      </c>
      <c r="AO280" s="24">
        <f>IF(AQ279&gt;0,IF(AND(ROUND(AQ279+AP280-ROUND(AO$6+IF(AO$5=$C280,$E$5+$E280,0),2),2)&gt;0,ROUND(AQ279+AP280-ROUND(AO$6+IF(AO$5=$C280,$E$5+$E280,0),2),2)&lt;=AR280,ROUND(AQ279+AP280-ROUND(AO$6+IF(AO$5=$C280,$E$5+$E280,0),2),2)*10&lt;=ROUND(AO$6+IF(AO$5=$C280,$E$5+$E280,0),2)),ROUND(AQ279+AP280,2),MIN(ROUND(AO$6+IF(AO$5=$C280,$E$5+$E280,0),2),ROUND(AQ279+AP280,2))),0)</f>
        <v>0</v>
      </c>
      <c r="AP280" s="24">
        <f>IF(AQ279&gt;0,ROUND(ROUND(AQ279*100,0)*ROUND(AO$7*10000,0)/12000000,0)/100,0)</f>
        <v>0</v>
      </c>
      <c r="AQ280" s="24">
        <f>IF(AQ279&gt;0,ROUND(AQ279+AP280-AO280,2),0)</f>
        <v>0</v>
      </c>
      <c r="AR280" s="24">
        <f>IF(AQ279&gt;0,ROUND(AR279+ROUND(ROUND(AR279*100,0)*ROUND(AO$7*10000,0)/12000000,0)/100+0.02,2),0)</f>
        <v>0</v>
      </c>
      <c r="AS280" s="24">
        <f>IF(AU279&gt;0,IF(AND(ROUND(AU279+AT280-ROUND(AS$6+IF(AS$5=$C280,$E$5+$E280,0),2),2)&gt;0,ROUND(AU279+AT280-ROUND(AS$6+IF(AS$5=$C280,$E$5+$E280,0),2),2)&lt;=AV280,ROUND(AU279+AT280-ROUND(AS$6+IF(AS$5=$C280,$E$5+$E280,0),2),2)*10&lt;=ROUND(AS$6+IF(AS$5=$C280,$E$5+$E280,0),2)),ROUND(AU279+AT280,2),MIN(ROUND(AS$6+IF(AS$5=$C280,$E$5+$E280,0),2),ROUND(AU279+AT280,2))),0)</f>
        <v>0</v>
      </c>
      <c r="AT280" s="24">
        <f>IF(AU279&gt;0,ROUND(ROUND(AU279*100,0)*ROUND(AS$7*10000,0)/12000000,0)/100,0)</f>
        <v>0</v>
      </c>
      <c r="AU280" s="24">
        <f>IF(AU279&gt;0,ROUND(AU279+AT280-AS280,2),0)</f>
        <v>0</v>
      </c>
      <c r="AV280" s="24">
        <f>IF(AU279&gt;0,ROUND(AV279+ROUND(ROUND(AV279*100,0)*ROUND(AS$7*10000,0)/12000000,0)/100+0.02,2),0)</f>
        <v>0</v>
      </c>
    </row>
    <row r="281" spans="1:48" x14ac:dyDescent="0.25">
      <c r="A281" s="17" t="str">
        <f>IF(F281&gt;0,271,"")</f>
        <v/>
      </c>
      <c r="B281" s="18" t="str">
        <f>IF(F281&gt;0,EDATE($E$6,271),"")</f>
        <v/>
      </c>
      <c r="C281" s="21">
        <f>IF(H280&gt;0,MIN(IF(K280&gt;0,I$5,99),IF(O280&gt;0,M$5,99),IF(S280&gt;0,Q$5,99),IF(W280&gt;0,U$5,99),IF(AA280&gt;0,Y$5,99),IF(AE280&gt;0,AC$5,99),IF(AI280&gt;0,AG$5,99),IF(AM280&gt;0,AK$5,99),IF(AQ280&gt;0,AO$5,99),IF(AU280&gt;0,AS$5,99)),0)</f>
        <v>0</v>
      </c>
      <c r="D281" t="str">
        <f>IF(C281&gt;0,INDEX($I$4:$AV$4,1,MATCH(C281,$I$5:$AV$5,0)),"")</f>
        <v/>
      </c>
      <c r="E281" s="24">
        <f>ROUND(IF(AND(I$8&gt;0,K280=0),I$6,0)+IF(AND(M$8&gt;0,O280=0),M$6,0)+IF(AND(Q$8&gt;0,S280=0),Q$6,0)+IF(AND(U$8&gt;0,W280=0),U$6,0)+IF(AND(Y$8&gt;0,AA280=0),Y$6,0)+IF(AND(AC$8&gt;0,AE280=0),AC$6,0)+IF(AND(AG$8&gt;0,AI280=0),AG$6,0)+IF(AND(AK$8&gt;0,AM280=0),AK$6,0)+IF(AND(AO$8&gt;0,AQ280=0),AO$6,0)+IF(AND(AS$8&gt;0,AU280=0),AS$6,0),2)</f>
        <v>325</v>
      </c>
      <c r="F281" s="24">
        <f>ROUND(I281+M281+Q281+U281+Y281+AC281+AG281+AK281+AO281+AS281,2)</f>
        <v>0</v>
      </c>
      <c r="G281" s="24">
        <f>ROUND(J281+N281+R281+V281+Z281+AD281+AH281+AL281+AP281+AT281,2)</f>
        <v>0</v>
      </c>
      <c r="H281" s="24">
        <f>ROUND(K281+O281+S281+W281+AA281+AE281+AI281+AM281+AQ281+AU281,2)</f>
        <v>0</v>
      </c>
      <c r="I281" s="24">
        <f>IF(K280&gt;0,IF(AND(ROUND(K280+J281-ROUND(I$6+IF(I$5=$C281,$E$5+$E281,0),2),2)&gt;0,ROUND(K280+J281-ROUND(I$6+IF(I$5=$C281,$E$5+$E281,0),2),2)&lt;=L281,ROUND(K280+J281-ROUND(I$6+IF(I$5=$C281,$E$5+$E281,0),2),2)*10&lt;=ROUND(I$6+IF(I$5=$C281,$E$5+$E281,0),2)),ROUND(K280+J281,2),MIN(ROUND(I$6+IF(I$5=$C281,$E$5+$E281,0),2),ROUND(K280+J281,2))),0)</f>
        <v>0</v>
      </c>
      <c r="J281" s="24">
        <f>IF(K280&gt;0,ROUND(ROUND(K280*100,0)*ROUND(I$7*10000,0)/12000000,0)/100,0)</f>
        <v>0</v>
      </c>
      <c r="K281" s="24">
        <f>IF(K280&gt;0,ROUND(K280+J281-I281,2),0)</f>
        <v>0</v>
      </c>
      <c r="L281" s="24">
        <f>IF(K280&gt;0,ROUND(L280+ROUND(ROUND(L280*100,0)*ROUND(I$7*10000,0)/12000000,0)/100+0.02,2),0)</f>
        <v>0</v>
      </c>
      <c r="M281" s="24">
        <f>IF(O280&gt;0,IF(AND(ROUND(O280+N281-ROUND(M$6+IF(M$5=$C281,$E$5+$E281,0),2),2)&gt;0,ROUND(O280+N281-ROUND(M$6+IF(M$5=$C281,$E$5+$E281,0),2),2)&lt;=P281,ROUND(O280+N281-ROUND(M$6+IF(M$5=$C281,$E$5+$E281,0),2),2)*10&lt;=ROUND(M$6+IF(M$5=$C281,$E$5+$E281,0),2)),ROUND(O280+N281,2),MIN(ROUND(M$6+IF(M$5=$C281,$E$5+$E281,0),2),ROUND(O280+N281,2))),0)</f>
        <v>0</v>
      </c>
      <c r="N281" s="24">
        <f>IF(O280&gt;0,ROUND(ROUND(O280*100,0)*ROUND(M$7*10000,0)/12000000,0)/100,0)</f>
        <v>0</v>
      </c>
      <c r="O281" s="24">
        <f>IF(O280&gt;0,ROUND(O280+N281-M281,2),0)</f>
        <v>0</v>
      </c>
      <c r="P281" s="24">
        <f>IF(O280&gt;0,ROUND(P280+ROUND(ROUND(P280*100,0)*ROUND(M$7*10000,0)/12000000,0)/100+0.02,2),0)</f>
        <v>0</v>
      </c>
      <c r="Q281" s="24">
        <f>IF(S280&gt;0,IF(AND(ROUND(S280+R281-ROUND(Q$6+IF(Q$5=$C281,$E$5+$E281,0),2),2)&gt;0,ROUND(S280+R281-ROUND(Q$6+IF(Q$5=$C281,$E$5+$E281,0),2),2)&lt;=T281,ROUND(S280+R281-ROUND(Q$6+IF(Q$5=$C281,$E$5+$E281,0),2),2)*10&lt;=ROUND(Q$6+IF(Q$5=$C281,$E$5+$E281,0),2)),ROUND(S280+R281,2),MIN(ROUND(Q$6+IF(Q$5=$C281,$E$5+$E281,0),2),ROUND(S280+R281,2))),0)</f>
        <v>0</v>
      </c>
      <c r="R281" s="24">
        <f>IF(S280&gt;0,ROUND(ROUND(S280*100,0)*ROUND(Q$7*10000,0)/12000000,0)/100,0)</f>
        <v>0</v>
      </c>
      <c r="S281" s="24">
        <f>IF(S280&gt;0,ROUND(S280+R281-Q281,2),0)</f>
        <v>0</v>
      </c>
      <c r="T281" s="24">
        <f>IF(S280&gt;0,ROUND(T280+ROUND(ROUND(T280*100,0)*ROUND(Q$7*10000,0)/12000000,0)/100+0.02,2),0)</f>
        <v>0</v>
      </c>
      <c r="U281" s="24">
        <f>IF(W280&gt;0,IF(AND(ROUND(W280+V281-ROUND(U$6+IF(U$5=$C281,$E$5+$E281,0),2),2)&gt;0,ROUND(W280+V281-ROUND(U$6+IF(U$5=$C281,$E$5+$E281,0),2),2)&lt;=X281,ROUND(W280+V281-ROUND(U$6+IF(U$5=$C281,$E$5+$E281,0),2),2)*10&lt;=ROUND(U$6+IF(U$5=$C281,$E$5+$E281,0),2)),ROUND(W280+V281,2),MIN(ROUND(U$6+IF(U$5=$C281,$E$5+$E281,0),2),ROUND(W280+V281,2))),0)</f>
        <v>0</v>
      </c>
      <c r="V281" s="24">
        <f>IF(W280&gt;0,ROUND(ROUND(W280*100,0)*ROUND(U$7*10000,0)/12000000,0)/100,0)</f>
        <v>0</v>
      </c>
      <c r="W281" s="24">
        <f>IF(W280&gt;0,ROUND(W280+V281-U281,2),0)</f>
        <v>0</v>
      </c>
      <c r="X281" s="24">
        <f>IF(W280&gt;0,ROUND(X280+ROUND(ROUND(X280*100,0)*ROUND(U$7*10000,0)/12000000,0)/100+0.02,2),0)</f>
        <v>0</v>
      </c>
      <c r="Y281" s="24">
        <f>IF(AA280&gt;0,IF(AND(ROUND(AA280+Z281-ROUND(Y$6+IF(Y$5=$C281,$E$5+$E281,0),2),2)&gt;0,ROUND(AA280+Z281-ROUND(Y$6+IF(Y$5=$C281,$E$5+$E281,0),2),2)&lt;=AB281,ROUND(AA280+Z281-ROUND(Y$6+IF(Y$5=$C281,$E$5+$E281,0),2),2)*10&lt;=ROUND(Y$6+IF(Y$5=$C281,$E$5+$E281,0),2)),ROUND(AA280+Z281,2),MIN(ROUND(Y$6+IF(Y$5=$C281,$E$5+$E281,0),2),ROUND(AA280+Z281,2))),0)</f>
        <v>0</v>
      </c>
      <c r="Z281" s="24">
        <f>IF(AA280&gt;0,ROUND(ROUND(AA280*100,0)*ROUND(Y$7*10000,0)/12000000,0)/100,0)</f>
        <v>0</v>
      </c>
      <c r="AA281" s="24">
        <f>IF(AA280&gt;0,ROUND(AA280+Z281-Y281,2),0)</f>
        <v>0</v>
      </c>
      <c r="AB281" s="24">
        <f>IF(AA280&gt;0,ROUND(AB280+ROUND(ROUND(AB280*100,0)*ROUND(Y$7*10000,0)/12000000,0)/100+0.02,2),0)</f>
        <v>0</v>
      </c>
      <c r="AC281" s="24">
        <f>IF(AE280&gt;0,IF(AND(ROUND(AE280+AD281-ROUND(AC$6+IF(AC$5=$C281,$E$5+$E281,0),2),2)&gt;0,ROUND(AE280+AD281-ROUND(AC$6+IF(AC$5=$C281,$E$5+$E281,0),2),2)&lt;=AF281,ROUND(AE280+AD281-ROUND(AC$6+IF(AC$5=$C281,$E$5+$E281,0),2),2)*10&lt;=ROUND(AC$6+IF(AC$5=$C281,$E$5+$E281,0),2)),ROUND(AE280+AD281,2),MIN(ROUND(AC$6+IF(AC$5=$C281,$E$5+$E281,0),2),ROUND(AE280+AD281,2))),0)</f>
        <v>0</v>
      </c>
      <c r="AD281" s="24">
        <f>IF(AE280&gt;0,ROUND(ROUND(AE280*100,0)*ROUND(AC$7*10000,0)/12000000,0)/100,0)</f>
        <v>0</v>
      </c>
      <c r="AE281" s="24">
        <f>IF(AE280&gt;0,ROUND(AE280+AD281-AC281,2),0)</f>
        <v>0</v>
      </c>
      <c r="AF281" s="24">
        <f>IF(AE280&gt;0,ROUND(AF280+ROUND(ROUND(AF280*100,0)*ROUND(AC$7*10000,0)/12000000,0)/100+0.02,2),0)</f>
        <v>0</v>
      </c>
      <c r="AG281" s="24">
        <f>IF(AI280&gt;0,IF(AND(ROUND(AI280+AH281-ROUND(AG$6+IF(AG$5=$C281,$E$5+$E281,0),2),2)&gt;0,ROUND(AI280+AH281-ROUND(AG$6+IF(AG$5=$C281,$E$5+$E281,0),2),2)&lt;=AJ281,ROUND(AI280+AH281-ROUND(AG$6+IF(AG$5=$C281,$E$5+$E281,0),2),2)*10&lt;=ROUND(AG$6+IF(AG$5=$C281,$E$5+$E281,0),2)),ROUND(AI280+AH281,2),MIN(ROUND(AG$6+IF(AG$5=$C281,$E$5+$E281,0),2),ROUND(AI280+AH281,2))),0)</f>
        <v>0</v>
      </c>
      <c r="AH281" s="24">
        <f>IF(AI280&gt;0,ROUND(ROUND(AI280*100,0)*ROUND(AG$7*10000,0)/12000000,0)/100,0)</f>
        <v>0</v>
      </c>
      <c r="AI281" s="24">
        <f>IF(AI280&gt;0,ROUND(AI280+AH281-AG281,2),0)</f>
        <v>0</v>
      </c>
      <c r="AJ281" s="24">
        <f>IF(AI280&gt;0,ROUND(AJ280+ROUND(ROUND(AJ280*100,0)*ROUND(AG$7*10000,0)/12000000,0)/100+0.02,2),0)</f>
        <v>0</v>
      </c>
      <c r="AK281" s="24">
        <f>IF(AM280&gt;0,IF(AND(ROUND(AM280+AL281-ROUND(AK$6+IF(AK$5=$C281,$E$5+$E281,0),2),2)&gt;0,ROUND(AM280+AL281-ROUND(AK$6+IF(AK$5=$C281,$E$5+$E281,0),2),2)&lt;=AN281,ROUND(AM280+AL281-ROUND(AK$6+IF(AK$5=$C281,$E$5+$E281,0),2),2)*10&lt;=ROUND(AK$6+IF(AK$5=$C281,$E$5+$E281,0),2)),ROUND(AM280+AL281,2),MIN(ROUND(AK$6+IF(AK$5=$C281,$E$5+$E281,0),2),ROUND(AM280+AL281,2))),0)</f>
        <v>0</v>
      </c>
      <c r="AL281" s="24">
        <f>IF(AM280&gt;0,ROUND(ROUND(AM280*100,0)*ROUND(AK$7*10000,0)/12000000,0)/100,0)</f>
        <v>0</v>
      </c>
      <c r="AM281" s="24">
        <f>IF(AM280&gt;0,ROUND(AM280+AL281-AK281,2),0)</f>
        <v>0</v>
      </c>
      <c r="AN281" s="24">
        <f>IF(AM280&gt;0,ROUND(AN280+ROUND(ROUND(AN280*100,0)*ROUND(AK$7*10000,0)/12000000,0)/100+0.02,2),0)</f>
        <v>0</v>
      </c>
      <c r="AO281" s="24">
        <f>IF(AQ280&gt;0,IF(AND(ROUND(AQ280+AP281-ROUND(AO$6+IF(AO$5=$C281,$E$5+$E281,0),2),2)&gt;0,ROUND(AQ280+AP281-ROUND(AO$6+IF(AO$5=$C281,$E$5+$E281,0),2),2)&lt;=AR281,ROUND(AQ280+AP281-ROUND(AO$6+IF(AO$5=$C281,$E$5+$E281,0),2),2)*10&lt;=ROUND(AO$6+IF(AO$5=$C281,$E$5+$E281,0),2)),ROUND(AQ280+AP281,2),MIN(ROUND(AO$6+IF(AO$5=$C281,$E$5+$E281,0),2),ROUND(AQ280+AP281,2))),0)</f>
        <v>0</v>
      </c>
      <c r="AP281" s="24">
        <f>IF(AQ280&gt;0,ROUND(ROUND(AQ280*100,0)*ROUND(AO$7*10000,0)/12000000,0)/100,0)</f>
        <v>0</v>
      </c>
      <c r="AQ281" s="24">
        <f>IF(AQ280&gt;0,ROUND(AQ280+AP281-AO281,2),0)</f>
        <v>0</v>
      </c>
      <c r="AR281" s="24">
        <f>IF(AQ280&gt;0,ROUND(AR280+ROUND(ROUND(AR280*100,0)*ROUND(AO$7*10000,0)/12000000,0)/100+0.02,2),0)</f>
        <v>0</v>
      </c>
      <c r="AS281" s="24">
        <f>IF(AU280&gt;0,IF(AND(ROUND(AU280+AT281-ROUND(AS$6+IF(AS$5=$C281,$E$5+$E281,0),2),2)&gt;0,ROUND(AU280+AT281-ROUND(AS$6+IF(AS$5=$C281,$E$5+$E281,0),2),2)&lt;=AV281,ROUND(AU280+AT281-ROUND(AS$6+IF(AS$5=$C281,$E$5+$E281,0),2),2)*10&lt;=ROUND(AS$6+IF(AS$5=$C281,$E$5+$E281,0),2)),ROUND(AU280+AT281,2),MIN(ROUND(AS$6+IF(AS$5=$C281,$E$5+$E281,0),2),ROUND(AU280+AT281,2))),0)</f>
        <v>0</v>
      </c>
      <c r="AT281" s="24">
        <f>IF(AU280&gt;0,ROUND(ROUND(AU280*100,0)*ROUND(AS$7*10000,0)/12000000,0)/100,0)</f>
        <v>0</v>
      </c>
      <c r="AU281" s="24">
        <f>IF(AU280&gt;0,ROUND(AU280+AT281-AS281,2),0)</f>
        <v>0</v>
      </c>
      <c r="AV281" s="24">
        <f>IF(AU280&gt;0,ROUND(AV280+ROUND(ROUND(AV280*100,0)*ROUND(AS$7*10000,0)/12000000,0)/100+0.02,2),0)</f>
        <v>0</v>
      </c>
    </row>
    <row r="282" spans="1:48" x14ac:dyDescent="0.25">
      <c r="A282" s="17" t="str">
        <f>IF(F282&gt;0,272,"")</f>
        <v/>
      </c>
      <c r="B282" s="18" t="str">
        <f>IF(F282&gt;0,EDATE($E$6,272),"")</f>
        <v/>
      </c>
      <c r="C282" s="21">
        <f>IF(H281&gt;0,MIN(IF(K281&gt;0,I$5,99),IF(O281&gt;0,M$5,99),IF(S281&gt;0,Q$5,99),IF(W281&gt;0,U$5,99),IF(AA281&gt;0,Y$5,99),IF(AE281&gt;0,AC$5,99),IF(AI281&gt;0,AG$5,99),IF(AM281&gt;0,AK$5,99),IF(AQ281&gt;0,AO$5,99),IF(AU281&gt;0,AS$5,99)),0)</f>
        <v>0</v>
      </c>
      <c r="D282" t="str">
        <f>IF(C282&gt;0,INDEX($I$4:$AV$4,1,MATCH(C282,$I$5:$AV$5,0)),"")</f>
        <v/>
      </c>
      <c r="E282" s="24">
        <f>ROUND(IF(AND(I$8&gt;0,K281=0),I$6,0)+IF(AND(M$8&gt;0,O281=0),M$6,0)+IF(AND(Q$8&gt;0,S281=0),Q$6,0)+IF(AND(U$8&gt;0,W281=0),U$6,0)+IF(AND(Y$8&gt;0,AA281=0),Y$6,0)+IF(AND(AC$8&gt;0,AE281=0),AC$6,0)+IF(AND(AG$8&gt;0,AI281=0),AG$6,0)+IF(AND(AK$8&gt;0,AM281=0),AK$6,0)+IF(AND(AO$8&gt;0,AQ281=0),AO$6,0)+IF(AND(AS$8&gt;0,AU281=0),AS$6,0),2)</f>
        <v>325</v>
      </c>
      <c r="F282" s="24">
        <f>ROUND(I282+M282+Q282+U282+Y282+AC282+AG282+AK282+AO282+AS282,2)</f>
        <v>0</v>
      </c>
      <c r="G282" s="24">
        <f>ROUND(J282+N282+R282+V282+Z282+AD282+AH282+AL282+AP282+AT282,2)</f>
        <v>0</v>
      </c>
      <c r="H282" s="24">
        <f>ROUND(K282+O282+S282+W282+AA282+AE282+AI282+AM282+AQ282+AU282,2)</f>
        <v>0</v>
      </c>
      <c r="I282" s="24">
        <f>IF(K281&gt;0,IF(AND(ROUND(K281+J282-ROUND(I$6+IF(I$5=$C282,$E$5+$E282,0),2),2)&gt;0,ROUND(K281+J282-ROUND(I$6+IF(I$5=$C282,$E$5+$E282,0),2),2)&lt;=L282,ROUND(K281+J282-ROUND(I$6+IF(I$5=$C282,$E$5+$E282,0),2),2)*10&lt;=ROUND(I$6+IF(I$5=$C282,$E$5+$E282,0),2)),ROUND(K281+J282,2),MIN(ROUND(I$6+IF(I$5=$C282,$E$5+$E282,0),2),ROUND(K281+J282,2))),0)</f>
        <v>0</v>
      </c>
      <c r="J282" s="24">
        <f>IF(K281&gt;0,ROUND(ROUND(K281*100,0)*ROUND(I$7*10000,0)/12000000,0)/100,0)</f>
        <v>0</v>
      </c>
      <c r="K282" s="24">
        <f>IF(K281&gt;0,ROUND(K281+J282-I282,2),0)</f>
        <v>0</v>
      </c>
      <c r="L282" s="24">
        <f>IF(K281&gt;0,ROUND(L281+ROUND(ROUND(L281*100,0)*ROUND(I$7*10000,0)/12000000,0)/100+0.02,2),0)</f>
        <v>0</v>
      </c>
      <c r="M282" s="24">
        <f>IF(O281&gt;0,IF(AND(ROUND(O281+N282-ROUND(M$6+IF(M$5=$C282,$E$5+$E282,0),2),2)&gt;0,ROUND(O281+N282-ROUND(M$6+IF(M$5=$C282,$E$5+$E282,0),2),2)&lt;=P282,ROUND(O281+N282-ROUND(M$6+IF(M$5=$C282,$E$5+$E282,0),2),2)*10&lt;=ROUND(M$6+IF(M$5=$C282,$E$5+$E282,0),2)),ROUND(O281+N282,2),MIN(ROUND(M$6+IF(M$5=$C282,$E$5+$E282,0),2),ROUND(O281+N282,2))),0)</f>
        <v>0</v>
      </c>
      <c r="N282" s="24">
        <f>IF(O281&gt;0,ROUND(ROUND(O281*100,0)*ROUND(M$7*10000,0)/12000000,0)/100,0)</f>
        <v>0</v>
      </c>
      <c r="O282" s="24">
        <f>IF(O281&gt;0,ROUND(O281+N282-M282,2),0)</f>
        <v>0</v>
      </c>
      <c r="P282" s="24">
        <f>IF(O281&gt;0,ROUND(P281+ROUND(ROUND(P281*100,0)*ROUND(M$7*10000,0)/12000000,0)/100+0.02,2),0)</f>
        <v>0</v>
      </c>
      <c r="Q282" s="24">
        <f>IF(S281&gt;0,IF(AND(ROUND(S281+R282-ROUND(Q$6+IF(Q$5=$C282,$E$5+$E282,0),2),2)&gt;0,ROUND(S281+R282-ROUND(Q$6+IF(Q$5=$C282,$E$5+$E282,0),2),2)&lt;=T282,ROUND(S281+R282-ROUND(Q$6+IF(Q$5=$C282,$E$5+$E282,0),2),2)*10&lt;=ROUND(Q$6+IF(Q$5=$C282,$E$5+$E282,0),2)),ROUND(S281+R282,2),MIN(ROUND(Q$6+IF(Q$5=$C282,$E$5+$E282,0),2),ROUND(S281+R282,2))),0)</f>
        <v>0</v>
      </c>
      <c r="R282" s="24">
        <f>IF(S281&gt;0,ROUND(ROUND(S281*100,0)*ROUND(Q$7*10000,0)/12000000,0)/100,0)</f>
        <v>0</v>
      </c>
      <c r="S282" s="24">
        <f>IF(S281&gt;0,ROUND(S281+R282-Q282,2),0)</f>
        <v>0</v>
      </c>
      <c r="T282" s="24">
        <f>IF(S281&gt;0,ROUND(T281+ROUND(ROUND(T281*100,0)*ROUND(Q$7*10000,0)/12000000,0)/100+0.02,2),0)</f>
        <v>0</v>
      </c>
      <c r="U282" s="24">
        <f>IF(W281&gt;0,IF(AND(ROUND(W281+V282-ROUND(U$6+IF(U$5=$C282,$E$5+$E282,0),2),2)&gt;0,ROUND(W281+V282-ROUND(U$6+IF(U$5=$C282,$E$5+$E282,0),2),2)&lt;=X282,ROUND(W281+V282-ROUND(U$6+IF(U$5=$C282,$E$5+$E282,0),2),2)*10&lt;=ROUND(U$6+IF(U$5=$C282,$E$5+$E282,0),2)),ROUND(W281+V282,2),MIN(ROUND(U$6+IF(U$5=$C282,$E$5+$E282,0),2),ROUND(W281+V282,2))),0)</f>
        <v>0</v>
      </c>
      <c r="V282" s="24">
        <f>IF(W281&gt;0,ROUND(ROUND(W281*100,0)*ROUND(U$7*10000,0)/12000000,0)/100,0)</f>
        <v>0</v>
      </c>
      <c r="W282" s="24">
        <f>IF(W281&gt;0,ROUND(W281+V282-U282,2),0)</f>
        <v>0</v>
      </c>
      <c r="X282" s="24">
        <f>IF(W281&gt;0,ROUND(X281+ROUND(ROUND(X281*100,0)*ROUND(U$7*10000,0)/12000000,0)/100+0.02,2),0)</f>
        <v>0</v>
      </c>
      <c r="Y282" s="24">
        <f>IF(AA281&gt;0,IF(AND(ROUND(AA281+Z282-ROUND(Y$6+IF(Y$5=$C282,$E$5+$E282,0),2),2)&gt;0,ROUND(AA281+Z282-ROUND(Y$6+IF(Y$5=$C282,$E$5+$E282,0),2),2)&lt;=AB282,ROUND(AA281+Z282-ROUND(Y$6+IF(Y$5=$C282,$E$5+$E282,0),2),2)*10&lt;=ROUND(Y$6+IF(Y$5=$C282,$E$5+$E282,0),2)),ROUND(AA281+Z282,2),MIN(ROUND(Y$6+IF(Y$5=$C282,$E$5+$E282,0),2),ROUND(AA281+Z282,2))),0)</f>
        <v>0</v>
      </c>
      <c r="Z282" s="24">
        <f>IF(AA281&gt;0,ROUND(ROUND(AA281*100,0)*ROUND(Y$7*10000,0)/12000000,0)/100,0)</f>
        <v>0</v>
      </c>
      <c r="AA282" s="24">
        <f>IF(AA281&gt;0,ROUND(AA281+Z282-Y282,2),0)</f>
        <v>0</v>
      </c>
      <c r="AB282" s="24">
        <f>IF(AA281&gt;0,ROUND(AB281+ROUND(ROUND(AB281*100,0)*ROUND(Y$7*10000,0)/12000000,0)/100+0.02,2),0)</f>
        <v>0</v>
      </c>
      <c r="AC282" s="24">
        <f>IF(AE281&gt;0,IF(AND(ROUND(AE281+AD282-ROUND(AC$6+IF(AC$5=$C282,$E$5+$E282,0),2),2)&gt;0,ROUND(AE281+AD282-ROUND(AC$6+IF(AC$5=$C282,$E$5+$E282,0),2),2)&lt;=AF282,ROUND(AE281+AD282-ROUND(AC$6+IF(AC$5=$C282,$E$5+$E282,0),2),2)*10&lt;=ROUND(AC$6+IF(AC$5=$C282,$E$5+$E282,0),2)),ROUND(AE281+AD282,2),MIN(ROUND(AC$6+IF(AC$5=$C282,$E$5+$E282,0),2),ROUND(AE281+AD282,2))),0)</f>
        <v>0</v>
      </c>
      <c r="AD282" s="24">
        <f>IF(AE281&gt;0,ROUND(ROUND(AE281*100,0)*ROUND(AC$7*10000,0)/12000000,0)/100,0)</f>
        <v>0</v>
      </c>
      <c r="AE282" s="24">
        <f>IF(AE281&gt;0,ROUND(AE281+AD282-AC282,2),0)</f>
        <v>0</v>
      </c>
      <c r="AF282" s="24">
        <f>IF(AE281&gt;0,ROUND(AF281+ROUND(ROUND(AF281*100,0)*ROUND(AC$7*10000,0)/12000000,0)/100+0.02,2),0)</f>
        <v>0</v>
      </c>
      <c r="AG282" s="24">
        <f>IF(AI281&gt;0,IF(AND(ROUND(AI281+AH282-ROUND(AG$6+IF(AG$5=$C282,$E$5+$E282,0),2),2)&gt;0,ROUND(AI281+AH282-ROUND(AG$6+IF(AG$5=$C282,$E$5+$E282,0),2),2)&lt;=AJ282,ROUND(AI281+AH282-ROUND(AG$6+IF(AG$5=$C282,$E$5+$E282,0),2),2)*10&lt;=ROUND(AG$6+IF(AG$5=$C282,$E$5+$E282,0),2)),ROUND(AI281+AH282,2),MIN(ROUND(AG$6+IF(AG$5=$C282,$E$5+$E282,0),2),ROUND(AI281+AH282,2))),0)</f>
        <v>0</v>
      </c>
      <c r="AH282" s="24">
        <f>IF(AI281&gt;0,ROUND(ROUND(AI281*100,0)*ROUND(AG$7*10000,0)/12000000,0)/100,0)</f>
        <v>0</v>
      </c>
      <c r="AI282" s="24">
        <f>IF(AI281&gt;0,ROUND(AI281+AH282-AG282,2),0)</f>
        <v>0</v>
      </c>
      <c r="AJ282" s="24">
        <f>IF(AI281&gt;0,ROUND(AJ281+ROUND(ROUND(AJ281*100,0)*ROUND(AG$7*10000,0)/12000000,0)/100+0.02,2),0)</f>
        <v>0</v>
      </c>
      <c r="AK282" s="24">
        <f>IF(AM281&gt;0,IF(AND(ROUND(AM281+AL282-ROUND(AK$6+IF(AK$5=$C282,$E$5+$E282,0),2),2)&gt;0,ROUND(AM281+AL282-ROUND(AK$6+IF(AK$5=$C282,$E$5+$E282,0),2),2)&lt;=AN282,ROUND(AM281+AL282-ROUND(AK$6+IF(AK$5=$C282,$E$5+$E282,0),2),2)*10&lt;=ROUND(AK$6+IF(AK$5=$C282,$E$5+$E282,0),2)),ROUND(AM281+AL282,2),MIN(ROUND(AK$6+IF(AK$5=$C282,$E$5+$E282,0),2),ROUND(AM281+AL282,2))),0)</f>
        <v>0</v>
      </c>
      <c r="AL282" s="24">
        <f>IF(AM281&gt;0,ROUND(ROUND(AM281*100,0)*ROUND(AK$7*10000,0)/12000000,0)/100,0)</f>
        <v>0</v>
      </c>
      <c r="AM282" s="24">
        <f>IF(AM281&gt;0,ROUND(AM281+AL282-AK282,2),0)</f>
        <v>0</v>
      </c>
      <c r="AN282" s="24">
        <f>IF(AM281&gt;0,ROUND(AN281+ROUND(ROUND(AN281*100,0)*ROUND(AK$7*10000,0)/12000000,0)/100+0.02,2),0)</f>
        <v>0</v>
      </c>
      <c r="AO282" s="24">
        <f>IF(AQ281&gt;0,IF(AND(ROUND(AQ281+AP282-ROUND(AO$6+IF(AO$5=$C282,$E$5+$E282,0),2),2)&gt;0,ROUND(AQ281+AP282-ROUND(AO$6+IF(AO$5=$C282,$E$5+$E282,0),2),2)&lt;=AR282,ROUND(AQ281+AP282-ROUND(AO$6+IF(AO$5=$C282,$E$5+$E282,0),2),2)*10&lt;=ROUND(AO$6+IF(AO$5=$C282,$E$5+$E282,0),2)),ROUND(AQ281+AP282,2),MIN(ROUND(AO$6+IF(AO$5=$C282,$E$5+$E282,0),2),ROUND(AQ281+AP282,2))),0)</f>
        <v>0</v>
      </c>
      <c r="AP282" s="24">
        <f>IF(AQ281&gt;0,ROUND(ROUND(AQ281*100,0)*ROUND(AO$7*10000,0)/12000000,0)/100,0)</f>
        <v>0</v>
      </c>
      <c r="AQ282" s="24">
        <f>IF(AQ281&gt;0,ROUND(AQ281+AP282-AO282,2),0)</f>
        <v>0</v>
      </c>
      <c r="AR282" s="24">
        <f>IF(AQ281&gt;0,ROUND(AR281+ROUND(ROUND(AR281*100,0)*ROUND(AO$7*10000,0)/12000000,0)/100+0.02,2),0)</f>
        <v>0</v>
      </c>
      <c r="AS282" s="24">
        <f>IF(AU281&gt;0,IF(AND(ROUND(AU281+AT282-ROUND(AS$6+IF(AS$5=$C282,$E$5+$E282,0),2),2)&gt;0,ROUND(AU281+AT282-ROUND(AS$6+IF(AS$5=$C282,$E$5+$E282,0),2),2)&lt;=AV282,ROUND(AU281+AT282-ROUND(AS$6+IF(AS$5=$C282,$E$5+$E282,0),2),2)*10&lt;=ROUND(AS$6+IF(AS$5=$C282,$E$5+$E282,0),2)),ROUND(AU281+AT282,2),MIN(ROUND(AS$6+IF(AS$5=$C282,$E$5+$E282,0),2),ROUND(AU281+AT282,2))),0)</f>
        <v>0</v>
      </c>
      <c r="AT282" s="24">
        <f>IF(AU281&gt;0,ROUND(ROUND(AU281*100,0)*ROUND(AS$7*10000,0)/12000000,0)/100,0)</f>
        <v>0</v>
      </c>
      <c r="AU282" s="24">
        <f>IF(AU281&gt;0,ROUND(AU281+AT282-AS282,2),0)</f>
        <v>0</v>
      </c>
      <c r="AV282" s="24">
        <f>IF(AU281&gt;0,ROUND(AV281+ROUND(ROUND(AV281*100,0)*ROUND(AS$7*10000,0)/12000000,0)/100+0.02,2),0)</f>
        <v>0</v>
      </c>
    </row>
    <row r="283" spans="1:48" x14ac:dyDescent="0.25">
      <c r="A283" s="17" t="str">
        <f>IF(F283&gt;0,273,"")</f>
        <v/>
      </c>
      <c r="B283" s="18" t="str">
        <f>IF(F283&gt;0,EDATE($E$6,273),"")</f>
        <v/>
      </c>
      <c r="C283" s="21">
        <f>IF(H282&gt;0,MIN(IF(K282&gt;0,I$5,99),IF(O282&gt;0,M$5,99),IF(S282&gt;0,Q$5,99),IF(W282&gt;0,U$5,99),IF(AA282&gt;0,Y$5,99),IF(AE282&gt;0,AC$5,99),IF(AI282&gt;0,AG$5,99),IF(AM282&gt;0,AK$5,99),IF(AQ282&gt;0,AO$5,99),IF(AU282&gt;0,AS$5,99)),0)</f>
        <v>0</v>
      </c>
      <c r="D283" t="str">
        <f>IF(C283&gt;0,INDEX($I$4:$AV$4,1,MATCH(C283,$I$5:$AV$5,0)),"")</f>
        <v/>
      </c>
      <c r="E283" s="24">
        <f>ROUND(IF(AND(I$8&gt;0,K282=0),I$6,0)+IF(AND(M$8&gt;0,O282=0),M$6,0)+IF(AND(Q$8&gt;0,S282=0),Q$6,0)+IF(AND(U$8&gt;0,W282=0),U$6,0)+IF(AND(Y$8&gt;0,AA282=0),Y$6,0)+IF(AND(AC$8&gt;0,AE282=0),AC$6,0)+IF(AND(AG$8&gt;0,AI282=0),AG$6,0)+IF(AND(AK$8&gt;0,AM282=0),AK$6,0)+IF(AND(AO$8&gt;0,AQ282=0),AO$6,0)+IF(AND(AS$8&gt;0,AU282=0),AS$6,0),2)</f>
        <v>325</v>
      </c>
      <c r="F283" s="24">
        <f>ROUND(I283+M283+Q283+U283+Y283+AC283+AG283+AK283+AO283+AS283,2)</f>
        <v>0</v>
      </c>
      <c r="G283" s="24">
        <f>ROUND(J283+N283+R283+V283+Z283+AD283+AH283+AL283+AP283+AT283,2)</f>
        <v>0</v>
      </c>
      <c r="H283" s="24">
        <f>ROUND(K283+O283+S283+W283+AA283+AE283+AI283+AM283+AQ283+AU283,2)</f>
        <v>0</v>
      </c>
      <c r="I283" s="24">
        <f>IF(K282&gt;0,IF(AND(ROUND(K282+J283-ROUND(I$6+IF(I$5=$C283,$E$5+$E283,0),2),2)&gt;0,ROUND(K282+J283-ROUND(I$6+IF(I$5=$C283,$E$5+$E283,0),2),2)&lt;=L283,ROUND(K282+J283-ROUND(I$6+IF(I$5=$C283,$E$5+$E283,0),2),2)*10&lt;=ROUND(I$6+IF(I$5=$C283,$E$5+$E283,0),2)),ROUND(K282+J283,2),MIN(ROUND(I$6+IF(I$5=$C283,$E$5+$E283,0),2),ROUND(K282+J283,2))),0)</f>
        <v>0</v>
      </c>
      <c r="J283" s="24">
        <f>IF(K282&gt;0,ROUND(ROUND(K282*100,0)*ROUND(I$7*10000,0)/12000000,0)/100,0)</f>
        <v>0</v>
      </c>
      <c r="K283" s="24">
        <f>IF(K282&gt;0,ROUND(K282+J283-I283,2),0)</f>
        <v>0</v>
      </c>
      <c r="L283" s="24">
        <f>IF(K282&gt;0,ROUND(L282+ROUND(ROUND(L282*100,0)*ROUND(I$7*10000,0)/12000000,0)/100+0.02,2),0)</f>
        <v>0</v>
      </c>
      <c r="M283" s="24">
        <f>IF(O282&gt;0,IF(AND(ROUND(O282+N283-ROUND(M$6+IF(M$5=$C283,$E$5+$E283,0),2),2)&gt;0,ROUND(O282+N283-ROUND(M$6+IF(M$5=$C283,$E$5+$E283,0),2),2)&lt;=P283,ROUND(O282+N283-ROUND(M$6+IF(M$5=$C283,$E$5+$E283,0),2),2)*10&lt;=ROUND(M$6+IF(M$5=$C283,$E$5+$E283,0),2)),ROUND(O282+N283,2),MIN(ROUND(M$6+IF(M$5=$C283,$E$5+$E283,0),2),ROUND(O282+N283,2))),0)</f>
        <v>0</v>
      </c>
      <c r="N283" s="24">
        <f>IF(O282&gt;0,ROUND(ROUND(O282*100,0)*ROUND(M$7*10000,0)/12000000,0)/100,0)</f>
        <v>0</v>
      </c>
      <c r="O283" s="24">
        <f>IF(O282&gt;0,ROUND(O282+N283-M283,2),0)</f>
        <v>0</v>
      </c>
      <c r="P283" s="24">
        <f>IF(O282&gt;0,ROUND(P282+ROUND(ROUND(P282*100,0)*ROUND(M$7*10000,0)/12000000,0)/100+0.02,2),0)</f>
        <v>0</v>
      </c>
      <c r="Q283" s="24">
        <f>IF(S282&gt;0,IF(AND(ROUND(S282+R283-ROUND(Q$6+IF(Q$5=$C283,$E$5+$E283,0),2),2)&gt;0,ROUND(S282+R283-ROUND(Q$6+IF(Q$5=$C283,$E$5+$E283,0),2),2)&lt;=T283,ROUND(S282+R283-ROUND(Q$6+IF(Q$5=$C283,$E$5+$E283,0),2),2)*10&lt;=ROUND(Q$6+IF(Q$5=$C283,$E$5+$E283,0),2)),ROUND(S282+R283,2),MIN(ROUND(Q$6+IF(Q$5=$C283,$E$5+$E283,0),2),ROUND(S282+R283,2))),0)</f>
        <v>0</v>
      </c>
      <c r="R283" s="24">
        <f>IF(S282&gt;0,ROUND(ROUND(S282*100,0)*ROUND(Q$7*10000,0)/12000000,0)/100,0)</f>
        <v>0</v>
      </c>
      <c r="S283" s="24">
        <f>IF(S282&gt;0,ROUND(S282+R283-Q283,2),0)</f>
        <v>0</v>
      </c>
      <c r="T283" s="24">
        <f>IF(S282&gt;0,ROUND(T282+ROUND(ROUND(T282*100,0)*ROUND(Q$7*10000,0)/12000000,0)/100+0.02,2),0)</f>
        <v>0</v>
      </c>
      <c r="U283" s="24">
        <f>IF(W282&gt;0,IF(AND(ROUND(W282+V283-ROUND(U$6+IF(U$5=$C283,$E$5+$E283,0),2),2)&gt;0,ROUND(W282+V283-ROUND(U$6+IF(U$5=$C283,$E$5+$E283,0),2),2)&lt;=X283,ROUND(W282+V283-ROUND(U$6+IF(U$5=$C283,$E$5+$E283,0),2),2)*10&lt;=ROUND(U$6+IF(U$5=$C283,$E$5+$E283,0),2)),ROUND(W282+V283,2),MIN(ROUND(U$6+IF(U$5=$C283,$E$5+$E283,0),2),ROUND(W282+V283,2))),0)</f>
        <v>0</v>
      </c>
      <c r="V283" s="24">
        <f>IF(W282&gt;0,ROUND(ROUND(W282*100,0)*ROUND(U$7*10000,0)/12000000,0)/100,0)</f>
        <v>0</v>
      </c>
      <c r="W283" s="24">
        <f>IF(W282&gt;0,ROUND(W282+V283-U283,2),0)</f>
        <v>0</v>
      </c>
      <c r="X283" s="24">
        <f>IF(W282&gt;0,ROUND(X282+ROUND(ROUND(X282*100,0)*ROUND(U$7*10000,0)/12000000,0)/100+0.02,2),0)</f>
        <v>0</v>
      </c>
      <c r="Y283" s="24">
        <f>IF(AA282&gt;0,IF(AND(ROUND(AA282+Z283-ROUND(Y$6+IF(Y$5=$C283,$E$5+$E283,0),2),2)&gt;0,ROUND(AA282+Z283-ROUND(Y$6+IF(Y$5=$C283,$E$5+$E283,0),2),2)&lt;=AB283,ROUND(AA282+Z283-ROUND(Y$6+IF(Y$5=$C283,$E$5+$E283,0),2),2)*10&lt;=ROUND(Y$6+IF(Y$5=$C283,$E$5+$E283,0),2)),ROUND(AA282+Z283,2),MIN(ROUND(Y$6+IF(Y$5=$C283,$E$5+$E283,0),2),ROUND(AA282+Z283,2))),0)</f>
        <v>0</v>
      </c>
      <c r="Z283" s="24">
        <f>IF(AA282&gt;0,ROUND(ROUND(AA282*100,0)*ROUND(Y$7*10000,0)/12000000,0)/100,0)</f>
        <v>0</v>
      </c>
      <c r="AA283" s="24">
        <f>IF(AA282&gt;0,ROUND(AA282+Z283-Y283,2),0)</f>
        <v>0</v>
      </c>
      <c r="AB283" s="24">
        <f>IF(AA282&gt;0,ROUND(AB282+ROUND(ROUND(AB282*100,0)*ROUND(Y$7*10000,0)/12000000,0)/100+0.02,2),0)</f>
        <v>0</v>
      </c>
      <c r="AC283" s="24">
        <f>IF(AE282&gt;0,IF(AND(ROUND(AE282+AD283-ROUND(AC$6+IF(AC$5=$C283,$E$5+$E283,0),2),2)&gt;0,ROUND(AE282+AD283-ROUND(AC$6+IF(AC$5=$C283,$E$5+$E283,0),2),2)&lt;=AF283,ROUND(AE282+AD283-ROUND(AC$6+IF(AC$5=$C283,$E$5+$E283,0),2),2)*10&lt;=ROUND(AC$6+IF(AC$5=$C283,$E$5+$E283,0),2)),ROUND(AE282+AD283,2),MIN(ROUND(AC$6+IF(AC$5=$C283,$E$5+$E283,0),2),ROUND(AE282+AD283,2))),0)</f>
        <v>0</v>
      </c>
      <c r="AD283" s="24">
        <f>IF(AE282&gt;0,ROUND(ROUND(AE282*100,0)*ROUND(AC$7*10000,0)/12000000,0)/100,0)</f>
        <v>0</v>
      </c>
      <c r="AE283" s="24">
        <f>IF(AE282&gt;0,ROUND(AE282+AD283-AC283,2),0)</f>
        <v>0</v>
      </c>
      <c r="AF283" s="24">
        <f>IF(AE282&gt;0,ROUND(AF282+ROUND(ROUND(AF282*100,0)*ROUND(AC$7*10000,0)/12000000,0)/100+0.02,2),0)</f>
        <v>0</v>
      </c>
      <c r="AG283" s="24">
        <f>IF(AI282&gt;0,IF(AND(ROUND(AI282+AH283-ROUND(AG$6+IF(AG$5=$C283,$E$5+$E283,0),2),2)&gt;0,ROUND(AI282+AH283-ROUND(AG$6+IF(AG$5=$C283,$E$5+$E283,0),2),2)&lt;=AJ283,ROUND(AI282+AH283-ROUND(AG$6+IF(AG$5=$C283,$E$5+$E283,0),2),2)*10&lt;=ROUND(AG$6+IF(AG$5=$C283,$E$5+$E283,0),2)),ROUND(AI282+AH283,2),MIN(ROUND(AG$6+IF(AG$5=$C283,$E$5+$E283,0),2),ROUND(AI282+AH283,2))),0)</f>
        <v>0</v>
      </c>
      <c r="AH283" s="24">
        <f>IF(AI282&gt;0,ROUND(ROUND(AI282*100,0)*ROUND(AG$7*10000,0)/12000000,0)/100,0)</f>
        <v>0</v>
      </c>
      <c r="AI283" s="24">
        <f>IF(AI282&gt;0,ROUND(AI282+AH283-AG283,2),0)</f>
        <v>0</v>
      </c>
      <c r="AJ283" s="24">
        <f>IF(AI282&gt;0,ROUND(AJ282+ROUND(ROUND(AJ282*100,0)*ROUND(AG$7*10000,0)/12000000,0)/100+0.02,2),0)</f>
        <v>0</v>
      </c>
      <c r="AK283" s="24">
        <f>IF(AM282&gt;0,IF(AND(ROUND(AM282+AL283-ROUND(AK$6+IF(AK$5=$C283,$E$5+$E283,0),2),2)&gt;0,ROUND(AM282+AL283-ROUND(AK$6+IF(AK$5=$C283,$E$5+$E283,0),2),2)&lt;=AN283,ROUND(AM282+AL283-ROUND(AK$6+IF(AK$5=$C283,$E$5+$E283,0),2),2)*10&lt;=ROUND(AK$6+IF(AK$5=$C283,$E$5+$E283,0),2)),ROUND(AM282+AL283,2),MIN(ROUND(AK$6+IF(AK$5=$C283,$E$5+$E283,0),2),ROUND(AM282+AL283,2))),0)</f>
        <v>0</v>
      </c>
      <c r="AL283" s="24">
        <f>IF(AM282&gt;0,ROUND(ROUND(AM282*100,0)*ROUND(AK$7*10000,0)/12000000,0)/100,0)</f>
        <v>0</v>
      </c>
      <c r="AM283" s="24">
        <f>IF(AM282&gt;0,ROUND(AM282+AL283-AK283,2),0)</f>
        <v>0</v>
      </c>
      <c r="AN283" s="24">
        <f>IF(AM282&gt;0,ROUND(AN282+ROUND(ROUND(AN282*100,0)*ROUND(AK$7*10000,0)/12000000,0)/100+0.02,2),0)</f>
        <v>0</v>
      </c>
      <c r="AO283" s="24">
        <f>IF(AQ282&gt;0,IF(AND(ROUND(AQ282+AP283-ROUND(AO$6+IF(AO$5=$C283,$E$5+$E283,0),2),2)&gt;0,ROUND(AQ282+AP283-ROUND(AO$6+IF(AO$5=$C283,$E$5+$E283,0),2),2)&lt;=AR283,ROUND(AQ282+AP283-ROUND(AO$6+IF(AO$5=$C283,$E$5+$E283,0),2),2)*10&lt;=ROUND(AO$6+IF(AO$5=$C283,$E$5+$E283,0),2)),ROUND(AQ282+AP283,2),MIN(ROUND(AO$6+IF(AO$5=$C283,$E$5+$E283,0),2),ROUND(AQ282+AP283,2))),0)</f>
        <v>0</v>
      </c>
      <c r="AP283" s="24">
        <f>IF(AQ282&gt;0,ROUND(ROUND(AQ282*100,0)*ROUND(AO$7*10000,0)/12000000,0)/100,0)</f>
        <v>0</v>
      </c>
      <c r="AQ283" s="24">
        <f>IF(AQ282&gt;0,ROUND(AQ282+AP283-AO283,2),0)</f>
        <v>0</v>
      </c>
      <c r="AR283" s="24">
        <f>IF(AQ282&gt;0,ROUND(AR282+ROUND(ROUND(AR282*100,0)*ROUND(AO$7*10000,0)/12000000,0)/100+0.02,2),0)</f>
        <v>0</v>
      </c>
      <c r="AS283" s="24">
        <f>IF(AU282&gt;0,IF(AND(ROUND(AU282+AT283-ROUND(AS$6+IF(AS$5=$C283,$E$5+$E283,0),2),2)&gt;0,ROUND(AU282+AT283-ROUND(AS$6+IF(AS$5=$C283,$E$5+$E283,0),2),2)&lt;=AV283,ROUND(AU282+AT283-ROUND(AS$6+IF(AS$5=$C283,$E$5+$E283,0),2),2)*10&lt;=ROUND(AS$6+IF(AS$5=$C283,$E$5+$E283,0),2)),ROUND(AU282+AT283,2),MIN(ROUND(AS$6+IF(AS$5=$C283,$E$5+$E283,0),2),ROUND(AU282+AT283,2))),0)</f>
        <v>0</v>
      </c>
      <c r="AT283" s="24">
        <f>IF(AU282&gt;0,ROUND(ROUND(AU282*100,0)*ROUND(AS$7*10000,0)/12000000,0)/100,0)</f>
        <v>0</v>
      </c>
      <c r="AU283" s="24">
        <f>IF(AU282&gt;0,ROUND(AU282+AT283-AS283,2),0)</f>
        <v>0</v>
      </c>
      <c r="AV283" s="24">
        <f>IF(AU282&gt;0,ROUND(AV282+ROUND(ROUND(AV282*100,0)*ROUND(AS$7*10000,0)/12000000,0)/100+0.02,2),0)</f>
        <v>0</v>
      </c>
    </row>
    <row r="284" spans="1:48" x14ac:dyDescent="0.25">
      <c r="A284" s="17" t="str">
        <f>IF(F284&gt;0,274,"")</f>
        <v/>
      </c>
      <c r="B284" s="18" t="str">
        <f>IF(F284&gt;0,EDATE($E$6,274),"")</f>
        <v/>
      </c>
      <c r="C284" s="21">
        <f>IF(H283&gt;0,MIN(IF(K283&gt;0,I$5,99),IF(O283&gt;0,M$5,99),IF(S283&gt;0,Q$5,99),IF(W283&gt;0,U$5,99),IF(AA283&gt;0,Y$5,99),IF(AE283&gt;0,AC$5,99),IF(AI283&gt;0,AG$5,99),IF(AM283&gt;0,AK$5,99),IF(AQ283&gt;0,AO$5,99),IF(AU283&gt;0,AS$5,99)),0)</f>
        <v>0</v>
      </c>
      <c r="D284" t="str">
        <f>IF(C284&gt;0,INDEX($I$4:$AV$4,1,MATCH(C284,$I$5:$AV$5,0)),"")</f>
        <v/>
      </c>
      <c r="E284" s="24">
        <f>ROUND(IF(AND(I$8&gt;0,K283=0),I$6,0)+IF(AND(M$8&gt;0,O283=0),M$6,0)+IF(AND(Q$8&gt;0,S283=0),Q$6,0)+IF(AND(U$8&gt;0,W283=0),U$6,0)+IF(AND(Y$8&gt;0,AA283=0),Y$6,0)+IF(AND(AC$8&gt;0,AE283=0),AC$6,0)+IF(AND(AG$8&gt;0,AI283=0),AG$6,0)+IF(AND(AK$8&gt;0,AM283=0),AK$6,0)+IF(AND(AO$8&gt;0,AQ283=0),AO$6,0)+IF(AND(AS$8&gt;0,AU283=0),AS$6,0),2)</f>
        <v>325</v>
      </c>
      <c r="F284" s="24">
        <f>ROUND(I284+M284+Q284+U284+Y284+AC284+AG284+AK284+AO284+AS284,2)</f>
        <v>0</v>
      </c>
      <c r="G284" s="24">
        <f>ROUND(J284+N284+R284+V284+Z284+AD284+AH284+AL284+AP284+AT284,2)</f>
        <v>0</v>
      </c>
      <c r="H284" s="24">
        <f>ROUND(K284+O284+S284+W284+AA284+AE284+AI284+AM284+AQ284+AU284,2)</f>
        <v>0</v>
      </c>
      <c r="I284" s="24">
        <f>IF(K283&gt;0,IF(AND(ROUND(K283+J284-ROUND(I$6+IF(I$5=$C284,$E$5+$E284,0),2),2)&gt;0,ROUND(K283+J284-ROUND(I$6+IF(I$5=$C284,$E$5+$E284,0),2),2)&lt;=L284,ROUND(K283+J284-ROUND(I$6+IF(I$5=$C284,$E$5+$E284,0),2),2)*10&lt;=ROUND(I$6+IF(I$5=$C284,$E$5+$E284,0),2)),ROUND(K283+J284,2),MIN(ROUND(I$6+IF(I$5=$C284,$E$5+$E284,0),2),ROUND(K283+J284,2))),0)</f>
        <v>0</v>
      </c>
      <c r="J284" s="24">
        <f>IF(K283&gt;0,ROUND(ROUND(K283*100,0)*ROUND(I$7*10000,0)/12000000,0)/100,0)</f>
        <v>0</v>
      </c>
      <c r="K284" s="24">
        <f>IF(K283&gt;0,ROUND(K283+J284-I284,2),0)</f>
        <v>0</v>
      </c>
      <c r="L284" s="24">
        <f>IF(K283&gt;0,ROUND(L283+ROUND(ROUND(L283*100,0)*ROUND(I$7*10000,0)/12000000,0)/100+0.02,2),0)</f>
        <v>0</v>
      </c>
      <c r="M284" s="24">
        <f>IF(O283&gt;0,IF(AND(ROUND(O283+N284-ROUND(M$6+IF(M$5=$C284,$E$5+$E284,0),2),2)&gt;0,ROUND(O283+N284-ROUND(M$6+IF(M$5=$C284,$E$5+$E284,0),2),2)&lt;=P284,ROUND(O283+N284-ROUND(M$6+IF(M$5=$C284,$E$5+$E284,0),2),2)*10&lt;=ROUND(M$6+IF(M$5=$C284,$E$5+$E284,0),2)),ROUND(O283+N284,2),MIN(ROUND(M$6+IF(M$5=$C284,$E$5+$E284,0),2),ROUND(O283+N284,2))),0)</f>
        <v>0</v>
      </c>
      <c r="N284" s="24">
        <f>IF(O283&gt;0,ROUND(ROUND(O283*100,0)*ROUND(M$7*10000,0)/12000000,0)/100,0)</f>
        <v>0</v>
      </c>
      <c r="O284" s="24">
        <f>IF(O283&gt;0,ROUND(O283+N284-M284,2),0)</f>
        <v>0</v>
      </c>
      <c r="P284" s="24">
        <f>IF(O283&gt;0,ROUND(P283+ROUND(ROUND(P283*100,0)*ROUND(M$7*10000,0)/12000000,0)/100+0.02,2),0)</f>
        <v>0</v>
      </c>
      <c r="Q284" s="24">
        <f>IF(S283&gt;0,IF(AND(ROUND(S283+R284-ROUND(Q$6+IF(Q$5=$C284,$E$5+$E284,0),2),2)&gt;0,ROUND(S283+R284-ROUND(Q$6+IF(Q$5=$C284,$E$5+$E284,0),2),2)&lt;=T284,ROUND(S283+R284-ROUND(Q$6+IF(Q$5=$C284,$E$5+$E284,0),2),2)*10&lt;=ROUND(Q$6+IF(Q$5=$C284,$E$5+$E284,0),2)),ROUND(S283+R284,2),MIN(ROUND(Q$6+IF(Q$5=$C284,$E$5+$E284,0),2),ROUND(S283+R284,2))),0)</f>
        <v>0</v>
      </c>
      <c r="R284" s="24">
        <f>IF(S283&gt;0,ROUND(ROUND(S283*100,0)*ROUND(Q$7*10000,0)/12000000,0)/100,0)</f>
        <v>0</v>
      </c>
      <c r="S284" s="24">
        <f>IF(S283&gt;0,ROUND(S283+R284-Q284,2),0)</f>
        <v>0</v>
      </c>
      <c r="T284" s="24">
        <f>IF(S283&gt;0,ROUND(T283+ROUND(ROUND(T283*100,0)*ROUND(Q$7*10000,0)/12000000,0)/100+0.02,2),0)</f>
        <v>0</v>
      </c>
      <c r="U284" s="24">
        <f>IF(W283&gt;0,IF(AND(ROUND(W283+V284-ROUND(U$6+IF(U$5=$C284,$E$5+$E284,0),2),2)&gt;0,ROUND(W283+V284-ROUND(U$6+IF(U$5=$C284,$E$5+$E284,0),2),2)&lt;=X284,ROUND(W283+V284-ROUND(U$6+IF(U$5=$C284,$E$5+$E284,0),2),2)*10&lt;=ROUND(U$6+IF(U$5=$C284,$E$5+$E284,0),2)),ROUND(W283+V284,2),MIN(ROUND(U$6+IF(U$5=$C284,$E$5+$E284,0),2),ROUND(W283+V284,2))),0)</f>
        <v>0</v>
      </c>
      <c r="V284" s="24">
        <f>IF(W283&gt;0,ROUND(ROUND(W283*100,0)*ROUND(U$7*10000,0)/12000000,0)/100,0)</f>
        <v>0</v>
      </c>
      <c r="W284" s="24">
        <f>IF(W283&gt;0,ROUND(W283+V284-U284,2),0)</f>
        <v>0</v>
      </c>
      <c r="X284" s="24">
        <f>IF(W283&gt;0,ROUND(X283+ROUND(ROUND(X283*100,0)*ROUND(U$7*10000,0)/12000000,0)/100+0.02,2),0)</f>
        <v>0</v>
      </c>
      <c r="Y284" s="24">
        <f>IF(AA283&gt;0,IF(AND(ROUND(AA283+Z284-ROUND(Y$6+IF(Y$5=$C284,$E$5+$E284,0),2),2)&gt;0,ROUND(AA283+Z284-ROUND(Y$6+IF(Y$5=$C284,$E$5+$E284,0),2),2)&lt;=AB284,ROUND(AA283+Z284-ROUND(Y$6+IF(Y$5=$C284,$E$5+$E284,0),2),2)*10&lt;=ROUND(Y$6+IF(Y$5=$C284,$E$5+$E284,0),2)),ROUND(AA283+Z284,2),MIN(ROUND(Y$6+IF(Y$5=$C284,$E$5+$E284,0),2),ROUND(AA283+Z284,2))),0)</f>
        <v>0</v>
      </c>
      <c r="Z284" s="24">
        <f>IF(AA283&gt;0,ROUND(ROUND(AA283*100,0)*ROUND(Y$7*10000,0)/12000000,0)/100,0)</f>
        <v>0</v>
      </c>
      <c r="AA284" s="24">
        <f>IF(AA283&gt;0,ROUND(AA283+Z284-Y284,2),0)</f>
        <v>0</v>
      </c>
      <c r="AB284" s="24">
        <f>IF(AA283&gt;0,ROUND(AB283+ROUND(ROUND(AB283*100,0)*ROUND(Y$7*10000,0)/12000000,0)/100+0.02,2),0)</f>
        <v>0</v>
      </c>
      <c r="AC284" s="24">
        <f>IF(AE283&gt;0,IF(AND(ROUND(AE283+AD284-ROUND(AC$6+IF(AC$5=$C284,$E$5+$E284,0),2),2)&gt;0,ROUND(AE283+AD284-ROUND(AC$6+IF(AC$5=$C284,$E$5+$E284,0),2),2)&lt;=AF284,ROUND(AE283+AD284-ROUND(AC$6+IF(AC$5=$C284,$E$5+$E284,0),2),2)*10&lt;=ROUND(AC$6+IF(AC$5=$C284,$E$5+$E284,0),2)),ROUND(AE283+AD284,2),MIN(ROUND(AC$6+IF(AC$5=$C284,$E$5+$E284,0),2),ROUND(AE283+AD284,2))),0)</f>
        <v>0</v>
      </c>
      <c r="AD284" s="24">
        <f>IF(AE283&gt;0,ROUND(ROUND(AE283*100,0)*ROUND(AC$7*10000,0)/12000000,0)/100,0)</f>
        <v>0</v>
      </c>
      <c r="AE284" s="24">
        <f>IF(AE283&gt;0,ROUND(AE283+AD284-AC284,2),0)</f>
        <v>0</v>
      </c>
      <c r="AF284" s="24">
        <f>IF(AE283&gt;0,ROUND(AF283+ROUND(ROUND(AF283*100,0)*ROUND(AC$7*10000,0)/12000000,0)/100+0.02,2),0)</f>
        <v>0</v>
      </c>
      <c r="AG284" s="24">
        <f>IF(AI283&gt;0,IF(AND(ROUND(AI283+AH284-ROUND(AG$6+IF(AG$5=$C284,$E$5+$E284,0),2),2)&gt;0,ROUND(AI283+AH284-ROUND(AG$6+IF(AG$5=$C284,$E$5+$E284,0),2),2)&lt;=AJ284,ROUND(AI283+AH284-ROUND(AG$6+IF(AG$5=$C284,$E$5+$E284,0),2),2)*10&lt;=ROUND(AG$6+IF(AG$5=$C284,$E$5+$E284,0),2)),ROUND(AI283+AH284,2),MIN(ROUND(AG$6+IF(AG$5=$C284,$E$5+$E284,0),2),ROUND(AI283+AH284,2))),0)</f>
        <v>0</v>
      </c>
      <c r="AH284" s="24">
        <f>IF(AI283&gt;0,ROUND(ROUND(AI283*100,0)*ROUND(AG$7*10000,0)/12000000,0)/100,0)</f>
        <v>0</v>
      </c>
      <c r="AI284" s="24">
        <f>IF(AI283&gt;0,ROUND(AI283+AH284-AG284,2),0)</f>
        <v>0</v>
      </c>
      <c r="AJ284" s="24">
        <f>IF(AI283&gt;0,ROUND(AJ283+ROUND(ROUND(AJ283*100,0)*ROUND(AG$7*10000,0)/12000000,0)/100+0.02,2),0)</f>
        <v>0</v>
      </c>
      <c r="AK284" s="24">
        <f>IF(AM283&gt;0,IF(AND(ROUND(AM283+AL284-ROUND(AK$6+IF(AK$5=$C284,$E$5+$E284,0),2),2)&gt;0,ROUND(AM283+AL284-ROUND(AK$6+IF(AK$5=$C284,$E$5+$E284,0),2),2)&lt;=AN284,ROUND(AM283+AL284-ROUND(AK$6+IF(AK$5=$C284,$E$5+$E284,0),2),2)*10&lt;=ROUND(AK$6+IF(AK$5=$C284,$E$5+$E284,0),2)),ROUND(AM283+AL284,2),MIN(ROUND(AK$6+IF(AK$5=$C284,$E$5+$E284,0),2),ROUND(AM283+AL284,2))),0)</f>
        <v>0</v>
      </c>
      <c r="AL284" s="24">
        <f>IF(AM283&gt;0,ROUND(ROUND(AM283*100,0)*ROUND(AK$7*10000,0)/12000000,0)/100,0)</f>
        <v>0</v>
      </c>
      <c r="AM284" s="24">
        <f>IF(AM283&gt;0,ROUND(AM283+AL284-AK284,2),0)</f>
        <v>0</v>
      </c>
      <c r="AN284" s="24">
        <f>IF(AM283&gt;0,ROUND(AN283+ROUND(ROUND(AN283*100,0)*ROUND(AK$7*10000,0)/12000000,0)/100+0.02,2),0)</f>
        <v>0</v>
      </c>
      <c r="AO284" s="24">
        <f>IF(AQ283&gt;0,IF(AND(ROUND(AQ283+AP284-ROUND(AO$6+IF(AO$5=$C284,$E$5+$E284,0),2),2)&gt;0,ROUND(AQ283+AP284-ROUND(AO$6+IF(AO$5=$C284,$E$5+$E284,0),2),2)&lt;=AR284,ROUND(AQ283+AP284-ROUND(AO$6+IF(AO$5=$C284,$E$5+$E284,0),2),2)*10&lt;=ROUND(AO$6+IF(AO$5=$C284,$E$5+$E284,0),2)),ROUND(AQ283+AP284,2),MIN(ROUND(AO$6+IF(AO$5=$C284,$E$5+$E284,0),2),ROUND(AQ283+AP284,2))),0)</f>
        <v>0</v>
      </c>
      <c r="AP284" s="24">
        <f>IF(AQ283&gt;0,ROUND(ROUND(AQ283*100,0)*ROUND(AO$7*10000,0)/12000000,0)/100,0)</f>
        <v>0</v>
      </c>
      <c r="AQ284" s="24">
        <f>IF(AQ283&gt;0,ROUND(AQ283+AP284-AO284,2),0)</f>
        <v>0</v>
      </c>
      <c r="AR284" s="24">
        <f>IF(AQ283&gt;0,ROUND(AR283+ROUND(ROUND(AR283*100,0)*ROUND(AO$7*10000,0)/12000000,0)/100+0.02,2),0)</f>
        <v>0</v>
      </c>
      <c r="AS284" s="24">
        <f>IF(AU283&gt;0,IF(AND(ROUND(AU283+AT284-ROUND(AS$6+IF(AS$5=$C284,$E$5+$E284,0),2),2)&gt;0,ROUND(AU283+AT284-ROUND(AS$6+IF(AS$5=$C284,$E$5+$E284,0),2),2)&lt;=AV284,ROUND(AU283+AT284-ROUND(AS$6+IF(AS$5=$C284,$E$5+$E284,0),2),2)*10&lt;=ROUND(AS$6+IF(AS$5=$C284,$E$5+$E284,0),2)),ROUND(AU283+AT284,2),MIN(ROUND(AS$6+IF(AS$5=$C284,$E$5+$E284,0),2),ROUND(AU283+AT284,2))),0)</f>
        <v>0</v>
      </c>
      <c r="AT284" s="24">
        <f>IF(AU283&gt;0,ROUND(ROUND(AU283*100,0)*ROUND(AS$7*10000,0)/12000000,0)/100,0)</f>
        <v>0</v>
      </c>
      <c r="AU284" s="24">
        <f>IF(AU283&gt;0,ROUND(AU283+AT284-AS284,2),0)</f>
        <v>0</v>
      </c>
      <c r="AV284" s="24">
        <f>IF(AU283&gt;0,ROUND(AV283+ROUND(ROUND(AV283*100,0)*ROUND(AS$7*10000,0)/12000000,0)/100+0.02,2),0)</f>
        <v>0</v>
      </c>
    </row>
    <row r="285" spans="1:48" x14ac:dyDescent="0.25">
      <c r="A285" s="17" t="str">
        <f>IF(F285&gt;0,275,"")</f>
        <v/>
      </c>
      <c r="B285" s="18" t="str">
        <f>IF(F285&gt;0,EDATE($E$6,275),"")</f>
        <v/>
      </c>
      <c r="C285" s="21">
        <f>IF(H284&gt;0,MIN(IF(K284&gt;0,I$5,99),IF(O284&gt;0,M$5,99),IF(S284&gt;0,Q$5,99),IF(W284&gt;0,U$5,99),IF(AA284&gt;0,Y$5,99),IF(AE284&gt;0,AC$5,99),IF(AI284&gt;0,AG$5,99),IF(AM284&gt;0,AK$5,99),IF(AQ284&gt;0,AO$5,99),IF(AU284&gt;0,AS$5,99)),0)</f>
        <v>0</v>
      </c>
      <c r="D285" t="str">
        <f>IF(C285&gt;0,INDEX($I$4:$AV$4,1,MATCH(C285,$I$5:$AV$5,0)),"")</f>
        <v/>
      </c>
      <c r="E285" s="24">
        <f>ROUND(IF(AND(I$8&gt;0,K284=0),I$6,0)+IF(AND(M$8&gt;0,O284=0),M$6,0)+IF(AND(Q$8&gt;0,S284=0),Q$6,0)+IF(AND(U$8&gt;0,W284=0),U$6,0)+IF(AND(Y$8&gt;0,AA284=0),Y$6,0)+IF(AND(AC$8&gt;0,AE284=0),AC$6,0)+IF(AND(AG$8&gt;0,AI284=0),AG$6,0)+IF(AND(AK$8&gt;0,AM284=0),AK$6,0)+IF(AND(AO$8&gt;0,AQ284=0),AO$6,0)+IF(AND(AS$8&gt;0,AU284=0),AS$6,0),2)</f>
        <v>325</v>
      </c>
      <c r="F285" s="24">
        <f>ROUND(I285+M285+Q285+U285+Y285+AC285+AG285+AK285+AO285+AS285,2)</f>
        <v>0</v>
      </c>
      <c r="G285" s="24">
        <f>ROUND(J285+N285+R285+V285+Z285+AD285+AH285+AL285+AP285+AT285,2)</f>
        <v>0</v>
      </c>
      <c r="H285" s="24">
        <f>ROUND(K285+O285+S285+W285+AA285+AE285+AI285+AM285+AQ285+AU285,2)</f>
        <v>0</v>
      </c>
      <c r="I285" s="24">
        <f>IF(K284&gt;0,IF(AND(ROUND(K284+J285-ROUND(I$6+IF(I$5=$C285,$E$5+$E285,0),2),2)&gt;0,ROUND(K284+J285-ROUND(I$6+IF(I$5=$C285,$E$5+$E285,0),2),2)&lt;=L285,ROUND(K284+J285-ROUND(I$6+IF(I$5=$C285,$E$5+$E285,0),2),2)*10&lt;=ROUND(I$6+IF(I$5=$C285,$E$5+$E285,0),2)),ROUND(K284+J285,2),MIN(ROUND(I$6+IF(I$5=$C285,$E$5+$E285,0),2),ROUND(K284+J285,2))),0)</f>
        <v>0</v>
      </c>
      <c r="J285" s="24">
        <f>IF(K284&gt;0,ROUND(ROUND(K284*100,0)*ROUND(I$7*10000,0)/12000000,0)/100,0)</f>
        <v>0</v>
      </c>
      <c r="K285" s="24">
        <f>IF(K284&gt;0,ROUND(K284+J285-I285,2),0)</f>
        <v>0</v>
      </c>
      <c r="L285" s="24">
        <f>IF(K284&gt;0,ROUND(L284+ROUND(ROUND(L284*100,0)*ROUND(I$7*10000,0)/12000000,0)/100+0.02,2),0)</f>
        <v>0</v>
      </c>
      <c r="M285" s="24">
        <f>IF(O284&gt;0,IF(AND(ROUND(O284+N285-ROUND(M$6+IF(M$5=$C285,$E$5+$E285,0),2),2)&gt;0,ROUND(O284+N285-ROUND(M$6+IF(M$5=$C285,$E$5+$E285,0),2),2)&lt;=P285,ROUND(O284+N285-ROUND(M$6+IF(M$5=$C285,$E$5+$E285,0),2),2)*10&lt;=ROUND(M$6+IF(M$5=$C285,$E$5+$E285,0),2)),ROUND(O284+N285,2),MIN(ROUND(M$6+IF(M$5=$C285,$E$5+$E285,0),2),ROUND(O284+N285,2))),0)</f>
        <v>0</v>
      </c>
      <c r="N285" s="24">
        <f>IF(O284&gt;0,ROUND(ROUND(O284*100,0)*ROUND(M$7*10000,0)/12000000,0)/100,0)</f>
        <v>0</v>
      </c>
      <c r="O285" s="24">
        <f>IF(O284&gt;0,ROUND(O284+N285-M285,2),0)</f>
        <v>0</v>
      </c>
      <c r="P285" s="24">
        <f>IF(O284&gt;0,ROUND(P284+ROUND(ROUND(P284*100,0)*ROUND(M$7*10000,0)/12000000,0)/100+0.02,2),0)</f>
        <v>0</v>
      </c>
      <c r="Q285" s="24">
        <f>IF(S284&gt;0,IF(AND(ROUND(S284+R285-ROUND(Q$6+IF(Q$5=$C285,$E$5+$E285,0),2),2)&gt;0,ROUND(S284+R285-ROUND(Q$6+IF(Q$5=$C285,$E$5+$E285,0),2),2)&lt;=T285,ROUND(S284+R285-ROUND(Q$6+IF(Q$5=$C285,$E$5+$E285,0),2),2)*10&lt;=ROUND(Q$6+IF(Q$5=$C285,$E$5+$E285,0),2)),ROUND(S284+R285,2),MIN(ROUND(Q$6+IF(Q$5=$C285,$E$5+$E285,0),2),ROUND(S284+R285,2))),0)</f>
        <v>0</v>
      </c>
      <c r="R285" s="24">
        <f>IF(S284&gt;0,ROUND(ROUND(S284*100,0)*ROUND(Q$7*10000,0)/12000000,0)/100,0)</f>
        <v>0</v>
      </c>
      <c r="S285" s="24">
        <f>IF(S284&gt;0,ROUND(S284+R285-Q285,2),0)</f>
        <v>0</v>
      </c>
      <c r="T285" s="24">
        <f>IF(S284&gt;0,ROUND(T284+ROUND(ROUND(T284*100,0)*ROUND(Q$7*10000,0)/12000000,0)/100+0.02,2),0)</f>
        <v>0</v>
      </c>
      <c r="U285" s="24">
        <f>IF(W284&gt;0,IF(AND(ROUND(W284+V285-ROUND(U$6+IF(U$5=$C285,$E$5+$E285,0),2),2)&gt;0,ROUND(W284+V285-ROUND(U$6+IF(U$5=$C285,$E$5+$E285,0),2),2)&lt;=X285,ROUND(W284+V285-ROUND(U$6+IF(U$5=$C285,$E$5+$E285,0),2),2)*10&lt;=ROUND(U$6+IF(U$5=$C285,$E$5+$E285,0),2)),ROUND(W284+V285,2),MIN(ROUND(U$6+IF(U$5=$C285,$E$5+$E285,0),2),ROUND(W284+V285,2))),0)</f>
        <v>0</v>
      </c>
      <c r="V285" s="24">
        <f>IF(W284&gt;0,ROUND(ROUND(W284*100,0)*ROUND(U$7*10000,0)/12000000,0)/100,0)</f>
        <v>0</v>
      </c>
      <c r="W285" s="24">
        <f>IF(W284&gt;0,ROUND(W284+V285-U285,2),0)</f>
        <v>0</v>
      </c>
      <c r="X285" s="24">
        <f>IF(W284&gt;0,ROUND(X284+ROUND(ROUND(X284*100,0)*ROUND(U$7*10000,0)/12000000,0)/100+0.02,2),0)</f>
        <v>0</v>
      </c>
      <c r="Y285" s="24">
        <f>IF(AA284&gt;0,IF(AND(ROUND(AA284+Z285-ROUND(Y$6+IF(Y$5=$C285,$E$5+$E285,0),2),2)&gt;0,ROUND(AA284+Z285-ROUND(Y$6+IF(Y$5=$C285,$E$5+$E285,0),2),2)&lt;=AB285,ROUND(AA284+Z285-ROUND(Y$6+IF(Y$5=$C285,$E$5+$E285,0),2),2)*10&lt;=ROUND(Y$6+IF(Y$5=$C285,$E$5+$E285,0),2)),ROUND(AA284+Z285,2),MIN(ROUND(Y$6+IF(Y$5=$C285,$E$5+$E285,0),2),ROUND(AA284+Z285,2))),0)</f>
        <v>0</v>
      </c>
      <c r="Z285" s="24">
        <f>IF(AA284&gt;0,ROUND(ROUND(AA284*100,0)*ROUND(Y$7*10000,0)/12000000,0)/100,0)</f>
        <v>0</v>
      </c>
      <c r="AA285" s="24">
        <f>IF(AA284&gt;0,ROUND(AA284+Z285-Y285,2),0)</f>
        <v>0</v>
      </c>
      <c r="AB285" s="24">
        <f>IF(AA284&gt;0,ROUND(AB284+ROUND(ROUND(AB284*100,0)*ROUND(Y$7*10000,0)/12000000,0)/100+0.02,2),0)</f>
        <v>0</v>
      </c>
      <c r="AC285" s="24">
        <f>IF(AE284&gt;0,IF(AND(ROUND(AE284+AD285-ROUND(AC$6+IF(AC$5=$C285,$E$5+$E285,0),2),2)&gt;0,ROUND(AE284+AD285-ROUND(AC$6+IF(AC$5=$C285,$E$5+$E285,0),2),2)&lt;=AF285,ROUND(AE284+AD285-ROUND(AC$6+IF(AC$5=$C285,$E$5+$E285,0),2),2)*10&lt;=ROUND(AC$6+IF(AC$5=$C285,$E$5+$E285,0),2)),ROUND(AE284+AD285,2),MIN(ROUND(AC$6+IF(AC$5=$C285,$E$5+$E285,0),2),ROUND(AE284+AD285,2))),0)</f>
        <v>0</v>
      </c>
      <c r="AD285" s="24">
        <f>IF(AE284&gt;0,ROUND(ROUND(AE284*100,0)*ROUND(AC$7*10000,0)/12000000,0)/100,0)</f>
        <v>0</v>
      </c>
      <c r="AE285" s="24">
        <f>IF(AE284&gt;0,ROUND(AE284+AD285-AC285,2),0)</f>
        <v>0</v>
      </c>
      <c r="AF285" s="24">
        <f>IF(AE284&gt;0,ROUND(AF284+ROUND(ROUND(AF284*100,0)*ROUND(AC$7*10000,0)/12000000,0)/100+0.02,2),0)</f>
        <v>0</v>
      </c>
      <c r="AG285" s="24">
        <f>IF(AI284&gt;0,IF(AND(ROUND(AI284+AH285-ROUND(AG$6+IF(AG$5=$C285,$E$5+$E285,0),2),2)&gt;0,ROUND(AI284+AH285-ROUND(AG$6+IF(AG$5=$C285,$E$5+$E285,0),2),2)&lt;=AJ285,ROUND(AI284+AH285-ROUND(AG$6+IF(AG$5=$C285,$E$5+$E285,0),2),2)*10&lt;=ROUND(AG$6+IF(AG$5=$C285,$E$5+$E285,0),2)),ROUND(AI284+AH285,2),MIN(ROUND(AG$6+IF(AG$5=$C285,$E$5+$E285,0),2),ROUND(AI284+AH285,2))),0)</f>
        <v>0</v>
      </c>
      <c r="AH285" s="24">
        <f>IF(AI284&gt;0,ROUND(ROUND(AI284*100,0)*ROUND(AG$7*10000,0)/12000000,0)/100,0)</f>
        <v>0</v>
      </c>
      <c r="AI285" s="24">
        <f>IF(AI284&gt;0,ROUND(AI284+AH285-AG285,2),0)</f>
        <v>0</v>
      </c>
      <c r="AJ285" s="24">
        <f>IF(AI284&gt;0,ROUND(AJ284+ROUND(ROUND(AJ284*100,0)*ROUND(AG$7*10000,0)/12000000,0)/100+0.02,2),0)</f>
        <v>0</v>
      </c>
      <c r="AK285" s="24">
        <f>IF(AM284&gt;0,IF(AND(ROUND(AM284+AL285-ROUND(AK$6+IF(AK$5=$C285,$E$5+$E285,0),2),2)&gt;0,ROUND(AM284+AL285-ROUND(AK$6+IF(AK$5=$C285,$E$5+$E285,0),2),2)&lt;=AN285,ROUND(AM284+AL285-ROUND(AK$6+IF(AK$5=$C285,$E$5+$E285,0),2),2)*10&lt;=ROUND(AK$6+IF(AK$5=$C285,$E$5+$E285,0),2)),ROUND(AM284+AL285,2),MIN(ROUND(AK$6+IF(AK$5=$C285,$E$5+$E285,0),2),ROUND(AM284+AL285,2))),0)</f>
        <v>0</v>
      </c>
      <c r="AL285" s="24">
        <f>IF(AM284&gt;0,ROUND(ROUND(AM284*100,0)*ROUND(AK$7*10000,0)/12000000,0)/100,0)</f>
        <v>0</v>
      </c>
      <c r="AM285" s="24">
        <f>IF(AM284&gt;0,ROUND(AM284+AL285-AK285,2),0)</f>
        <v>0</v>
      </c>
      <c r="AN285" s="24">
        <f>IF(AM284&gt;0,ROUND(AN284+ROUND(ROUND(AN284*100,0)*ROUND(AK$7*10000,0)/12000000,0)/100+0.02,2),0)</f>
        <v>0</v>
      </c>
      <c r="AO285" s="24">
        <f>IF(AQ284&gt;0,IF(AND(ROUND(AQ284+AP285-ROUND(AO$6+IF(AO$5=$C285,$E$5+$E285,0),2),2)&gt;0,ROUND(AQ284+AP285-ROUND(AO$6+IF(AO$5=$C285,$E$5+$E285,0),2),2)&lt;=AR285,ROUND(AQ284+AP285-ROUND(AO$6+IF(AO$5=$C285,$E$5+$E285,0),2),2)*10&lt;=ROUND(AO$6+IF(AO$5=$C285,$E$5+$E285,0),2)),ROUND(AQ284+AP285,2),MIN(ROUND(AO$6+IF(AO$5=$C285,$E$5+$E285,0),2),ROUND(AQ284+AP285,2))),0)</f>
        <v>0</v>
      </c>
      <c r="AP285" s="24">
        <f>IF(AQ284&gt;0,ROUND(ROUND(AQ284*100,0)*ROUND(AO$7*10000,0)/12000000,0)/100,0)</f>
        <v>0</v>
      </c>
      <c r="AQ285" s="24">
        <f>IF(AQ284&gt;0,ROUND(AQ284+AP285-AO285,2),0)</f>
        <v>0</v>
      </c>
      <c r="AR285" s="24">
        <f>IF(AQ284&gt;0,ROUND(AR284+ROUND(ROUND(AR284*100,0)*ROUND(AO$7*10000,0)/12000000,0)/100+0.02,2),0)</f>
        <v>0</v>
      </c>
      <c r="AS285" s="24">
        <f>IF(AU284&gt;0,IF(AND(ROUND(AU284+AT285-ROUND(AS$6+IF(AS$5=$C285,$E$5+$E285,0),2),2)&gt;0,ROUND(AU284+AT285-ROUND(AS$6+IF(AS$5=$C285,$E$5+$E285,0),2),2)&lt;=AV285,ROUND(AU284+AT285-ROUND(AS$6+IF(AS$5=$C285,$E$5+$E285,0),2),2)*10&lt;=ROUND(AS$6+IF(AS$5=$C285,$E$5+$E285,0),2)),ROUND(AU284+AT285,2),MIN(ROUND(AS$6+IF(AS$5=$C285,$E$5+$E285,0),2),ROUND(AU284+AT285,2))),0)</f>
        <v>0</v>
      </c>
      <c r="AT285" s="24">
        <f>IF(AU284&gt;0,ROUND(ROUND(AU284*100,0)*ROUND(AS$7*10000,0)/12000000,0)/100,0)</f>
        <v>0</v>
      </c>
      <c r="AU285" s="24">
        <f>IF(AU284&gt;0,ROUND(AU284+AT285-AS285,2),0)</f>
        <v>0</v>
      </c>
      <c r="AV285" s="24">
        <f>IF(AU284&gt;0,ROUND(AV284+ROUND(ROUND(AV284*100,0)*ROUND(AS$7*10000,0)/12000000,0)/100+0.02,2),0)</f>
        <v>0</v>
      </c>
    </row>
    <row r="286" spans="1:48" x14ac:dyDescent="0.25">
      <c r="A286" s="17" t="str">
        <f>IF(F286&gt;0,276,"")</f>
        <v/>
      </c>
      <c r="B286" s="18" t="str">
        <f>IF(F286&gt;0,EDATE($E$6,276),"")</f>
        <v/>
      </c>
      <c r="C286" s="21">
        <f>IF(H285&gt;0,MIN(IF(K285&gt;0,I$5,99),IF(O285&gt;0,M$5,99),IF(S285&gt;0,Q$5,99),IF(W285&gt;0,U$5,99),IF(AA285&gt;0,Y$5,99),IF(AE285&gt;0,AC$5,99),IF(AI285&gt;0,AG$5,99),IF(AM285&gt;0,AK$5,99),IF(AQ285&gt;0,AO$5,99),IF(AU285&gt;0,AS$5,99)),0)</f>
        <v>0</v>
      </c>
      <c r="D286" t="str">
        <f>IF(C286&gt;0,INDEX($I$4:$AV$4,1,MATCH(C286,$I$5:$AV$5,0)),"")</f>
        <v/>
      </c>
      <c r="E286" s="24">
        <f>ROUND(IF(AND(I$8&gt;0,K285=0),I$6,0)+IF(AND(M$8&gt;0,O285=0),M$6,0)+IF(AND(Q$8&gt;0,S285=0),Q$6,0)+IF(AND(U$8&gt;0,W285=0),U$6,0)+IF(AND(Y$8&gt;0,AA285=0),Y$6,0)+IF(AND(AC$8&gt;0,AE285=0),AC$6,0)+IF(AND(AG$8&gt;0,AI285=0),AG$6,0)+IF(AND(AK$8&gt;0,AM285=0),AK$6,0)+IF(AND(AO$8&gt;0,AQ285=0),AO$6,0)+IF(AND(AS$8&gt;0,AU285=0),AS$6,0),2)</f>
        <v>325</v>
      </c>
      <c r="F286" s="24">
        <f>ROUND(I286+M286+Q286+U286+Y286+AC286+AG286+AK286+AO286+AS286,2)</f>
        <v>0</v>
      </c>
      <c r="G286" s="24">
        <f>ROUND(J286+N286+R286+V286+Z286+AD286+AH286+AL286+AP286+AT286,2)</f>
        <v>0</v>
      </c>
      <c r="H286" s="24">
        <f>ROUND(K286+O286+S286+W286+AA286+AE286+AI286+AM286+AQ286+AU286,2)</f>
        <v>0</v>
      </c>
      <c r="I286" s="24">
        <f>IF(K285&gt;0,IF(AND(ROUND(K285+J286-ROUND(I$6+IF(I$5=$C286,$E$5+$E286,0),2),2)&gt;0,ROUND(K285+J286-ROUND(I$6+IF(I$5=$C286,$E$5+$E286,0),2),2)&lt;=L286,ROUND(K285+J286-ROUND(I$6+IF(I$5=$C286,$E$5+$E286,0),2),2)*10&lt;=ROUND(I$6+IF(I$5=$C286,$E$5+$E286,0),2)),ROUND(K285+J286,2),MIN(ROUND(I$6+IF(I$5=$C286,$E$5+$E286,0),2),ROUND(K285+J286,2))),0)</f>
        <v>0</v>
      </c>
      <c r="J286" s="24">
        <f>IF(K285&gt;0,ROUND(ROUND(K285*100,0)*ROUND(I$7*10000,0)/12000000,0)/100,0)</f>
        <v>0</v>
      </c>
      <c r="K286" s="24">
        <f>IF(K285&gt;0,ROUND(K285+J286-I286,2),0)</f>
        <v>0</v>
      </c>
      <c r="L286" s="24">
        <f>IF(K285&gt;0,ROUND(L285+ROUND(ROUND(L285*100,0)*ROUND(I$7*10000,0)/12000000,0)/100+0.02,2),0)</f>
        <v>0</v>
      </c>
      <c r="M286" s="24">
        <f>IF(O285&gt;0,IF(AND(ROUND(O285+N286-ROUND(M$6+IF(M$5=$C286,$E$5+$E286,0),2),2)&gt;0,ROUND(O285+N286-ROUND(M$6+IF(M$5=$C286,$E$5+$E286,0),2),2)&lt;=P286,ROUND(O285+N286-ROUND(M$6+IF(M$5=$C286,$E$5+$E286,0),2),2)*10&lt;=ROUND(M$6+IF(M$5=$C286,$E$5+$E286,0),2)),ROUND(O285+N286,2),MIN(ROUND(M$6+IF(M$5=$C286,$E$5+$E286,0),2),ROUND(O285+N286,2))),0)</f>
        <v>0</v>
      </c>
      <c r="N286" s="24">
        <f>IF(O285&gt;0,ROUND(ROUND(O285*100,0)*ROUND(M$7*10000,0)/12000000,0)/100,0)</f>
        <v>0</v>
      </c>
      <c r="O286" s="24">
        <f>IF(O285&gt;0,ROUND(O285+N286-M286,2),0)</f>
        <v>0</v>
      </c>
      <c r="P286" s="24">
        <f>IF(O285&gt;0,ROUND(P285+ROUND(ROUND(P285*100,0)*ROUND(M$7*10000,0)/12000000,0)/100+0.02,2),0)</f>
        <v>0</v>
      </c>
      <c r="Q286" s="24">
        <f>IF(S285&gt;0,IF(AND(ROUND(S285+R286-ROUND(Q$6+IF(Q$5=$C286,$E$5+$E286,0),2),2)&gt;0,ROUND(S285+R286-ROUND(Q$6+IF(Q$5=$C286,$E$5+$E286,0),2),2)&lt;=T286,ROUND(S285+R286-ROUND(Q$6+IF(Q$5=$C286,$E$5+$E286,0),2),2)*10&lt;=ROUND(Q$6+IF(Q$5=$C286,$E$5+$E286,0),2)),ROUND(S285+R286,2),MIN(ROUND(Q$6+IF(Q$5=$C286,$E$5+$E286,0),2),ROUND(S285+R286,2))),0)</f>
        <v>0</v>
      </c>
      <c r="R286" s="24">
        <f>IF(S285&gt;0,ROUND(ROUND(S285*100,0)*ROUND(Q$7*10000,0)/12000000,0)/100,0)</f>
        <v>0</v>
      </c>
      <c r="S286" s="24">
        <f>IF(S285&gt;0,ROUND(S285+R286-Q286,2),0)</f>
        <v>0</v>
      </c>
      <c r="T286" s="24">
        <f>IF(S285&gt;0,ROUND(T285+ROUND(ROUND(T285*100,0)*ROUND(Q$7*10000,0)/12000000,0)/100+0.02,2),0)</f>
        <v>0</v>
      </c>
      <c r="U286" s="24">
        <f>IF(W285&gt;0,IF(AND(ROUND(W285+V286-ROUND(U$6+IF(U$5=$C286,$E$5+$E286,0),2),2)&gt;0,ROUND(W285+V286-ROUND(U$6+IF(U$5=$C286,$E$5+$E286,0),2),2)&lt;=X286,ROUND(W285+V286-ROUND(U$6+IF(U$5=$C286,$E$5+$E286,0),2),2)*10&lt;=ROUND(U$6+IF(U$5=$C286,$E$5+$E286,0),2)),ROUND(W285+V286,2),MIN(ROUND(U$6+IF(U$5=$C286,$E$5+$E286,0),2),ROUND(W285+V286,2))),0)</f>
        <v>0</v>
      </c>
      <c r="V286" s="24">
        <f>IF(W285&gt;0,ROUND(ROUND(W285*100,0)*ROUND(U$7*10000,0)/12000000,0)/100,0)</f>
        <v>0</v>
      </c>
      <c r="W286" s="24">
        <f>IF(W285&gt;0,ROUND(W285+V286-U286,2),0)</f>
        <v>0</v>
      </c>
      <c r="X286" s="24">
        <f>IF(W285&gt;0,ROUND(X285+ROUND(ROUND(X285*100,0)*ROUND(U$7*10000,0)/12000000,0)/100+0.02,2),0)</f>
        <v>0</v>
      </c>
      <c r="Y286" s="24">
        <f>IF(AA285&gt;0,IF(AND(ROUND(AA285+Z286-ROUND(Y$6+IF(Y$5=$C286,$E$5+$E286,0),2),2)&gt;0,ROUND(AA285+Z286-ROUND(Y$6+IF(Y$5=$C286,$E$5+$E286,0),2),2)&lt;=AB286,ROUND(AA285+Z286-ROUND(Y$6+IF(Y$5=$C286,$E$5+$E286,0),2),2)*10&lt;=ROUND(Y$6+IF(Y$5=$C286,$E$5+$E286,0),2)),ROUND(AA285+Z286,2),MIN(ROUND(Y$6+IF(Y$5=$C286,$E$5+$E286,0),2),ROUND(AA285+Z286,2))),0)</f>
        <v>0</v>
      </c>
      <c r="Z286" s="24">
        <f>IF(AA285&gt;0,ROUND(ROUND(AA285*100,0)*ROUND(Y$7*10000,0)/12000000,0)/100,0)</f>
        <v>0</v>
      </c>
      <c r="AA286" s="24">
        <f>IF(AA285&gt;0,ROUND(AA285+Z286-Y286,2),0)</f>
        <v>0</v>
      </c>
      <c r="AB286" s="24">
        <f>IF(AA285&gt;0,ROUND(AB285+ROUND(ROUND(AB285*100,0)*ROUND(Y$7*10000,0)/12000000,0)/100+0.02,2),0)</f>
        <v>0</v>
      </c>
      <c r="AC286" s="24">
        <f>IF(AE285&gt;0,IF(AND(ROUND(AE285+AD286-ROUND(AC$6+IF(AC$5=$C286,$E$5+$E286,0),2),2)&gt;0,ROUND(AE285+AD286-ROUND(AC$6+IF(AC$5=$C286,$E$5+$E286,0),2),2)&lt;=AF286,ROUND(AE285+AD286-ROUND(AC$6+IF(AC$5=$C286,$E$5+$E286,0),2),2)*10&lt;=ROUND(AC$6+IF(AC$5=$C286,$E$5+$E286,0),2)),ROUND(AE285+AD286,2),MIN(ROUND(AC$6+IF(AC$5=$C286,$E$5+$E286,0),2),ROUND(AE285+AD286,2))),0)</f>
        <v>0</v>
      </c>
      <c r="AD286" s="24">
        <f>IF(AE285&gt;0,ROUND(ROUND(AE285*100,0)*ROUND(AC$7*10000,0)/12000000,0)/100,0)</f>
        <v>0</v>
      </c>
      <c r="AE286" s="24">
        <f>IF(AE285&gt;0,ROUND(AE285+AD286-AC286,2),0)</f>
        <v>0</v>
      </c>
      <c r="AF286" s="24">
        <f>IF(AE285&gt;0,ROUND(AF285+ROUND(ROUND(AF285*100,0)*ROUND(AC$7*10000,0)/12000000,0)/100+0.02,2),0)</f>
        <v>0</v>
      </c>
      <c r="AG286" s="24">
        <f>IF(AI285&gt;0,IF(AND(ROUND(AI285+AH286-ROUND(AG$6+IF(AG$5=$C286,$E$5+$E286,0),2),2)&gt;0,ROUND(AI285+AH286-ROUND(AG$6+IF(AG$5=$C286,$E$5+$E286,0),2),2)&lt;=AJ286,ROUND(AI285+AH286-ROUND(AG$6+IF(AG$5=$C286,$E$5+$E286,0),2),2)*10&lt;=ROUND(AG$6+IF(AG$5=$C286,$E$5+$E286,0),2)),ROUND(AI285+AH286,2),MIN(ROUND(AG$6+IF(AG$5=$C286,$E$5+$E286,0),2),ROUND(AI285+AH286,2))),0)</f>
        <v>0</v>
      </c>
      <c r="AH286" s="24">
        <f>IF(AI285&gt;0,ROUND(ROUND(AI285*100,0)*ROUND(AG$7*10000,0)/12000000,0)/100,0)</f>
        <v>0</v>
      </c>
      <c r="AI286" s="24">
        <f>IF(AI285&gt;0,ROUND(AI285+AH286-AG286,2),0)</f>
        <v>0</v>
      </c>
      <c r="AJ286" s="24">
        <f>IF(AI285&gt;0,ROUND(AJ285+ROUND(ROUND(AJ285*100,0)*ROUND(AG$7*10000,0)/12000000,0)/100+0.02,2),0)</f>
        <v>0</v>
      </c>
      <c r="AK286" s="24">
        <f>IF(AM285&gt;0,IF(AND(ROUND(AM285+AL286-ROUND(AK$6+IF(AK$5=$C286,$E$5+$E286,0),2),2)&gt;0,ROUND(AM285+AL286-ROUND(AK$6+IF(AK$5=$C286,$E$5+$E286,0),2),2)&lt;=AN286,ROUND(AM285+AL286-ROUND(AK$6+IF(AK$5=$C286,$E$5+$E286,0),2),2)*10&lt;=ROUND(AK$6+IF(AK$5=$C286,$E$5+$E286,0),2)),ROUND(AM285+AL286,2),MIN(ROUND(AK$6+IF(AK$5=$C286,$E$5+$E286,0),2),ROUND(AM285+AL286,2))),0)</f>
        <v>0</v>
      </c>
      <c r="AL286" s="24">
        <f>IF(AM285&gt;0,ROUND(ROUND(AM285*100,0)*ROUND(AK$7*10000,0)/12000000,0)/100,0)</f>
        <v>0</v>
      </c>
      <c r="AM286" s="24">
        <f>IF(AM285&gt;0,ROUND(AM285+AL286-AK286,2),0)</f>
        <v>0</v>
      </c>
      <c r="AN286" s="24">
        <f>IF(AM285&gt;0,ROUND(AN285+ROUND(ROUND(AN285*100,0)*ROUND(AK$7*10000,0)/12000000,0)/100+0.02,2),0)</f>
        <v>0</v>
      </c>
      <c r="AO286" s="24">
        <f>IF(AQ285&gt;0,IF(AND(ROUND(AQ285+AP286-ROUND(AO$6+IF(AO$5=$C286,$E$5+$E286,0),2),2)&gt;0,ROUND(AQ285+AP286-ROUND(AO$6+IF(AO$5=$C286,$E$5+$E286,0),2),2)&lt;=AR286,ROUND(AQ285+AP286-ROUND(AO$6+IF(AO$5=$C286,$E$5+$E286,0),2),2)*10&lt;=ROUND(AO$6+IF(AO$5=$C286,$E$5+$E286,0),2)),ROUND(AQ285+AP286,2),MIN(ROUND(AO$6+IF(AO$5=$C286,$E$5+$E286,0),2),ROUND(AQ285+AP286,2))),0)</f>
        <v>0</v>
      </c>
      <c r="AP286" s="24">
        <f>IF(AQ285&gt;0,ROUND(ROUND(AQ285*100,0)*ROUND(AO$7*10000,0)/12000000,0)/100,0)</f>
        <v>0</v>
      </c>
      <c r="AQ286" s="24">
        <f>IF(AQ285&gt;0,ROUND(AQ285+AP286-AO286,2),0)</f>
        <v>0</v>
      </c>
      <c r="AR286" s="24">
        <f>IF(AQ285&gt;0,ROUND(AR285+ROUND(ROUND(AR285*100,0)*ROUND(AO$7*10000,0)/12000000,0)/100+0.02,2),0)</f>
        <v>0</v>
      </c>
      <c r="AS286" s="24">
        <f>IF(AU285&gt;0,IF(AND(ROUND(AU285+AT286-ROUND(AS$6+IF(AS$5=$C286,$E$5+$E286,0),2),2)&gt;0,ROUND(AU285+AT286-ROUND(AS$6+IF(AS$5=$C286,$E$5+$E286,0),2),2)&lt;=AV286,ROUND(AU285+AT286-ROUND(AS$6+IF(AS$5=$C286,$E$5+$E286,0),2),2)*10&lt;=ROUND(AS$6+IF(AS$5=$C286,$E$5+$E286,0),2)),ROUND(AU285+AT286,2),MIN(ROUND(AS$6+IF(AS$5=$C286,$E$5+$E286,0),2),ROUND(AU285+AT286,2))),0)</f>
        <v>0</v>
      </c>
      <c r="AT286" s="24">
        <f>IF(AU285&gt;0,ROUND(ROUND(AU285*100,0)*ROUND(AS$7*10000,0)/12000000,0)/100,0)</f>
        <v>0</v>
      </c>
      <c r="AU286" s="24">
        <f>IF(AU285&gt;0,ROUND(AU285+AT286-AS286,2),0)</f>
        <v>0</v>
      </c>
      <c r="AV286" s="24">
        <f>IF(AU285&gt;0,ROUND(AV285+ROUND(ROUND(AV285*100,0)*ROUND(AS$7*10000,0)/12000000,0)/100+0.02,2),0)</f>
        <v>0</v>
      </c>
    </row>
    <row r="287" spans="1:48" x14ac:dyDescent="0.25">
      <c r="A287" s="17" t="str">
        <f>IF(F287&gt;0,277,"")</f>
        <v/>
      </c>
      <c r="B287" s="18" t="str">
        <f>IF(F287&gt;0,EDATE($E$6,277),"")</f>
        <v/>
      </c>
      <c r="C287" s="21">
        <f>IF(H286&gt;0,MIN(IF(K286&gt;0,I$5,99),IF(O286&gt;0,M$5,99),IF(S286&gt;0,Q$5,99),IF(W286&gt;0,U$5,99),IF(AA286&gt;0,Y$5,99),IF(AE286&gt;0,AC$5,99),IF(AI286&gt;0,AG$5,99),IF(AM286&gt;0,AK$5,99),IF(AQ286&gt;0,AO$5,99),IF(AU286&gt;0,AS$5,99)),0)</f>
        <v>0</v>
      </c>
      <c r="D287" t="str">
        <f>IF(C287&gt;0,INDEX($I$4:$AV$4,1,MATCH(C287,$I$5:$AV$5,0)),"")</f>
        <v/>
      </c>
      <c r="E287" s="24">
        <f>ROUND(IF(AND(I$8&gt;0,K286=0),I$6,0)+IF(AND(M$8&gt;0,O286=0),M$6,0)+IF(AND(Q$8&gt;0,S286=0),Q$6,0)+IF(AND(U$8&gt;0,W286=0),U$6,0)+IF(AND(Y$8&gt;0,AA286=0),Y$6,0)+IF(AND(AC$8&gt;0,AE286=0),AC$6,0)+IF(AND(AG$8&gt;0,AI286=0),AG$6,0)+IF(AND(AK$8&gt;0,AM286=0),AK$6,0)+IF(AND(AO$8&gt;0,AQ286=0),AO$6,0)+IF(AND(AS$8&gt;0,AU286=0),AS$6,0),2)</f>
        <v>325</v>
      </c>
      <c r="F287" s="24">
        <f>ROUND(I287+M287+Q287+U287+Y287+AC287+AG287+AK287+AO287+AS287,2)</f>
        <v>0</v>
      </c>
      <c r="G287" s="24">
        <f>ROUND(J287+N287+R287+V287+Z287+AD287+AH287+AL287+AP287+AT287,2)</f>
        <v>0</v>
      </c>
      <c r="H287" s="24">
        <f>ROUND(K287+O287+S287+W287+AA287+AE287+AI287+AM287+AQ287+AU287,2)</f>
        <v>0</v>
      </c>
      <c r="I287" s="24">
        <f>IF(K286&gt;0,IF(AND(ROUND(K286+J287-ROUND(I$6+IF(I$5=$C287,$E$5+$E287,0),2),2)&gt;0,ROUND(K286+J287-ROUND(I$6+IF(I$5=$C287,$E$5+$E287,0),2),2)&lt;=L287,ROUND(K286+J287-ROUND(I$6+IF(I$5=$C287,$E$5+$E287,0),2),2)*10&lt;=ROUND(I$6+IF(I$5=$C287,$E$5+$E287,0),2)),ROUND(K286+J287,2),MIN(ROUND(I$6+IF(I$5=$C287,$E$5+$E287,0),2),ROUND(K286+J287,2))),0)</f>
        <v>0</v>
      </c>
      <c r="J287" s="24">
        <f>IF(K286&gt;0,ROUND(ROUND(K286*100,0)*ROUND(I$7*10000,0)/12000000,0)/100,0)</f>
        <v>0</v>
      </c>
      <c r="K287" s="24">
        <f>IF(K286&gt;0,ROUND(K286+J287-I287,2),0)</f>
        <v>0</v>
      </c>
      <c r="L287" s="24">
        <f>IF(K286&gt;0,ROUND(L286+ROUND(ROUND(L286*100,0)*ROUND(I$7*10000,0)/12000000,0)/100+0.02,2),0)</f>
        <v>0</v>
      </c>
      <c r="M287" s="24">
        <f>IF(O286&gt;0,IF(AND(ROUND(O286+N287-ROUND(M$6+IF(M$5=$C287,$E$5+$E287,0),2),2)&gt;0,ROUND(O286+N287-ROUND(M$6+IF(M$5=$C287,$E$5+$E287,0),2),2)&lt;=P287,ROUND(O286+N287-ROUND(M$6+IF(M$5=$C287,$E$5+$E287,0),2),2)*10&lt;=ROUND(M$6+IF(M$5=$C287,$E$5+$E287,0),2)),ROUND(O286+N287,2),MIN(ROUND(M$6+IF(M$5=$C287,$E$5+$E287,0),2),ROUND(O286+N287,2))),0)</f>
        <v>0</v>
      </c>
      <c r="N287" s="24">
        <f>IF(O286&gt;0,ROUND(ROUND(O286*100,0)*ROUND(M$7*10000,0)/12000000,0)/100,0)</f>
        <v>0</v>
      </c>
      <c r="O287" s="24">
        <f>IF(O286&gt;0,ROUND(O286+N287-M287,2),0)</f>
        <v>0</v>
      </c>
      <c r="P287" s="24">
        <f>IF(O286&gt;0,ROUND(P286+ROUND(ROUND(P286*100,0)*ROUND(M$7*10000,0)/12000000,0)/100+0.02,2),0)</f>
        <v>0</v>
      </c>
      <c r="Q287" s="24">
        <f>IF(S286&gt;0,IF(AND(ROUND(S286+R287-ROUND(Q$6+IF(Q$5=$C287,$E$5+$E287,0),2),2)&gt;0,ROUND(S286+R287-ROUND(Q$6+IF(Q$5=$C287,$E$5+$E287,0),2),2)&lt;=T287,ROUND(S286+R287-ROUND(Q$6+IF(Q$5=$C287,$E$5+$E287,0),2),2)*10&lt;=ROUND(Q$6+IF(Q$5=$C287,$E$5+$E287,0),2)),ROUND(S286+R287,2),MIN(ROUND(Q$6+IF(Q$5=$C287,$E$5+$E287,0),2),ROUND(S286+R287,2))),0)</f>
        <v>0</v>
      </c>
      <c r="R287" s="24">
        <f>IF(S286&gt;0,ROUND(ROUND(S286*100,0)*ROUND(Q$7*10000,0)/12000000,0)/100,0)</f>
        <v>0</v>
      </c>
      <c r="S287" s="24">
        <f>IF(S286&gt;0,ROUND(S286+R287-Q287,2),0)</f>
        <v>0</v>
      </c>
      <c r="T287" s="24">
        <f>IF(S286&gt;0,ROUND(T286+ROUND(ROUND(T286*100,0)*ROUND(Q$7*10000,0)/12000000,0)/100+0.02,2),0)</f>
        <v>0</v>
      </c>
      <c r="U287" s="24">
        <f>IF(W286&gt;0,IF(AND(ROUND(W286+V287-ROUND(U$6+IF(U$5=$C287,$E$5+$E287,0),2),2)&gt;0,ROUND(W286+V287-ROUND(U$6+IF(U$5=$C287,$E$5+$E287,0),2),2)&lt;=X287,ROUND(W286+V287-ROUND(U$6+IF(U$5=$C287,$E$5+$E287,0),2),2)*10&lt;=ROUND(U$6+IF(U$5=$C287,$E$5+$E287,0),2)),ROUND(W286+V287,2),MIN(ROUND(U$6+IF(U$5=$C287,$E$5+$E287,0),2),ROUND(W286+V287,2))),0)</f>
        <v>0</v>
      </c>
      <c r="V287" s="24">
        <f>IF(W286&gt;0,ROUND(ROUND(W286*100,0)*ROUND(U$7*10000,0)/12000000,0)/100,0)</f>
        <v>0</v>
      </c>
      <c r="W287" s="24">
        <f>IF(W286&gt;0,ROUND(W286+V287-U287,2),0)</f>
        <v>0</v>
      </c>
      <c r="X287" s="24">
        <f>IF(W286&gt;0,ROUND(X286+ROUND(ROUND(X286*100,0)*ROUND(U$7*10000,0)/12000000,0)/100+0.02,2),0)</f>
        <v>0</v>
      </c>
      <c r="Y287" s="24">
        <f>IF(AA286&gt;0,IF(AND(ROUND(AA286+Z287-ROUND(Y$6+IF(Y$5=$C287,$E$5+$E287,0),2),2)&gt;0,ROUND(AA286+Z287-ROUND(Y$6+IF(Y$5=$C287,$E$5+$E287,0),2),2)&lt;=AB287,ROUND(AA286+Z287-ROUND(Y$6+IF(Y$5=$C287,$E$5+$E287,0),2),2)*10&lt;=ROUND(Y$6+IF(Y$5=$C287,$E$5+$E287,0),2)),ROUND(AA286+Z287,2),MIN(ROUND(Y$6+IF(Y$5=$C287,$E$5+$E287,0),2),ROUND(AA286+Z287,2))),0)</f>
        <v>0</v>
      </c>
      <c r="Z287" s="24">
        <f>IF(AA286&gt;0,ROUND(ROUND(AA286*100,0)*ROUND(Y$7*10000,0)/12000000,0)/100,0)</f>
        <v>0</v>
      </c>
      <c r="AA287" s="24">
        <f>IF(AA286&gt;0,ROUND(AA286+Z287-Y287,2),0)</f>
        <v>0</v>
      </c>
      <c r="AB287" s="24">
        <f>IF(AA286&gt;0,ROUND(AB286+ROUND(ROUND(AB286*100,0)*ROUND(Y$7*10000,0)/12000000,0)/100+0.02,2),0)</f>
        <v>0</v>
      </c>
      <c r="AC287" s="24">
        <f>IF(AE286&gt;0,IF(AND(ROUND(AE286+AD287-ROUND(AC$6+IF(AC$5=$C287,$E$5+$E287,0),2),2)&gt;0,ROUND(AE286+AD287-ROUND(AC$6+IF(AC$5=$C287,$E$5+$E287,0),2),2)&lt;=AF287,ROUND(AE286+AD287-ROUND(AC$6+IF(AC$5=$C287,$E$5+$E287,0),2),2)*10&lt;=ROUND(AC$6+IF(AC$5=$C287,$E$5+$E287,0),2)),ROUND(AE286+AD287,2),MIN(ROUND(AC$6+IF(AC$5=$C287,$E$5+$E287,0),2),ROUND(AE286+AD287,2))),0)</f>
        <v>0</v>
      </c>
      <c r="AD287" s="24">
        <f>IF(AE286&gt;0,ROUND(ROUND(AE286*100,0)*ROUND(AC$7*10000,0)/12000000,0)/100,0)</f>
        <v>0</v>
      </c>
      <c r="AE287" s="24">
        <f>IF(AE286&gt;0,ROUND(AE286+AD287-AC287,2),0)</f>
        <v>0</v>
      </c>
      <c r="AF287" s="24">
        <f>IF(AE286&gt;0,ROUND(AF286+ROUND(ROUND(AF286*100,0)*ROUND(AC$7*10000,0)/12000000,0)/100+0.02,2),0)</f>
        <v>0</v>
      </c>
      <c r="AG287" s="24">
        <f>IF(AI286&gt;0,IF(AND(ROUND(AI286+AH287-ROUND(AG$6+IF(AG$5=$C287,$E$5+$E287,0),2),2)&gt;0,ROUND(AI286+AH287-ROUND(AG$6+IF(AG$5=$C287,$E$5+$E287,0),2),2)&lt;=AJ287,ROUND(AI286+AH287-ROUND(AG$6+IF(AG$5=$C287,$E$5+$E287,0),2),2)*10&lt;=ROUND(AG$6+IF(AG$5=$C287,$E$5+$E287,0),2)),ROUND(AI286+AH287,2),MIN(ROUND(AG$6+IF(AG$5=$C287,$E$5+$E287,0),2),ROUND(AI286+AH287,2))),0)</f>
        <v>0</v>
      </c>
      <c r="AH287" s="24">
        <f>IF(AI286&gt;0,ROUND(ROUND(AI286*100,0)*ROUND(AG$7*10000,0)/12000000,0)/100,0)</f>
        <v>0</v>
      </c>
      <c r="AI287" s="24">
        <f>IF(AI286&gt;0,ROUND(AI286+AH287-AG287,2),0)</f>
        <v>0</v>
      </c>
      <c r="AJ287" s="24">
        <f>IF(AI286&gt;0,ROUND(AJ286+ROUND(ROUND(AJ286*100,0)*ROUND(AG$7*10000,0)/12000000,0)/100+0.02,2),0)</f>
        <v>0</v>
      </c>
      <c r="AK287" s="24">
        <f>IF(AM286&gt;0,IF(AND(ROUND(AM286+AL287-ROUND(AK$6+IF(AK$5=$C287,$E$5+$E287,0),2),2)&gt;0,ROUND(AM286+AL287-ROUND(AK$6+IF(AK$5=$C287,$E$5+$E287,0),2),2)&lt;=AN287,ROUND(AM286+AL287-ROUND(AK$6+IF(AK$5=$C287,$E$5+$E287,0),2),2)*10&lt;=ROUND(AK$6+IF(AK$5=$C287,$E$5+$E287,0),2)),ROUND(AM286+AL287,2),MIN(ROUND(AK$6+IF(AK$5=$C287,$E$5+$E287,0),2),ROUND(AM286+AL287,2))),0)</f>
        <v>0</v>
      </c>
      <c r="AL287" s="24">
        <f>IF(AM286&gt;0,ROUND(ROUND(AM286*100,0)*ROUND(AK$7*10000,0)/12000000,0)/100,0)</f>
        <v>0</v>
      </c>
      <c r="AM287" s="24">
        <f>IF(AM286&gt;0,ROUND(AM286+AL287-AK287,2),0)</f>
        <v>0</v>
      </c>
      <c r="AN287" s="24">
        <f>IF(AM286&gt;0,ROUND(AN286+ROUND(ROUND(AN286*100,0)*ROUND(AK$7*10000,0)/12000000,0)/100+0.02,2),0)</f>
        <v>0</v>
      </c>
      <c r="AO287" s="24">
        <f>IF(AQ286&gt;0,IF(AND(ROUND(AQ286+AP287-ROUND(AO$6+IF(AO$5=$C287,$E$5+$E287,0),2),2)&gt;0,ROUND(AQ286+AP287-ROUND(AO$6+IF(AO$5=$C287,$E$5+$E287,0),2),2)&lt;=AR287,ROUND(AQ286+AP287-ROUND(AO$6+IF(AO$5=$C287,$E$5+$E287,0),2),2)*10&lt;=ROUND(AO$6+IF(AO$5=$C287,$E$5+$E287,0),2)),ROUND(AQ286+AP287,2),MIN(ROUND(AO$6+IF(AO$5=$C287,$E$5+$E287,0),2),ROUND(AQ286+AP287,2))),0)</f>
        <v>0</v>
      </c>
      <c r="AP287" s="24">
        <f>IF(AQ286&gt;0,ROUND(ROUND(AQ286*100,0)*ROUND(AO$7*10000,0)/12000000,0)/100,0)</f>
        <v>0</v>
      </c>
      <c r="AQ287" s="24">
        <f>IF(AQ286&gt;0,ROUND(AQ286+AP287-AO287,2),0)</f>
        <v>0</v>
      </c>
      <c r="AR287" s="24">
        <f>IF(AQ286&gt;0,ROUND(AR286+ROUND(ROUND(AR286*100,0)*ROUND(AO$7*10000,0)/12000000,0)/100+0.02,2),0)</f>
        <v>0</v>
      </c>
      <c r="AS287" s="24">
        <f>IF(AU286&gt;0,IF(AND(ROUND(AU286+AT287-ROUND(AS$6+IF(AS$5=$C287,$E$5+$E287,0),2),2)&gt;0,ROUND(AU286+AT287-ROUND(AS$6+IF(AS$5=$C287,$E$5+$E287,0),2),2)&lt;=AV287,ROUND(AU286+AT287-ROUND(AS$6+IF(AS$5=$C287,$E$5+$E287,0),2),2)*10&lt;=ROUND(AS$6+IF(AS$5=$C287,$E$5+$E287,0),2)),ROUND(AU286+AT287,2),MIN(ROUND(AS$6+IF(AS$5=$C287,$E$5+$E287,0),2),ROUND(AU286+AT287,2))),0)</f>
        <v>0</v>
      </c>
      <c r="AT287" s="24">
        <f>IF(AU286&gt;0,ROUND(ROUND(AU286*100,0)*ROUND(AS$7*10000,0)/12000000,0)/100,0)</f>
        <v>0</v>
      </c>
      <c r="AU287" s="24">
        <f>IF(AU286&gt;0,ROUND(AU286+AT287-AS287,2),0)</f>
        <v>0</v>
      </c>
      <c r="AV287" s="24">
        <f>IF(AU286&gt;0,ROUND(AV286+ROUND(ROUND(AV286*100,0)*ROUND(AS$7*10000,0)/12000000,0)/100+0.02,2),0)</f>
        <v>0</v>
      </c>
    </row>
    <row r="288" spans="1:48" x14ac:dyDescent="0.25">
      <c r="A288" s="17" t="str">
        <f>IF(F288&gt;0,278,"")</f>
        <v/>
      </c>
      <c r="B288" s="18" t="str">
        <f>IF(F288&gt;0,EDATE($E$6,278),"")</f>
        <v/>
      </c>
      <c r="C288" s="21">
        <f>IF(H287&gt;0,MIN(IF(K287&gt;0,I$5,99),IF(O287&gt;0,M$5,99),IF(S287&gt;0,Q$5,99),IF(W287&gt;0,U$5,99),IF(AA287&gt;0,Y$5,99),IF(AE287&gt;0,AC$5,99),IF(AI287&gt;0,AG$5,99),IF(AM287&gt;0,AK$5,99),IF(AQ287&gt;0,AO$5,99),IF(AU287&gt;0,AS$5,99)),0)</f>
        <v>0</v>
      </c>
      <c r="D288" t="str">
        <f>IF(C288&gt;0,INDEX($I$4:$AV$4,1,MATCH(C288,$I$5:$AV$5,0)),"")</f>
        <v/>
      </c>
      <c r="E288" s="24">
        <f>ROUND(IF(AND(I$8&gt;0,K287=0),I$6,0)+IF(AND(M$8&gt;0,O287=0),M$6,0)+IF(AND(Q$8&gt;0,S287=0),Q$6,0)+IF(AND(U$8&gt;0,W287=0),U$6,0)+IF(AND(Y$8&gt;0,AA287=0),Y$6,0)+IF(AND(AC$8&gt;0,AE287=0),AC$6,0)+IF(AND(AG$8&gt;0,AI287=0),AG$6,0)+IF(AND(AK$8&gt;0,AM287=0),AK$6,0)+IF(AND(AO$8&gt;0,AQ287=0),AO$6,0)+IF(AND(AS$8&gt;0,AU287=0),AS$6,0),2)</f>
        <v>325</v>
      </c>
      <c r="F288" s="24">
        <f>ROUND(I288+M288+Q288+U288+Y288+AC288+AG288+AK288+AO288+AS288,2)</f>
        <v>0</v>
      </c>
      <c r="G288" s="24">
        <f>ROUND(J288+N288+R288+V288+Z288+AD288+AH288+AL288+AP288+AT288,2)</f>
        <v>0</v>
      </c>
      <c r="H288" s="24">
        <f>ROUND(K288+O288+S288+W288+AA288+AE288+AI288+AM288+AQ288+AU288,2)</f>
        <v>0</v>
      </c>
      <c r="I288" s="24">
        <f>IF(K287&gt;0,IF(AND(ROUND(K287+J288-ROUND(I$6+IF(I$5=$C288,$E$5+$E288,0),2),2)&gt;0,ROUND(K287+J288-ROUND(I$6+IF(I$5=$C288,$E$5+$E288,0),2),2)&lt;=L288,ROUND(K287+J288-ROUND(I$6+IF(I$5=$C288,$E$5+$E288,0),2),2)*10&lt;=ROUND(I$6+IF(I$5=$C288,$E$5+$E288,0),2)),ROUND(K287+J288,2),MIN(ROUND(I$6+IF(I$5=$C288,$E$5+$E288,0),2),ROUND(K287+J288,2))),0)</f>
        <v>0</v>
      </c>
      <c r="J288" s="24">
        <f>IF(K287&gt;0,ROUND(ROUND(K287*100,0)*ROUND(I$7*10000,0)/12000000,0)/100,0)</f>
        <v>0</v>
      </c>
      <c r="K288" s="24">
        <f>IF(K287&gt;0,ROUND(K287+J288-I288,2),0)</f>
        <v>0</v>
      </c>
      <c r="L288" s="24">
        <f>IF(K287&gt;0,ROUND(L287+ROUND(ROUND(L287*100,0)*ROUND(I$7*10000,0)/12000000,0)/100+0.02,2),0)</f>
        <v>0</v>
      </c>
      <c r="M288" s="24">
        <f>IF(O287&gt;0,IF(AND(ROUND(O287+N288-ROUND(M$6+IF(M$5=$C288,$E$5+$E288,0),2),2)&gt;0,ROUND(O287+N288-ROUND(M$6+IF(M$5=$C288,$E$5+$E288,0),2),2)&lt;=P288,ROUND(O287+N288-ROUND(M$6+IF(M$5=$C288,$E$5+$E288,0),2),2)*10&lt;=ROUND(M$6+IF(M$5=$C288,$E$5+$E288,0),2)),ROUND(O287+N288,2),MIN(ROUND(M$6+IF(M$5=$C288,$E$5+$E288,0),2),ROUND(O287+N288,2))),0)</f>
        <v>0</v>
      </c>
      <c r="N288" s="24">
        <f>IF(O287&gt;0,ROUND(ROUND(O287*100,0)*ROUND(M$7*10000,0)/12000000,0)/100,0)</f>
        <v>0</v>
      </c>
      <c r="O288" s="24">
        <f>IF(O287&gt;0,ROUND(O287+N288-M288,2),0)</f>
        <v>0</v>
      </c>
      <c r="P288" s="24">
        <f>IF(O287&gt;0,ROUND(P287+ROUND(ROUND(P287*100,0)*ROUND(M$7*10000,0)/12000000,0)/100+0.02,2),0)</f>
        <v>0</v>
      </c>
      <c r="Q288" s="24">
        <f>IF(S287&gt;0,IF(AND(ROUND(S287+R288-ROUND(Q$6+IF(Q$5=$C288,$E$5+$E288,0),2),2)&gt;0,ROUND(S287+R288-ROUND(Q$6+IF(Q$5=$C288,$E$5+$E288,0),2),2)&lt;=T288,ROUND(S287+R288-ROUND(Q$6+IF(Q$5=$C288,$E$5+$E288,0),2),2)*10&lt;=ROUND(Q$6+IF(Q$5=$C288,$E$5+$E288,0),2)),ROUND(S287+R288,2),MIN(ROUND(Q$6+IF(Q$5=$C288,$E$5+$E288,0),2),ROUND(S287+R288,2))),0)</f>
        <v>0</v>
      </c>
      <c r="R288" s="24">
        <f>IF(S287&gt;0,ROUND(ROUND(S287*100,0)*ROUND(Q$7*10000,0)/12000000,0)/100,0)</f>
        <v>0</v>
      </c>
      <c r="S288" s="24">
        <f>IF(S287&gt;0,ROUND(S287+R288-Q288,2),0)</f>
        <v>0</v>
      </c>
      <c r="T288" s="24">
        <f>IF(S287&gt;0,ROUND(T287+ROUND(ROUND(T287*100,0)*ROUND(Q$7*10000,0)/12000000,0)/100+0.02,2),0)</f>
        <v>0</v>
      </c>
      <c r="U288" s="24">
        <f>IF(W287&gt;0,IF(AND(ROUND(W287+V288-ROUND(U$6+IF(U$5=$C288,$E$5+$E288,0),2),2)&gt;0,ROUND(W287+V288-ROUND(U$6+IF(U$5=$C288,$E$5+$E288,0),2),2)&lt;=X288,ROUND(W287+V288-ROUND(U$6+IF(U$5=$C288,$E$5+$E288,0),2),2)*10&lt;=ROUND(U$6+IF(U$5=$C288,$E$5+$E288,0),2)),ROUND(W287+V288,2),MIN(ROUND(U$6+IF(U$5=$C288,$E$5+$E288,0),2),ROUND(W287+V288,2))),0)</f>
        <v>0</v>
      </c>
      <c r="V288" s="24">
        <f>IF(W287&gt;0,ROUND(ROUND(W287*100,0)*ROUND(U$7*10000,0)/12000000,0)/100,0)</f>
        <v>0</v>
      </c>
      <c r="W288" s="24">
        <f>IF(W287&gt;0,ROUND(W287+V288-U288,2),0)</f>
        <v>0</v>
      </c>
      <c r="X288" s="24">
        <f>IF(W287&gt;0,ROUND(X287+ROUND(ROUND(X287*100,0)*ROUND(U$7*10000,0)/12000000,0)/100+0.02,2),0)</f>
        <v>0</v>
      </c>
      <c r="Y288" s="24">
        <f>IF(AA287&gt;0,IF(AND(ROUND(AA287+Z288-ROUND(Y$6+IF(Y$5=$C288,$E$5+$E288,0),2),2)&gt;0,ROUND(AA287+Z288-ROUND(Y$6+IF(Y$5=$C288,$E$5+$E288,0),2),2)&lt;=AB288,ROUND(AA287+Z288-ROUND(Y$6+IF(Y$5=$C288,$E$5+$E288,0),2),2)*10&lt;=ROUND(Y$6+IF(Y$5=$C288,$E$5+$E288,0),2)),ROUND(AA287+Z288,2),MIN(ROUND(Y$6+IF(Y$5=$C288,$E$5+$E288,0),2),ROUND(AA287+Z288,2))),0)</f>
        <v>0</v>
      </c>
      <c r="Z288" s="24">
        <f>IF(AA287&gt;0,ROUND(ROUND(AA287*100,0)*ROUND(Y$7*10000,0)/12000000,0)/100,0)</f>
        <v>0</v>
      </c>
      <c r="AA288" s="24">
        <f>IF(AA287&gt;0,ROUND(AA287+Z288-Y288,2),0)</f>
        <v>0</v>
      </c>
      <c r="AB288" s="24">
        <f>IF(AA287&gt;0,ROUND(AB287+ROUND(ROUND(AB287*100,0)*ROUND(Y$7*10000,0)/12000000,0)/100+0.02,2),0)</f>
        <v>0</v>
      </c>
      <c r="AC288" s="24">
        <f>IF(AE287&gt;0,IF(AND(ROUND(AE287+AD288-ROUND(AC$6+IF(AC$5=$C288,$E$5+$E288,0),2),2)&gt;0,ROUND(AE287+AD288-ROUND(AC$6+IF(AC$5=$C288,$E$5+$E288,0),2),2)&lt;=AF288,ROUND(AE287+AD288-ROUND(AC$6+IF(AC$5=$C288,$E$5+$E288,0),2),2)*10&lt;=ROUND(AC$6+IF(AC$5=$C288,$E$5+$E288,0),2)),ROUND(AE287+AD288,2),MIN(ROUND(AC$6+IF(AC$5=$C288,$E$5+$E288,0),2),ROUND(AE287+AD288,2))),0)</f>
        <v>0</v>
      </c>
      <c r="AD288" s="24">
        <f>IF(AE287&gt;0,ROUND(ROUND(AE287*100,0)*ROUND(AC$7*10000,0)/12000000,0)/100,0)</f>
        <v>0</v>
      </c>
      <c r="AE288" s="24">
        <f>IF(AE287&gt;0,ROUND(AE287+AD288-AC288,2),0)</f>
        <v>0</v>
      </c>
      <c r="AF288" s="24">
        <f>IF(AE287&gt;0,ROUND(AF287+ROUND(ROUND(AF287*100,0)*ROUND(AC$7*10000,0)/12000000,0)/100+0.02,2),0)</f>
        <v>0</v>
      </c>
      <c r="AG288" s="24">
        <f>IF(AI287&gt;0,IF(AND(ROUND(AI287+AH288-ROUND(AG$6+IF(AG$5=$C288,$E$5+$E288,0),2),2)&gt;0,ROUND(AI287+AH288-ROUND(AG$6+IF(AG$5=$C288,$E$5+$E288,0),2),2)&lt;=AJ288,ROUND(AI287+AH288-ROUND(AG$6+IF(AG$5=$C288,$E$5+$E288,0),2),2)*10&lt;=ROUND(AG$6+IF(AG$5=$C288,$E$5+$E288,0),2)),ROUND(AI287+AH288,2),MIN(ROUND(AG$6+IF(AG$5=$C288,$E$5+$E288,0),2),ROUND(AI287+AH288,2))),0)</f>
        <v>0</v>
      </c>
      <c r="AH288" s="24">
        <f>IF(AI287&gt;0,ROUND(ROUND(AI287*100,0)*ROUND(AG$7*10000,0)/12000000,0)/100,0)</f>
        <v>0</v>
      </c>
      <c r="AI288" s="24">
        <f>IF(AI287&gt;0,ROUND(AI287+AH288-AG288,2),0)</f>
        <v>0</v>
      </c>
      <c r="AJ288" s="24">
        <f>IF(AI287&gt;0,ROUND(AJ287+ROUND(ROUND(AJ287*100,0)*ROUND(AG$7*10000,0)/12000000,0)/100+0.02,2),0)</f>
        <v>0</v>
      </c>
      <c r="AK288" s="24">
        <f>IF(AM287&gt;0,IF(AND(ROUND(AM287+AL288-ROUND(AK$6+IF(AK$5=$C288,$E$5+$E288,0),2),2)&gt;0,ROUND(AM287+AL288-ROUND(AK$6+IF(AK$5=$C288,$E$5+$E288,0),2),2)&lt;=AN288,ROUND(AM287+AL288-ROUND(AK$6+IF(AK$5=$C288,$E$5+$E288,0),2),2)*10&lt;=ROUND(AK$6+IF(AK$5=$C288,$E$5+$E288,0),2)),ROUND(AM287+AL288,2),MIN(ROUND(AK$6+IF(AK$5=$C288,$E$5+$E288,0),2),ROUND(AM287+AL288,2))),0)</f>
        <v>0</v>
      </c>
      <c r="AL288" s="24">
        <f>IF(AM287&gt;0,ROUND(ROUND(AM287*100,0)*ROUND(AK$7*10000,0)/12000000,0)/100,0)</f>
        <v>0</v>
      </c>
      <c r="AM288" s="24">
        <f>IF(AM287&gt;0,ROUND(AM287+AL288-AK288,2),0)</f>
        <v>0</v>
      </c>
      <c r="AN288" s="24">
        <f>IF(AM287&gt;0,ROUND(AN287+ROUND(ROUND(AN287*100,0)*ROUND(AK$7*10000,0)/12000000,0)/100+0.02,2),0)</f>
        <v>0</v>
      </c>
      <c r="AO288" s="24">
        <f>IF(AQ287&gt;0,IF(AND(ROUND(AQ287+AP288-ROUND(AO$6+IF(AO$5=$C288,$E$5+$E288,0),2),2)&gt;0,ROUND(AQ287+AP288-ROUND(AO$6+IF(AO$5=$C288,$E$5+$E288,0),2),2)&lt;=AR288,ROUND(AQ287+AP288-ROUND(AO$6+IF(AO$5=$C288,$E$5+$E288,0),2),2)*10&lt;=ROUND(AO$6+IF(AO$5=$C288,$E$5+$E288,0),2)),ROUND(AQ287+AP288,2),MIN(ROUND(AO$6+IF(AO$5=$C288,$E$5+$E288,0),2),ROUND(AQ287+AP288,2))),0)</f>
        <v>0</v>
      </c>
      <c r="AP288" s="24">
        <f>IF(AQ287&gt;0,ROUND(ROUND(AQ287*100,0)*ROUND(AO$7*10000,0)/12000000,0)/100,0)</f>
        <v>0</v>
      </c>
      <c r="AQ288" s="24">
        <f>IF(AQ287&gt;0,ROUND(AQ287+AP288-AO288,2),0)</f>
        <v>0</v>
      </c>
      <c r="AR288" s="24">
        <f>IF(AQ287&gt;0,ROUND(AR287+ROUND(ROUND(AR287*100,0)*ROUND(AO$7*10000,0)/12000000,0)/100+0.02,2),0)</f>
        <v>0</v>
      </c>
      <c r="AS288" s="24">
        <f>IF(AU287&gt;0,IF(AND(ROUND(AU287+AT288-ROUND(AS$6+IF(AS$5=$C288,$E$5+$E288,0),2),2)&gt;0,ROUND(AU287+AT288-ROUND(AS$6+IF(AS$5=$C288,$E$5+$E288,0),2),2)&lt;=AV288,ROUND(AU287+AT288-ROUND(AS$6+IF(AS$5=$C288,$E$5+$E288,0),2),2)*10&lt;=ROUND(AS$6+IF(AS$5=$C288,$E$5+$E288,0),2)),ROUND(AU287+AT288,2),MIN(ROUND(AS$6+IF(AS$5=$C288,$E$5+$E288,0),2),ROUND(AU287+AT288,2))),0)</f>
        <v>0</v>
      </c>
      <c r="AT288" s="24">
        <f>IF(AU287&gt;0,ROUND(ROUND(AU287*100,0)*ROUND(AS$7*10000,0)/12000000,0)/100,0)</f>
        <v>0</v>
      </c>
      <c r="AU288" s="24">
        <f>IF(AU287&gt;0,ROUND(AU287+AT288-AS288,2),0)</f>
        <v>0</v>
      </c>
      <c r="AV288" s="24">
        <f>IF(AU287&gt;0,ROUND(AV287+ROUND(ROUND(AV287*100,0)*ROUND(AS$7*10000,0)/12000000,0)/100+0.02,2),0)</f>
        <v>0</v>
      </c>
    </row>
    <row r="289" spans="1:48" x14ac:dyDescent="0.25">
      <c r="A289" s="17" t="str">
        <f>IF(F289&gt;0,279,"")</f>
        <v/>
      </c>
      <c r="B289" s="18" t="str">
        <f>IF(F289&gt;0,EDATE($E$6,279),"")</f>
        <v/>
      </c>
      <c r="C289" s="21">
        <f>IF(H288&gt;0,MIN(IF(K288&gt;0,I$5,99),IF(O288&gt;0,M$5,99),IF(S288&gt;0,Q$5,99),IF(W288&gt;0,U$5,99),IF(AA288&gt;0,Y$5,99),IF(AE288&gt;0,AC$5,99),IF(AI288&gt;0,AG$5,99),IF(AM288&gt;0,AK$5,99),IF(AQ288&gt;0,AO$5,99),IF(AU288&gt;0,AS$5,99)),0)</f>
        <v>0</v>
      </c>
      <c r="D289" t="str">
        <f>IF(C289&gt;0,INDEX($I$4:$AV$4,1,MATCH(C289,$I$5:$AV$5,0)),"")</f>
        <v/>
      </c>
      <c r="E289" s="24">
        <f>ROUND(IF(AND(I$8&gt;0,K288=0),I$6,0)+IF(AND(M$8&gt;0,O288=0),M$6,0)+IF(AND(Q$8&gt;0,S288=0),Q$6,0)+IF(AND(U$8&gt;0,W288=0),U$6,0)+IF(AND(Y$8&gt;0,AA288=0),Y$6,0)+IF(AND(AC$8&gt;0,AE288=0),AC$6,0)+IF(AND(AG$8&gt;0,AI288=0),AG$6,0)+IF(AND(AK$8&gt;0,AM288=0),AK$6,0)+IF(AND(AO$8&gt;0,AQ288=0),AO$6,0)+IF(AND(AS$8&gt;0,AU288=0),AS$6,0),2)</f>
        <v>325</v>
      </c>
      <c r="F289" s="24">
        <f>ROUND(I289+M289+Q289+U289+Y289+AC289+AG289+AK289+AO289+AS289,2)</f>
        <v>0</v>
      </c>
      <c r="G289" s="24">
        <f>ROUND(J289+N289+R289+V289+Z289+AD289+AH289+AL289+AP289+AT289,2)</f>
        <v>0</v>
      </c>
      <c r="H289" s="24">
        <f>ROUND(K289+O289+S289+W289+AA289+AE289+AI289+AM289+AQ289+AU289,2)</f>
        <v>0</v>
      </c>
      <c r="I289" s="24">
        <f>IF(K288&gt;0,IF(AND(ROUND(K288+J289-ROUND(I$6+IF(I$5=$C289,$E$5+$E289,0),2),2)&gt;0,ROUND(K288+J289-ROUND(I$6+IF(I$5=$C289,$E$5+$E289,0),2),2)&lt;=L289,ROUND(K288+J289-ROUND(I$6+IF(I$5=$C289,$E$5+$E289,0),2),2)*10&lt;=ROUND(I$6+IF(I$5=$C289,$E$5+$E289,0),2)),ROUND(K288+J289,2),MIN(ROUND(I$6+IF(I$5=$C289,$E$5+$E289,0),2),ROUND(K288+J289,2))),0)</f>
        <v>0</v>
      </c>
      <c r="J289" s="24">
        <f>IF(K288&gt;0,ROUND(ROUND(K288*100,0)*ROUND(I$7*10000,0)/12000000,0)/100,0)</f>
        <v>0</v>
      </c>
      <c r="K289" s="24">
        <f>IF(K288&gt;0,ROUND(K288+J289-I289,2),0)</f>
        <v>0</v>
      </c>
      <c r="L289" s="24">
        <f>IF(K288&gt;0,ROUND(L288+ROUND(ROUND(L288*100,0)*ROUND(I$7*10000,0)/12000000,0)/100+0.02,2),0)</f>
        <v>0</v>
      </c>
      <c r="M289" s="24">
        <f>IF(O288&gt;0,IF(AND(ROUND(O288+N289-ROUND(M$6+IF(M$5=$C289,$E$5+$E289,0),2),2)&gt;0,ROUND(O288+N289-ROUND(M$6+IF(M$5=$C289,$E$5+$E289,0),2),2)&lt;=P289,ROUND(O288+N289-ROUND(M$6+IF(M$5=$C289,$E$5+$E289,0),2),2)*10&lt;=ROUND(M$6+IF(M$5=$C289,$E$5+$E289,0),2)),ROUND(O288+N289,2),MIN(ROUND(M$6+IF(M$5=$C289,$E$5+$E289,0),2),ROUND(O288+N289,2))),0)</f>
        <v>0</v>
      </c>
      <c r="N289" s="24">
        <f>IF(O288&gt;0,ROUND(ROUND(O288*100,0)*ROUND(M$7*10000,0)/12000000,0)/100,0)</f>
        <v>0</v>
      </c>
      <c r="O289" s="24">
        <f>IF(O288&gt;0,ROUND(O288+N289-M289,2),0)</f>
        <v>0</v>
      </c>
      <c r="P289" s="24">
        <f>IF(O288&gt;0,ROUND(P288+ROUND(ROUND(P288*100,0)*ROUND(M$7*10000,0)/12000000,0)/100+0.02,2),0)</f>
        <v>0</v>
      </c>
      <c r="Q289" s="24">
        <f>IF(S288&gt;0,IF(AND(ROUND(S288+R289-ROUND(Q$6+IF(Q$5=$C289,$E$5+$E289,0),2),2)&gt;0,ROUND(S288+R289-ROUND(Q$6+IF(Q$5=$C289,$E$5+$E289,0),2),2)&lt;=T289,ROUND(S288+R289-ROUND(Q$6+IF(Q$5=$C289,$E$5+$E289,0),2),2)*10&lt;=ROUND(Q$6+IF(Q$5=$C289,$E$5+$E289,0),2)),ROUND(S288+R289,2),MIN(ROUND(Q$6+IF(Q$5=$C289,$E$5+$E289,0),2),ROUND(S288+R289,2))),0)</f>
        <v>0</v>
      </c>
      <c r="R289" s="24">
        <f>IF(S288&gt;0,ROUND(ROUND(S288*100,0)*ROUND(Q$7*10000,0)/12000000,0)/100,0)</f>
        <v>0</v>
      </c>
      <c r="S289" s="24">
        <f>IF(S288&gt;0,ROUND(S288+R289-Q289,2),0)</f>
        <v>0</v>
      </c>
      <c r="T289" s="24">
        <f>IF(S288&gt;0,ROUND(T288+ROUND(ROUND(T288*100,0)*ROUND(Q$7*10000,0)/12000000,0)/100+0.02,2),0)</f>
        <v>0</v>
      </c>
      <c r="U289" s="24">
        <f>IF(W288&gt;0,IF(AND(ROUND(W288+V289-ROUND(U$6+IF(U$5=$C289,$E$5+$E289,0),2),2)&gt;0,ROUND(W288+V289-ROUND(U$6+IF(U$5=$C289,$E$5+$E289,0),2),2)&lt;=X289,ROUND(W288+V289-ROUND(U$6+IF(U$5=$C289,$E$5+$E289,0),2),2)*10&lt;=ROUND(U$6+IF(U$5=$C289,$E$5+$E289,0),2)),ROUND(W288+V289,2),MIN(ROUND(U$6+IF(U$5=$C289,$E$5+$E289,0),2),ROUND(W288+V289,2))),0)</f>
        <v>0</v>
      </c>
      <c r="V289" s="24">
        <f>IF(W288&gt;0,ROUND(ROUND(W288*100,0)*ROUND(U$7*10000,0)/12000000,0)/100,0)</f>
        <v>0</v>
      </c>
      <c r="W289" s="24">
        <f>IF(W288&gt;0,ROUND(W288+V289-U289,2),0)</f>
        <v>0</v>
      </c>
      <c r="X289" s="24">
        <f>IF(W288&gt;0,ROUND(X288+ROUND(ROUND(X288*100,0)*ROUND(U$7*10000,0)/12000000,0)/100+0.02,2),0)</f>
        <v>0</v>
      </c>
      <c r="Y289" s="24">
        <f>IF(AA288&gt;0,IF(AND(ROUND(AA288+Z289-ROUND(Y$6+IF(Y$5=$C289,$E$5+$E289,0),2),2)&gt;0,ROUND(AA288+Z289-ROUND(Y$6+IF(Y$5=$C289,$E$5+$E289,0),2),2)&lt;=AB289,ROUND(AA288+Z289-ROUND(Y$6+IF(Y$5=$C289,$E$5+$E289,0),2),2)*10&lt;=ROUND(Y$6+IF(Y$5=$C289,$E$5+$E289,0),2)),ROUND(AA288+Z289,2),MIN(ROUND(Y$6+IF(Y$5=$C289,$E$5+$E289,0),2),ROUND(AA288+Z289,2))),0)</f>
        <v>0</v>
      </c>
      <c r="Z289" s="24">
        <f>IF(AA288&gt;0,ROUND(ROUND(AA288*100,0)*ROUND(Y$7*10000,0)/12000000,0)/100,0)</f>
        <v>0</v>
      </c>
      <c r="AA289" s="24">
        <f>IF(AA288&gt;0,ROUND(AA288+Z289-Y289,2),0)</f>
        <v>0</v>
      </c>
      <c r="AB289" s="24">
        <f>IF(AA288&gt;0,ROUND(AB288+ROUND(ROUND(AB288*100,0)*ROUND(Y$7*10000,0)/12000000,0)/100+0.02,2),0)</f>
        <v>0</v>
      </c>
      <c r="AC289" s="24">
        <f>IF(AE288&gt;0,IF(AND(ROUND(AE288+AD289-ROUND(AC$6+IF(AC$5=$C289,$E$5+$E289,0),2),2)&gt;0,ROUND(AE288+AD289-ROUND(AC$6+IF(AC$5=$C289,$E$5+$E289,0),2),2)&lt;=AF289,ROUND(AE288+AD289-ROUND(AC$6+IF(AC$5=$C289,$E$5+$E289,0),2),2)*10&lt;=ROUND(AC$6+IF(AC$5=$C289,$E$5+$E289,0),2)),ROUND(AE288+AD289,2),MIN(ROUND(AC$6+IF(AC$5=$C289,$E$5+$E289,0),2),ROUND(AE288+AD289,2))),0)</f>
        <v>0</v>
      </c>
      <c r="AD289" s="24">
        <f>IF(AE288&gt;0,ROUND(ROUND(AE288*100,0)*ROUND(AC$7*10000,0)/12000000,0)/100,0)</f>
        <v>0</v>
      </c>
      <c r="AE289" s="24">
        <f>IF(AE288&gt;0,ROUND(AE288+AD289-AC289,2),0)</f>
        <v>0</v>
      </c>
      <c r="AF289" s="24">
        <f>IF(AE288&gt;0,ROUND(AF288+ROUND(ROUND(AF288*100,0)*ROUND(AC$7*10000,0)/12000000,0)/100+0.02,2),0)</f>
        <v>0</v>
      </c>
      <c r="AG289" s="24">
        <f>IF(AI288&gt;0,IF(AND(ROUND(AI288+AH289-ROUND(AG$6+IF(AG$5=$C289,$E$5+$E289,0),2),2)&gt;0,ROUND(AI288+AH289-ROUND(AG$6+IF(AG$5=$C289,$E$5+$E289,0),2),2)&lt;=AJ289,ROUND(AI288+AH289-ROUND(AG$6+IF(AG$5=$C289,$E$5+$E289,0),2),2)*10&lt;=ROUND(AG$6+IF(AG$5=$C289,$E$5+$E289,0),2)),ROUND(AI288+AH289,2),MIN(ROUND(AG$6+IF(AG$5=$C289,$E$5+$E289,0),2),ROUND(AI288+AH289,2))),0)</f>
        <v>0</v>
      </c>
      <c r="AH289" s="24">
        <f>IF(AI288&gt;0,ROUND(ROUND(AI288*100,0)*ROUND(AG$7*10000,0)/12000000,0)/100,0)</f>
        <v>0</v>
      </c>
      <c r="AI289" s="24">
        <f>IF(AI288&gt;0,ROUND(AI288+AH289-AG289,2),0)</f>
        <v>0</v>
      </c>
      <c r="AJ289" s="24">
        <f>IF(AI288&gt;0,ROUND(AJ288+ROUND(ROUND(AJ288*100,0)*ROUND(AG$7*10000,0)/12000000,0)/100+0.02,2),0)</f>
        <v>0</v>
      </c>
      <c r="AK289" s="24">
        <f>IF(AM288&gt;0,IF(AND(ROUND(AM288+AL289-ROUND(AK$6+IF(AK$5=$C289,$E$5+$E289,0),2),2)&gt;0,ROUND(AM288+AL289-ROUND(AK$6+IF(AK$5=$C289,$E$5+$E289,0),2),2)&lt;=AN289,ROUND(AM288+AL289-ROUND(AK$6+IF(AK$5=$C289,$E$5+$E289,0),2),2)*10&lt;=ROUND(AK$6+IF(AK$5=$C289,$E$5+$E289,0),2)),ROUND(AM288+AL289,2),MIN(ROUND(AK$6+IF(AK$5=$C289,$E$5+$E289,0),2),ROUND(AM288+AL289,2))),0)</f>
        <v>0</v>
      </c>
      <c r="AL289" s="24">
        <f>IF(AM288&gt;0,ROUND(ROUND(AM288*100,0)*ROUND(AK$7*10000,0)/12000000,0)/100,0)</f>
        <v>0</v>
      </c>
      <c r="AM289" s="24">
        <f>IF(AM288&gt;0,ROUND(AM288+AL289-AK289,2),0)</f>
        <v>0</v>
      </c>
      <c r="AN289" s="24">
        <f>IF(AM288&gt;0,ROUND(AN288+ROUND(ROUND(AN288*100,0)*ROUND(AK$7*10000,0)/12000000,0)/100+0.02,2),0)</f>
        <v>0</v>
      </c>
      <c r="AO289" s="24">
        <f>IF(AQ288&gt;0,IF(AND(ROUND(AQ288+AP289-ROUND(AO$6+IF(AO$5=$C289,$E$5+$E289,0),2),2)&gt;0,ROUND(AQ288+AP289-ROUND(AO$6+IF(AO$5=$C289,$E$5+$E289,0),2),2)&lt;=AR289,ROUND(AQ288+AP289-ROUND(AO$6+IF(AO$5=$C289,$E$5+$E289,0),2),2)*10&lt;=ROUND(AO$6+IF(AO$5=$C289,$E$5+$E289,0),2)),ROUND(AQ288+AP289,2),MIN(ROUND(AO$6+IF(AO$5=$C289,$E$5+$E289,0),2),ROUND(AQ288+AP289,2))),0)</f>
        <v>0</v>
      </c>
      <c r="AP289" s="24">
        <f>IF(AQ288&gt;0,ROUND(ROUND(AQ288*100,0)*ROUND(AO$7*10000,0)/12000000,0)/100,0)</f>
        <v>0</v>
      </c>
      <c r="AQ289" s="24">
        <f>IF(AQ288&gt;0,ROUND(AQ288+AP289-AO289,2),0)</f>
        <v>0</v>
      </c>
      <c r="AR289" s="24">
        <f>IF(AQ288&gt;0,ROUND(AR288+ROUND(ROUND(AR288*100,0)*ROUND(AO$7*10000,0)/12000000,0)/100+0.02,2),0)</f>
        <v>0</v>
      </c>
      <c r="AS289" s="24">
        <f>IF(AU288&gt;0,IF(AND(ROUND(AU288+AT289-ROUND(AS$6+IF(AS$5=$C289,$E$5+$E289,0),2),2)&gt;0,ROUND(AU288+AT289-ROUND(AS$6+IF(AS$5=$C289,$E$5+$E289,0),2),2)&lt;=AV289,ROUND(AU288+AT289-ROUND(AS$6+IF(AS$5=$C289,$E$5+$E289,0),2),2)*10&lt;=ROUND(AS$6+IF(AS$5=$C289,$E$5+$E289,0),2)),ROUND(AU288+AT289,2),MIN(ROUND(AS$6+IF(AS$5=$C289,$E$5+$E289,0),2),ROUND(AU288+AT289,2))),0)</f>
        <v>0</v>
      </c>
      <c r="AT289" s="24">
        <f>IF(AU288&gt;0,ROUND(ROUND(AU288*100,0)*ROUND(AS$7*10000,0)/12000000,0)/100,0)</f>
        <v>0</v>
      </c>
      <c r="AU289" s="24">
        <f>IF(AU288&gt;0,ROUND(AU288+AT289-AS289,2),0)</f>
        <v>0</v>
      </c>
      <c r="AV289" s="24">
        <f>IF(AU288&gt;0,ROUND(AV288+ROUND(ROUND(AV288*100,0)*ROUND(AS$7*10000,0)/12000000,0)/100+0.02,2),0)</f>
        <v>0</v>
      </c>
    </row>
    <row r="290" spans="1:48" x14ac:dyDescent="0.25">
      <c r="A290" s="17" t="str">
        <f>IF(F290&gt;0,280,"")</f>
        <v/>
      </c>
      <c r="B290" s="18" t="str">
        <f>IF(F290&gt;0,EDATE($E$6,280),"")</f>
        <v/>
      </c>
      <c r="C290" s="21">
        <f>IF(H289&gt;0,MIN(IF(K289&gt;0,I$5,99),IF(O289&gt;0,M$5,99),IF(S289&gt;0,Q$5,99),IF(W289&gt;0,U$5,99),IF(AA289&gt;0,Y$5,99),IF(AE289&gt;0,AC$5,99),IF(AI289&gt;0,AG$5,99),IF(AM289&gt;0,AK$5,99),IF(AQ289&gt;0,AO$5,99),IF(AU289&gt;0,AS$5,99)),0)</f>
        <v>0</v>
      </c>
      <c r="D290" t="str">
        <f>IF(C290&gt;0,INDEX($I$4:$AV$4,1,MATCH(C290,$I$5:$AV$5,0)),"")</f>
        <v/>
      </c>
      <c r="E290" s="24">
        <f>ROUND(IF(AND(I$8&gt;0,K289=0),I$6,0)+IF(AND(M$8&gt;0,O289=0),M$6,0)+IF(AND(Q$8&gt;0,S289=0),Q$6,0)+IF(AND(U$8&gt;0,W289=0),U$6,0)+IF(AND(Y$8&gt;0,AA289=0),Y$6,0)+IF(AND(AC$8&gt;0,AE289=0),AC$6,0)+IF(AND(AG$8&gt;0,AI289=0),AG$6,0)+IF(AND(AK$8&gt;0,AM289=0),AK$6,0)+IF(AND(AO$8&gt;0,AQ289=0),AO$6,0)+IF(AND(AS$8&gt;0,AU289=0),AS$6,0),2)</f>
        <v>325</v>
      </c>
      <c r="F290" s="24">
        <f>ROUND(I290+M290+Q290+U290+Y290+AC290+AG290+AK290+AO290+AS290,2)</f>
        <v>0</v>
      </c>
      <c r="G290" s="24">
        <f>ROUND(J290+N290+R290+V290+Z290+AD290+AH290+AL290+AP290+AT290,2)</f>
        <v>0</v>
      </c>
      <c r="H290" s="24">
        <f>ROUND(K290+O290+S290+W290+AA290+AE290+AI290+AM290+AQ290+AU290,2)</f>
        <v>0</v>
      </c>
      <c r="I290" s="24">
        <f>IF(K289&gt;0,IF(AND(ROUND(K289+J290-ROUND(I$6+IF(I$5=$C290,$E$5+$E290,0),2),2)&gt;0,ROUND(K289+J290-ROUND(I$6+IF(I$5=$C290,$E$5+$E290,0),2),2)&lt;=L290,ROUND(K289+J290-ROUND(I$6+IF(I$5=$C290,$E$5+$E290,0),2),2)*10&lt;=ROUND(I$6+IF(I$5=$C290,$E$5+$E290,0),2)),ROUND(K289+J290,2),MIN(ROUND(I$6+IF(I$5=$C290,$E$5+$E290,0),2),ROUND(K289+J290,2))),0)</f>
        <v>0</v>
      </c>
      <c r="J290" s="24">
        <f>IF(K289&gt;0,ROUND(ROUND(K289*100,0)*ROUND(I$7*10000,0)/12000000,0)/100,0)</f>
        <v>0</v>
      </c>
      <c r="K290" s="24">
        <f>IF(K289&gt;0,ROUND(K289+J290-I290,2),0)</f>
        <v>0</v>
      </c>
      <c r="L290" s="24">
        <f>IF(K289&gt;0,ROUND(L289+ROUND(ROUND(L289*100,0)*ROUND(I$7*10000,0)/12000000,0)/100+0.02,2),0)</f>
        <v>0</v>
      </c>
      <c r="M290" s="24">
        <f>IF(O289&gt;0,IF(AND(ROUND(O289+N290-ROUND(M$6+IF(M$5=$C290,$E$5+$E290,0),2),2)&gt;0,ROUND(O289+N290-ROUND(M$6+IF(M$5=$C290,$E$5+$E290,0),2),2)&lt;=P290,ROUND(O289+N290-ROUND(M$6+IF(M$5=$C290,$E$5+$E290,0),2),2)*10&lt;=ROUND(M$6+IF(M$5=$C290,$E$5+$E290,0),2)),ROUND(O289+N290,2),MIN(ROUND(M$6+IF(M$5=$C290,$E$5+$E290,0),2),ROUND(O289+N290,2))),0)</f>
        <v>0</v>
      </c>
      <c r="N290" s="24">
        <f>IF(O289&gt;0,ROUND(ROUND(O289*100,0)*ROUND(M$7*10000,0)/12000000,0)/100,0)</f>
        <v>0</v>
      </c>
      <c r="O290" s="24">
        <f>IF(O289&gt;0,ROUND(O289+N290-M290,2),0)</f>
        <v>0</v>
      </c>
      <c r="P290" s="24">
        <f>IF(O289&gt;0,ROUND(P289+ROUND(ROUND(P289*100,0)*ROUND(M$7*10000,0)/12000000,0)/100+0.02,2),0)</f>
        <v>0</v>
      </c>
      <c r="Q290" s="24">
        <f>IF(S289&gt;0,IF(AND(ROUND(S289+R290-ROUND(Q$6+IF(Q$5=$C290,$E$5+$E290,0),2),2)&gt;0,ROUND(S289+R290-ROUND(Q$6+IF(Q$5=$C290,$E$5+$E290,0),2),2)&lt;=T290,ROUND(S289+R290-ROUND(Q$6+IF(Q$5=$C290,$E$5+$E290,0),2),2)*10&lt;=ROUND(Q$6+IF(Q$5=$C290,$E$5+$E290,0),2)),ROUND(S289+R290,2),MIN(ROUND(Q$6+IF(Q$5=$C290,$E$5+$E290,0),2),ROUND(S289+R290,2))),0)</f>
        <v>0</v>
      </c>
      <c r="R290" s="24">
        <f>IF(S289&gt;0,ROUND(ROUND(S289*100,0)*ROUND(Q$7*10000,0)/12000000,0)/100,0)</f>
        <v>0</v>
      </c>
      <c r="S290" s="24">
        <f>IF(S289&gt;0,ROUND(S289+R290-Q290,2),0)</f>
        <v>0</v>
      </c>
      <c r="T290" s="24">
        <f>IF(S289&gt;0,ROUND(T289+ROUND(ROUND(T289*100,0)*ROUND(Q$7*10000,0)/12000000,0)/100+0.02,2),0)</f>
        <v>0</v>
      </c>
      <c r="U290" s="24">
        <f>IF(W289&gt;0,IF(AND(ROUND(W289+V290-ROUND(U$6+IF(U$5=$C290,$E$5+$E290,0),2),2)&gt;0,ROUND(W289+V290-ROUND(U$6+IF(U$5=$C290,$E$5+$E290,0),2),2)&lt;=X290,ROUND(W289+V290-ROUND(U$6+IF(U$5=$C290,$E$5+$E290,0),2),2)*10&lt;=ROUND(U$6+IF(U$5=$C290,$E$5+$E290,0),2)),ROUND(W289+V290,2),MIN(ROUND(U$6+IF(U$5=$C290,$E$5+$E290,0),2),ROUND(W289+V290,2))),0)</f>
        <v>0</v>
      </c>
      <c r="V290" s="24">
        <f>IF(W289&gt;0,ROUND(ROUND(W289*100,0)*ROUND(U$7*10000,0)/12000000,0)/100,0)</f>
        <v>0</v>
      </c>
      <c r="W290" s="24">
        <f>IF(W289&gt;0,ROUND(W289+V290-U290,2),0)</f>
        <v>0</v>
      </c>
      <c r="X290" s="24">
        <f>IF(W289&gt;0,ROUND(X289+ROUND(ROUND(X289*100,0)*ROUND(U$7*10000,0)/12000000,0)/100+0.02,2),0)</f>
        <v>0</v>
      </c>
      <c r="Y290" s="24">
        <f>IF(AA289&gt;0,IF(AND(ROUND(AA289+Z290-ROUND(Y$6+IF(Y$5=$C290,$E$5+$E290,0),2),2)&gt;0,ROUND(AA289+Z290-ROUND(Y$6+IF(Y$5=$C290,$E$5+$E290,0),2),2)&lt;=AB290,ROUND(AA289+Z290-ROUND(Y$6+IF(Y$5=$C290,$E$5+$E290,0),2),2)*10&lt;=ROUND(Y$6+IF(Y$5=$C290,$E$5+$E290,0),2)),ROUND(AA289+Z290,2),MIN(ROUND(Y$6+IF(Y$5=$C290,$E$5+$E290,0),2),ROUND(AA289+Z290,2))),0)</f>
        <v>0</v>
      </c>
      <c r="Z290" s="24">
        <f>IF(AA289&gt;0,ROUND(ROUND(AA289*100,0)*ROUND(Y$7*10000,0)/12000000,0)/100,0)</f>
        <v>0</v>
      </c>
      <c r="AA290" s="24">
        <f>IF(AA289&gt;0,ROUND(AA289+Z290-Y290,2),0)</f>
        <v>0</v>
      </c>
      <c r="AB290" s="24">
        <f>IF(AA289&gt;0,ROUND(AB289+ROUND(ROUND(AB289*100,0)*ROUND(Y$7*10000,0)/12000000,0)/100+0.02,2),0)</f>
        <v>0</v>
      </c>
      <c r="AC290" s="24">
        <f>IF(AE289&gt;0,IF(AND(ROUND(AE289+AD290-ROUND(AC$6+IF(AC$5=$C290,$E$5+$E290,0),2),2)&gt;0,ROUND(AE289+AD290-ROUND(AC$6+IF(AC$5=$C290,$E$5+$E290,0),2),2)&lt;=AF290,ROUND(AE289+AD290-ROUND(AC$6+IF(AC$5=$C290,$E$5+$E290,0),2),2)*10&lt;=ROUND(AC$6+IF(AC$5=$C290,$E$5+$E290,0),2)),ROUND(AE289+AD290,2),MIN(ROUND(AC$6+IF(AC$5=$C290,$E$5+$E290,0),2),ROUND(AE289+AD290,2))),0)</f>
        <v>0</v>
      </c>
      <c r="AD290" s="24">
        <f>IF(AE289&gt;0,ROUND(ROUND(AE289*100,0)*ROUND(AC$7*10000,0)/12000000,0)/100,0)</f>
        <v>0</v>
      </c>
      <c r="AE290" s="24">
        <f>IF(AE289&gt;0,ROUND(AE289+AD290-AC290,2),0)</f>
        <v>0</v>
      </c>
      <c r="AF290" s="24">
        <f>IF(AE289&gt;0,ROUND(AF289+ROUND(ROUND(AF289*100,0)*ROUND(AC$7*10000,0)/12000000,0)/100+0.02,2),0)</f>
        <v>0</v>
      </c>
      <c r="AG290" s="24">
        <f>IF(AI289&gt;0,IF(AND(ROUND(AI289+AH290-ROUND(AG$6+IF(AG$5=$C290,$E$5+$E290,0),2),2)&gt;0,ROUND(AI289+AH290-ROUND(AG$6+IF(AG$5=$C290,$E$5+$E290,0),2),2)&lt;=AJ290,ROUND(AI289+AH290-ROUND(AG$6+IF(AG$5=$C290,$E$5+$E290,0),2),2)*10&lt;=ROUND(AG$6+IF(AG$5=$C290,$E$5+$E290,0),2)),ROUND(AI289+AH290,2),MIN(ROUND(AG$6+IF(AG$5=$C290,$E$5+$E290,0),2),ROUND(AI289+AH290,2))),0)</f>
        <v>0</v>
      </c>
      <c r="AH290" s="24">
        <f>IF(AI289&gt;0,ROUND(ROUND(AI289*100,0)*ROUND(AG$7*10000,0)/12000000,0)/100,0)</f>
        <v>0</v>
      </c>
      <c r="AI290" s="24">
        <f>IF(AI289&gt;0,ROUND(AI289+AH290-AG290,2),0)</f>
        <v>0</v>
      </c>
      <c r="AJ290" s="24">
        <f>IF(AI289&gt;0,ROUND(AJ289+ROUND(ROUND(AJ289*100,0)*ROUND(AG$7*10000,0)/12000000,0)/100+0.02,2),0)</f>
        <v>0</v>
      </c>
      <c r="AK290" s="24">
        <f>IF(AM289&gt;0,IF(AND(ROUND(AM289+AL290-ROUND(AK$6+IF(AK$5=$C290,$E$5+$E290,0),2),2)&gt;0,ROUND(AM289+AL290-ROUND(AK$6+IF(AK$5=$C290,$E$5+$E290,0),2),2)&lt;=AN290,ROUND(AM289+AL290-ROUND(AK$6+IF(AK$5=$C290,$E$5+$E290,0),2),2)*10&lt;=ROUND(AK$6+IF(AK$5=$C290,$E$5+$E290,0),2)),ROUND(AM289+AL290,2),MIN(ROUND(AK$6+IF(AK$5=$C290,$E$5+$E290,0),2),ROUND(AM289+AL290,2))),0)</f>
        <v>0</v>
      </c>
      <c r="AL290" s="24">
        <f>IF(AM289&gt;0,ROUND(ROUND(AM289*100,0)*ROUND(AK$7*10000,0)/12000000,0)/100,0)</f>
        <v>0</v>
      </c>
      <c r="AM290" s="24">
        <f>IF(AM289&gt;0,ROUND(AM289+AL290-AK290,2),0)</f>
        <v>0</v>
      </c>
      <c r="AN290" s="24">
        <f>IF(AM289&gt;0,ROUND(AN289+ROUND(ROUND(AN289*100,0)*ROUND(AK$7*10000,0)/12000000,0)/100+0.02,2),0)</f>
        <v>0</v>
      </c>
      <c r="AO290" s="24">
        <f>IF(AQ289&gt;0,IF(AND(ROUND(AQ289+AP290-ROUND(AO$6+IF(AO$5=$C290,$E$5+$E290,0),2),2)&gt;0,ROUND(AQ289+AP290-ROUND(AO$6+IF(AO$5=$C290,$E$5+$E290,0),2),2)&lt;=AR290,ROUND(AQ289+AP290-ROUND(AO$6+IF(AO$5=$C290,$E$5+$E290,0),2),2)*10&lt;=ROUND(AO$6+IF(AO$5=$C290,$E$5+$E290,0),2)),ROUND(AQ289+AP290,2),MIN(ROUND(AO$6+IF(AO$5=$C290,$E$5+$E290,0),2),ROUND(AQ289+AP290,2))),0)</f>
        <v>0</v>
      </c>
      <c r="AP290" s="24">
        <f>IF(AQ289&gt;0,ROUND(ROUND(AQ289*100,0)*ROUND(AO$7*10000,0)/12000000,0)/100,0)</f>
        <v>0</v>
      </c>
      <c r="AQ290" s="24">
        <f>IF(AQ289&gt;0,ROUND(AQ289+AP290-AO290,2),0)</f>
        <v>0</v>
      </c>
      <c r="AR290" s="24">
        <f>IF(AQ289&gt;0,ROUND(AR289+ROUND(ROUND(AR289*100,0)*ROUND(AO$7*10000,0)/12000000,0)/100+0.02,2),0)</f>
        <v>0</v>
      </c>
      <c r="AS290" s="24">
        <f>IF(AU289&gt;0,IF(AND(ROUND(AU289+AT290-ROUND(AS$6+IF(AS$5=$C290,$E$5+$E290,0),2),2)&gt;0,ROUND(AU289+AT290-ROUND(AS$6+IF(AS$5=$C290,$E$5+$E290,0),2),2)&lt;=AV290,ROUND(AU289+AT290-ROUND(AS$6+IF(AS$5=$C290,$E$5+$E290,0),2),2)*10&lt;=ROUND(AS$6+IF(AS$5=$C290,$E$5+$E290,0),2)),ROUND(AU289+AT290,2),MIN(ROUND(AS$6+IF(AS$5=$C290,$E$5+$E290,0),2),ROUND(AU289+AT290,2))),0)</f>
        <v>0</v>
      </c>
      <c r="AT290" s="24">
        <f>IF(AU289&gt;0,ROUND(ROUND(AU289*100,0)*ROUND(AS$7*10000,0)/12000000,0)/100,0)</f>
        <v>0</v>
      </c>
      <c r="AU290" s="24">
        <f>IF(AU289&gt;0,ROUND(AU289+AT290-AS290,2),0)</f>
        <v>0</v>
      </c>
      <c r="AV290" s="24">
        <f>IF(AU289&gt;0,ROUND(AV289+ROUND(ROUND(AV289*100,0)*ROUND(AS$7*10000,0)/12000000,0)/100+0.02,2),0)</f>
        <v>0</v>
      </c>
    </row>
    <row r="291" spans="1:48" x14ac:dyDescent="0.25">
      <c r="A291" s="17" t="str">
        <f>IF(F291&gt;0,281,"")</f>
        <v/>
      </c>
      <c r="B291" s="18" t="str">
        <f>IF(F291&gt;0,EDATE($E$6,281),"")</f>
        <v/>
      </c>
      <c r="C291" s="21">
        <f>IF(H290&gt;0,MIN(IF(K290&gt;0,I$5,99),IF(O290&gt;0,M$5,99),IF(S290&gt;0,Q$5,99),IF(W290&gt;0,U$5,99),IF(AA290&gt;0,Y$5,99),IF(AE290&gt;0,AC$5,99),IF(AI290&gt;0,AG$5,99),IF(AM290&gt;0,AK$5,99),IF(AQ290&gt;0,AO$5,99),IF(AU290&gt;0,AS$5,99)),0)</f>
        <v>0</v>
      </c>
      <c r="D291" t="str">
        <f>IF(C291&gt;0,INDEX($I$4:$AV$4,1,MATCH(C291,$I$5:$AV$5,0)),"")</f>
        <v/>
      </c>
      <c r="E291" s="24">
        <f>ROUND(IF(AND(I$8&gt;0,K290=0),I$6,0)+IF(AND(M$8&gt;0,O290=0),M$6,0)+IF(AND(Q$8&gt;0,S290=0),Q$6,0)+IF(AND(U$8&gt;0,W290=0),U$6,0)+IF(AND(Y$8&gt;0,AA290=0),Y$6,0)+IF(AND(AC$8&gt;0,AE290=0),AC$6,0)+IF(AND(AG$8&gt;0,AI290=0),AG$6,0)+IF(AND(AK$8&gt;0,AM290=0),AK$6,0)+IF(AND(AO$8&gt;0,AQ290=0),AO$6,0)+IF(AND(AS$8&gt;0,AU290=0),AS$6,0),2)</f>
        <v>325</v>
      </c>
      <c r="F291" s="24">
        <f>ROUND(I291+M291+Q291+U291+Y291+AC291+AG291+AK291+AO291+AS291,2)</f>
        <v>0</v>
      </c>
      <c r="G291" s="24">
        <f>ROUND(J291+N291+R291+V291+Z291+AD291+AH291+AL291+AP291+AT291,2)</f>
        <v>0</v>
      </c>
      <c r="H291" s="24">
        <f>ROUND(K291+O291+S291+W291+AA291+AE291+AI291+AM291+AQ291+AU291,2)</f>
        <v>0</v>
      </c>
      <c r="I291" s="24">
        <f>IF(K290&gt;0,IF(AND(ROUND(K290+J291-ROUND(I$6+IF(I$5=$C291,$E$5+$E291,0),2),2)&gt;0,ROUND(K290+J291-ROUND(I$6+IF(I$5=$C291,$E$5+$E291,0),2),2)&lt;=L291,ROUND(K290+J291-ROUND(I$6+IF(I$5=$C291,$E$5+$E291,0),2),2)*10&lt;=ROUND(I$6+IF(I$5=$C291,$E$5+$E291,0),2)),ROUND(K290+J291,2),MIN(ROUND(I$6+IF(I$5=$C291,$E$5+$E291,0),2),ROUND(K290+J291,2))),0)</f>
        <v>0</v>
      </c>
      <c r="J291" s="24">
        <f>IF(K290&gt;0,ROUND(ROUND(K290*100,0)*ROUND(I$7*10000,0)/12000000,0)/100,0)</f>
        <v>0</v>
      </c>
      <c r="K291" s="24">
        <f>IF(K290&gt;0,ROUND(K290+J291-I291,2),0)</f>
        <v>0</v>
      </c>
      <c r="L291" s="24">
        <f>IF(K290&gt;0,ROUND(L290+ROUND(ROUND(L290*100,0)*ROUND(I$7*10000,0)/12000000,0)/100+0.02,2),0)</f>
        <v>0</v>
      </c>
      <c r="M291" s="24">
        <f>IF(O290&gt;0,IF(AND(ROUND(O290+N291-ROUND(M$6+IF(M$5=$C291,$E$5+$E291,0),2),2)&gt;0,ROUND(O290+N291-ROUND(M$6+IF(M$5=$C291,$E$5+$E291,0),2),2)&lt;=P291,ROUND(O290+N291-ROUND(M$6+IF(M$5=$C291,$E$5+$E291,0),2),2)*10&lt;=ROUND(M$6+IF(M$5=$C291,$E$5+$E291,0),2)),ROUND(O290+N291,2),MIN(ROUND(M$6+IF(M$5=$C291,$E$5+$E291,0),2),ROUND(O290+N291,2))),0)</f>
        <v>0</v>
      </c>
      <c r="N291" s="24">
        <f>IF(O290&gt;0,ROUND(ROUND(O290*100,0)*ROUND(M$7*10000,0)/12000000,0)/100,0)</f>
        <v>0</v>
      </c>
      <c r="O291" s="24">
        <f>IF(O290&gt;0,ROUND(O290+N291-M291,2),0)</f>
        <v>0</v>
      </c>
      <c r="P291" s="24">
        <f>IF(O290&gt;0,ROUND(P290+ROUND(ROUND(P290*100,0)*ROUND(M$7*10000,0)/12000000,0)/100+0.02,2),0)</f>
        <v>0</v>
      </c>
      <c r="Q291" s="24">
        <f>IF(S290&gt;0,IF(AND(ROUND(S290+R291-ROUND(Q$6+IF(Q$5=$C291,$E$5+$E291,0),2),2)&gt;0,ROUND(S290+R291-ROUND(Q$6+IF(Q$5=$C291,$E$5+$E291,0),2),2)&lt;=T291,ROUND(S290+R291-ROUND(Q$6+IF(Q$5=$C291,$E$5+$E291,0),2),2)*10&lt;=ROUND(Q$6+IF(Q$5=$C291,$E$5+$E291,0),2)),ROUND(S290+R291,2),MIN(ROUND(Q$6+IF(Q$5=$C291,$E$5+$E291,0),2),ROUND(S290+R291,2))),0)</f>
        <v>0</v>
      </c>
      <c r="R291" s="24">
        <f>IF(S290&gt;0,ROUND(ROUND(S290*100,0)*ROUND(Q$7*10000,0)/12000000,0)/100,0)</f>
        <v>0</v>
      </c>
      <c r="S291" s="24">
        <f>IF(S290&gt;0,ROUND(S290+R291-Q291,2),0)</f>
        <v>0</v>
      </c>
      <c r="T291" s="24">
        <f>IF(S290&gt;0,ROUND(T290+ROUND(ROUND(T290*100,0)*ROUND(Q$7*10000,0)/12000000,0)/100+0.02,2),0)</f>
        <v>0</v>
      </c>
      <c r="U291" s="24">
        <f>IF(W290&gt;0,IF(AND(ROUND(W290+V291-ROUND(U$6+IF(U$5=$C291,$E$5+$E291,0),2),2)&gt;0,ROUND(W290+V291-ROUND(U$6+IF(U$5=$C291,$E$5+$E291,0),2),2)&lt;=X291,ROUND(W290+V291-ROUND(U$6+IF(U$5=$C291,$E$5+$E291,0),2),2)*10&lt;=ROUND(U$6+IF(U$5=$C291,$E$5+$E291,0),2)),ROUND(W290+V291,2),MIN(ROUND(U$6+IF(U$5=$C291,$E$5+$E291,0),2),ROUND(W290+V291,2))),0)</f>
        <v>0</v>
      </c>
      <c r="V291" s="24">
        <f>IF(W290&gt;0,ROUND(ROUND(W290*100,0)*ROUND(U$7*10000,0)/12000000,0)/100,0)</f>
        <v>0</v>
      </c>
      <c r="W291" s="24">
        <f>IF(W290&gt;0,ROUND(W290+V291-U291,2),0)</f>
        <v>0</v>
      </c>
      <c r="X291" s="24">
        <f>IF(W290&gt;0,ROUND(X290+ROUND(ROUND(X290*100,0)*ROUND(U$7*10000,0)/12000000,0)/100+0.02,2),0)</f>
        <v>0</v>
      </c>
      <c r="Y291" s="24">
        <f>IF(AA290&gt;0,IF(AND(ROUND(AA290+Z291-ROUND(Y$6+IF(Y$5=$C291,$E$5+$E291,0),2),2)&gt;0,ROUND(AA290+Z291-ROUND(Y$6+IF(Y$5=$C291,$E$5+$E291,0),2),2)&lt;=AB291,ROUND(AA290+Z291-ROUND(Y$6+IF(Y$5=$C291,$E$5+$E291,0),2),2)*10&lt;=ROUND(Y$6+IF(Y$5=$C291,$E$5+$E291,0),2)),ROUND(AA290+Z291,2),MIN(ROUND(Y$6+IF(Y$5=$C291,$E$5+$E291,0),2),ROUND(AA290+Z291,2))),0)</f>
        <v>0</v>
      </c>
      <c r="Z291" s="24">
        <f>IF(AA290&gt;0,ROUND(ROUND(AA290*100,0)*ROUND(Y$7*10000,0)/12000000,0)/100,0)</f>
        <v>0</v>
      </c>
      <c r="AA291" s="24">
        <f>IF(AA290&gt;0,ROUND(AA290+Z291-Y291,2),0)</f>
        <v>0</v>
      </c>
      <c r="AB291" s="24">
        <f>IF(AA290&gt;0,ROUND(AB290+ROUND(ROUND(AB290*100,0)*ROUND(Y$7*10000,0)/12000000,0)/100+0.02,2),0)</f>
        <v>0</v>
      </c>
      <c r="AC291" s="24">
        <f>IF(AE290&gt;0,IF(AND(ROUND(AE290+AD291-ROUND(AC$6+IF(AC$5=$C291,$E$5+$E291,0),2),2)&gt;0,ROUND(AE290+AD291-ROUND(AC$6+IF(AC$5=$C291,$E$5+$E291,0),2),2)&lt;=AF291,ROUND(AE290+AD291-ROUND(AC$6+IF(AC$5=$C291,$E$5+$E291,0),2),2)*10&lt;=ROUND(AC$6+IF(AC$5=$C291,$E$5+$E291,0),2)),ROUND(AE290+AD291,2),MIN(ROUND(AC$6+IF(AC$5=$C291,$E$5+$E291,0),2),ROUND(AE290+AD291,2))),0)</f>
        <v>0</v>
      </c>
      <c r="AD291" s="24">
        <f>IF(AE290&gt;0,ROUND(ROUND(AE290*100,0)*ROUND(AC$7*10000,0)/12000000,0)/100,0)</f>
        <v>0</v>
      </c>
      <c r="AE291" s="24">
        <f>IF(AE290&gt;0,ROUND(AE290+AD291-AC291,2),0)</f>
        <v>0</v>
      </c>
      <c r="AF291" s="24">
        <f>IF(AE290&gt;0,ROUND(AF290+ROUND(ROUND(AF290*100,0)*ROUND(AC$7*10000,0)/12000000,0)/100+0.02,2),0)</f>
        <v>0</v>
      </c>
      <c r="AG291" s="24">
        <f>IF(AI290&gt;0,IF(AND(ROUND(AI290+AH291-ROUND(AG$6+IF(AG$5=$C291,$E$5+$E291,0),2),2)&gt;0,ROUND(AI290+AH291-ROUND(AG$6+IF(AG$5=$C291,$E$5+$E291,0),2),2)&lt;=AJ291,ROUND(AI290+AH291-ROUND(AG$6+IF(AG$5=$C291,$E$5+$E291,0),2),2)*10&lt;=ROUND(AG$6+IF(AG$5=$C291,$E$5+$E291,0),2)),ROUND(AI290+AH291,2),MIN(ROUND(AG$6+IF(AG$5=$C291,$E$5+$E291,0),2),ROUND(AI290+AH291,2))),0)</f>
        <v>0</v>
      </c>
      <c r="AH291" s="24">
        <f>IF(AI290&gt;0,ROUND(ROUND(AI290*100,0)*ROUND(AG$7*10000,0)/12000000,0)/100,0)</f>
        <v>0</v>
      </c>
      <c r="AI291" s="24">
        <f>IF(AI290&gt;0,ROUND(AI290+AH291-AG291,2),0)</f>
        <v>0</v>
      </c>
      <c r="AJ291" s="24">
        <f>IF(AI290&gt;0,ROUND(AJ290+ROUND(ROUND(AJ290*100,0)*ROUND(AG$7*10000,0)/12000000,0)/100+0.02,2),0)</f>
        <v>0</v>
      </c>
      <c r="AK291" s="24">
        <f>IF(AM290&gt;0,IF(AND(ROUND(AM290+AL291-ROUND(AK$6+IF(AK$5=$C291,$E$5+$E291,0),2),2)&gt;0,ROUND(AM290+AL291-ROUND(AK$6+IF(AK$5=$C291,$E$5+$E291,0),2),2)&lt;=AN291,ROUND(AM290+AL291-ROUND(AK$6+IF(AK$5=$C291,$E$5+$E291,0),2),2)*10&lt;=ROUND(AK$6+IF(AK$5=$C291,$E$5+$E291,0),2)),ROUND(AM290+AL291,2),MIN(ROUND(AK$6+IF(AK$5=$C291,$E$5+$E291,0),2),ROUND(AM290+AL291,2))),0)</f>
        <v>0</v>
      </c>
      <c r="AL291" s="24">
        <f>IF(AM290&gt;0,ROUND(ROUND(AM290*100,0)*ROUND(AK$7*10000,0)/12000000,0)/100,0)</f>
        <v>0</v>
      </c>
      <c r="AM291" s="24">
        <f>IF(AM290&gt;0,ROUND(AM290+AL291-AK291,2),0)</f>
        <v>0</v>
      </c>
      <c r="AN291" s="24">
        <f>IF(AM290&gt;0,ROUND(AN290+ROUND(ROUND(AN290*100,0)*ROUND(AK$7*10000,0)/12000000,0)/100+0.02,2),0)</f>
        <v>0</v>
      </c>
      <c r="AO291" s="24">
        <f>IF(AQ290&gt;0,IF(AND(ROUND(AQ290+AP291-ROUND(AO$6+IF(AO$5=$C291,$E$5+$E291,0),2),2)&gt;0,ROUND(AQ290+AP291-ROUND(AO$6+IF(AO$5=$C291,$E$5+$E291,0),2),2)&lt;=AR291,ROUND(AQ290+AP291-ROUND(AO$6+IF(AO$5=$C291,$E$5+$E291,0),2),2)*10&lt;=ROUND(AO$6+IF(AO$5=$C291,$E$5+$E291,0),2)),ROUND(AQ290+AP291,2),MIN(ROUND(AO$6+IF(AO$5=$C291,$E$5+$E291,0),2),ROUND(AQ290+AP291,2))),0)</f>
        <v>0</v>
      </c>
      <c r="AP291" s="24">
        <f>IF(AQ290&gt;0,ROUND(ROUND(AQ290*100,0)*ROUND(AO$7*10000,0)/12000000,0)/100,0)</f>
        <v>0</v>
      </c>
      <c r="AQ291" s="24">
        <f>IF(AQ290&gt;0,ROUND(AQ290+AP291-AO291,2),0)</f>
        <v>0</v>
      </c>
      <c r="AR291" s="24">
        <f>IF(AQ290&gt;0,ROUND(AR290+ROUND(ROUND(AR290*100,0)*ROUND(AO$7*10000,0)/12000000,0)/100+0.02,2),0)</f>
        <v>0</v>
      </c>
      <c r="AS291" s="24">
        <f>IF(AU290&gt;0,IF(AND(ROUND(AU290+AT291-ROUND(AS$6+IF(AS$5=$C291,$E$5+$E291,0),2),2)&gt;0,ROUND(AU290+AT291-ROUND(AS$6+IF(AS$5=$C291,$E$5+$E291,0),2),2)&lt;=AV291,ROUND(AU290+AT291-ROUND(AS$6+IF(AS$5=$C291,$E$5+$E291,0),2),2)*10&lt;=ROUND(AS$6+IF(AS$5=$C291,$E$5+$E291,0),2)),ROUND(AU290+AT291,2),MIN(ROUND(AS$6+IF(AS$5=$C291,$E$5+$E291,0),2),ROUND(AU290+AT291,2))),0)</f>
        <v>0</v>
      </c>
      <c r="AT291" s="24">
        <f>IF(AU290&gt;0,ROUND(ROUND(AU290*100,0)*ROUND(AS$7*10000,0)/12000000,0)/100,0)</f>
        <v>0</v>
      </c>
      <c r="AU291" s="24">
        <f>IF(AU290&gt;0,ROUND(AU290+AT291-AS291,2),0)</f>
        <v>0</v>
      </c>
      <c r="AV291" s="24">
        <f>IF(AU290&gt;0,ROUND(AV290+ROUND(ROUND(AV290*100,0)*ROUND(AS$7*10000,0)/12000000,0)/100+0.02,2),0)</f>
        <v>0</v>
      </c>
    </row>
    <row r="292" spans="1:48" x14ac:dyDescent="0.25">
      <c r="A292" s="17" t="str">
        <f>IF(F292&gt;0,282,"")</f>
        <v/>
      </c>
      <c r="B292" s="18" t="str">
        <f>IF(F292&gt;0,EDATE($E$6,282),"")</f>
        <v/>
      </c>
      <c r="C292" s="21">
        <f>IF(H291&gt;0,MIN(IF(K291&gt;0,I$5,99),IF(O291&gt;0,M$5,99),IF(S291&gt;0,Q$5,99),IF(W291&gt;0,U$5,99),IF(AA291&gt;0,Y$5,99),IF(AE291&gt;0,AC$5,99),IF(AI291&gt;0,AG$5,99),IF(AM291&gt;0,AK$5,99),IF(AQ291&gt;0,AO$5,99),IF(AU291&gt;0,AS$5,99)),0)</f>
        <v>0</v>
      </c>
      <c r="D292" t="str">
        <f>IF(C292&gt;0,INDEX($I$4:$AV$4,1,MATCH(C292,$I$5:$AV$5,0)),"")</f>
        <v/>
      </c>
      <c r="E292" s="24">
        <f>ROUND(IF(AND(I$8&gt;0,K291=0),I$6,0)+IF(AND(M$8&gt;0,O291=0),M$6,0)+IF(AND(Q$8&gt;0,S291=0),Q$6,0)+IF(AND(U$8&gt;0,W291=0),U$6,0)+IF(AND(Y$8&gt;0,AA291=0),Y$6,0)+IF(AND(AC$8&gt;0,AE291=0),AC$6,0)+IF(AND(AG$8&gt;0,AI291=0),AG$6,0)+IF(AND(AK$8&gt;0,AM291=0),AK$6,0)+IF(AND(AO$8&gt;0,AQ291=0),AO$6,0)+IF(AND(AS$8&gt;0,AU291=0),AS$6,0),2)</f>
        <v>325</v>
      </c>
      <c r="F292" s="24">
        <f>ROUND(I292+M292+Q292+U292+Y292+AC292+AG292+AK292+AO292+AS292,2)</f>
        <v>0</v>
      </c>
      <c r="G292" s="24">
        <f>ROUND(J292+N292+R292+V292+Z292+AD292+AH292+AL292+AP292+AT292,2)</f>
        <v>0</v>
      </c>
      <c r="H292" s="24">
        <f>ROUND(K292+O292+S292+W292+AA292+AE292+AI292+AM292+AQ292+AU292,2)</f>
        <v>0</v>
      </c>
      <c r="I292" s="24">
        <f>IF(K291&gt;0,IF(AND(ROUND(K291+J292-ROUND(I$6+IF(I$5=$C292,$E$5+$E292,0),2),2)&gt;0,ROUND(K291+J292-ROUND(I$6+IF(I$5=$C292,$E$5+$E292,0),2),2)&lt;=L292,ROUND(K291+J292-ROUND(I$6+IF(I$5=$C292,$E$5+$E292,0),2),2)*10&lt;=ROUND(I$6+IF(I$5=$C292,$E$5+$E292,0),2)),ROUND(K291+J292,2),MIN(ROUND(I$6+IF(I$5=$C292,$E$5+$E292,0),2),ROUND(K291+J292,2))),0)</f>
        <v>0</v>
      </c>
      <c r="J292" s="24">
        <f>IF(K291&gt;0,ROUND(ROUND(K291*100,0)*ROUND(I$7*10000,0)/12000000,0)/100,0)</f>
        <v>0</v>
      </c>
      <c r="K292" s="24">
        <f>IF(K291&gt;0,ROUND(K291+J292-I292,2),0)</f>
        <v>0</v>
      </c>
      <c r="L292" s="24">
        <f>IF(K291&gt;0,ROUND(L291+ROUND(ROUND(L291*100,0)*ROUND(I$7*10000,0)/12000000,0)/100+0.02,2),0)</f>
        <v>0</v>
      </c>
      <c r="M292" s="24">
        <f>IF(O291&gt;0,IF(AND(ROUND(O291+N292-ROUND(M$6+IF(M$5=$C292,$E$5+$E292,0),2),2)&gt;0,ROUND(O291+N292-ROUND(M$6+IF(M$5=$C292,$E$5+$E292,0),2),2)&lt;=P292,ROUND(O291+N292-ROUND(M$6+IF(M$5=$C292,$E$5+$E292,0),2),2)*10&lt;=ROUND(M$6+IF(M$5=$C292,$E$5+$E292,0),2)),ROUND(O291+N292,2),MIN(ROUND(M$6+IF(M$5=$C292,$E$5+$E292,0),2),ROUND(O291+N292,2))),0)</f>
        <v>0</v>
      </c>
      <c r="N292" s="24">
        <f>IF(O291&gt;0,ROUND(ROUND(O291*100,0)*ROUND(M$7*10000,0)/12000000,0)/100,0)</f>
        <v>0</v>
      </c>
      <c r="O292" s="24">
        <f>IF(O291&gt;0,ROUND(O291+N292-M292,2),0)</f>
        <v>0</v>
      </c>
      <c r="P292" s="24">
        <f>IF(O291&gt;0,ROUND(P291+ROUND(ROUND(P291*100,0)*ROUND(M$7*10000,0)/12000000,0)/100+0.02,2),0)</f>
        <v>0</v>
      </c>
      <c r="Q292" s="24">
        <f>IF(S291&gt;0,IF(AND(ROUND(S291+R292-ROUND(Q$6+IF(Q$5=$C292,$E$5+$E292,0),2),2)&gt;0,ROUND(S291+R292-ROUND(Q$6+IF(Q$5=$C292,$E$5+$E292,0),2),2)&lt;=T292,ROUND(S291+R292-ROUND(Q$6+IF(Q$5=$C292,$E$5+$E292,0),2),2)*10&lt;=ROUND(Q$6+IF(Q$5=$C292,$E$5+$E292,0),2)),ROUND(S291+R292,2),MIN(ROUND(Q$6+IF(Q$5=$C292,$E$5+$E292,0),2),ROUND(S291+R292,2))),0)</f>
        <v>0</v>
      </c>
      <c r="R292" s="24">
        <f>IF(S291&gt;0,ROUND(ROUND(S291*100,0)*ROUND(Q$7*10000,0)/12000000,0)/100,0)</f>
        <v>0</v>
      </c>
      <c r="S292" s="24">
        <f>IF(S291&gt;0,ROUND(S291+R292-Q292,2),0)</f>
        <v>0</v>
      </c>
      <c r="T292" s="24">
        <f>IF(S291&gt;0,ROUND(T291+ROUND(ROUND(T291*100,0)*ROUND(Q$7*10000,0)/12000000,0)/100+0.02,2),0)</f>
        <v>0</v>
      </c>
      <c r="U292" s="24">
        <f>IF(W291&gt;0,IF(AND(ROUND(W291+V292-ROUND(U$6+IF(U$5=$C292,$E$5+$E292,0),2),2)&gt;0,ROUND(W291+V292-ROUND(U$6+IF(U$5=$C292,$E$5+$E292,0),2),2)&lt;=X292,ROUND(W291+V292-ROUND(U$6+IF(U$5=$C292,$E$5+$E292,0),2),2)*10&lt;=ROUND(U$6+IF(U$5=$C292,$E$5+$E292,0),2)),ROUND(W291+V292,2),MIN(ROUND(U$6+IF(U$5=$C292,$E$5+$E292,0),2),ROUND(W291+V292,2))),0)</f>
        <v>0</v>
      </c>
      <c r="V292" s="24">
        <f>IF(W291&gt;0,ROUND(ROUND(W291*100,0)*ROUND(U$7*10000,0)/12000000,0)/100,0)</f>
        <v>0</v>
      </c>
      <c r="W292" s="24">
        <f>IF(W291&gt;0,ROUND(W291+V292-U292,2),0)</f>
        <v>0</v>
      </c>
      <c r="X292" s="24">
        <f>IF(W291&gt;0,ROUND(X291+ROUND(ROUND(X291*100,0)*ROUND(U$7*10000,0)/12000000,0)/100+0.02,2),0)</f>
        <v>0</v>
      </c>
      <c r="Y292" s="24">
        <f>IF(AA291&gt;0,IF(AND(ROUND(AA291+Z292-ROUND(Y$6+IF(Y$5=$C292,$E$5+$E292,0),2),2)&gt;0,ROUND(AA291+Z292-ROUND(Y$6+IF(Y$5=$C292,$E$5+$E292,0),2),2)&lt;=AB292,ROUND(AA291+Z292-ROUND(Y$6+IF(Y$5=$C292,$E$5+$E292,0),2),2)*10&lt;=ROUND(Y$6+IF(Y$5=$C292,$E$5+$E292,0),2)),ROUND(AA291+Z292,2),MIN(ROUND(Y$6+IF(Y$5=$C292,$E$5+$E292,0),2),ROUND(AA291+Z292,2))),0)</f>
        <v>0</v>
      </c>
      <c r="Z292" s="24">
        <f>IF(AA291&gt;0,ROUND(ROUND(AA291*100,0)*ROUND(Y$7*10000,0)/12000000,0)/100,0)</f>
        <v>0</v>
      </c>
      <c r="AA292" s="24">
        <f>IF(AA291&gt;0,ROUND(AA291+Z292-Y292,2),0)</f>
        <v>0</v>
      </c>
      <c r="AB292" s="24">
        <f>IF(AA291&gt;0,ROUND(AB291+ROUND(ROUND(AB291*100,0)*ROUND(Y$7*10000,0)/12000000,0)/100+0.02,2),0)</f>
        <v>0</v>
      </c>
      <c r="AC292" s="24">
        <f>IF(AE291&gt;0,IF(AND(ROUND(AE291+AD292-ROUND(AC$6+IF(AC$5=$C292,$E$5+$E292,0),2),2)&gt;0,ROUND(AE291+AD292-ROUND(AC$6+IF(AC$5=$C292,$E$5+$E292,0),2),2)&lt;=AF292,ROUND(AE291+AD292-ROUND(AC$6+IF(AC$5=$C292,$E$5+$E292,0),2),2)*10&lt;=ROUND(AC$6+IF(AC$5=$C292,$E$5+$E292,0),2)),ROUND(AE291+AD292,2),MIN(ROUND(AC$6+IF(AC$5=$C292,$E$5+$E292,0),2),ROUND(AE291+AD292,2))),0)</f>
        <v>0</v>
      </c>
      <c r="AD292" s="24">
        <f>IF(AE291&gt;0,ROUND(ROUND(AE291*100,0)*ROUND(AC$7*10000,0)/12000000,0)/100,0)</f>
        <v>0</v>
      </c>
      <c r="AE292" s="24">
        <f>IF(AE291&gt;0,ROUND(AE291+AD292-AC292,2),0)</f>
        <v>0</v>
      </c>
      <c r="AF292" s="24">
        <f>IF(AE291&gt;0,ROUND(AF291+ROUND(ROUND(AF291*100,0)*ROUND(AC$7*10000,0)/12000000,0)/100+0.02,2),0)</f>
        <v>0</v>
      </c>
      <c r="AG292" s="24">
        <f>IF(AI291&gt;0,IF(AND(ROUND(AI291+AH292-ROUND(AG$6+IF(AG$5=$C292,$E$5+$E292,0),2),2)&gt;0,ROUND(AI291+AH292-ROUND(AG$6+IF(AG$5=$C292,$E$5+$E292,0),2),2)&lt;=AJ292,ROUND(AI291+AH292-ROUND(AG$6+IF(AG$5=$C292,$E$5+$E292,0),2),2)*10&lt;=ROUND(AG$6+IF(AG$5=$C292,$E$5+$E292,0),2)),ROUND(AI291+AH292,2),MIN(ROUND(AG$6+IF(AG$5=$C292,$E$5+$E292,0),2),ROUND(AI291+AH292,2))),0)</f>
        <v>0</v>
      </c>
      <c r="AH292" s="24">
        <f>IF(AI291&gt;0,ROUND(ROUND(AI291*100,0)*ROUND(AG$7*10000,0)/12000000,0)/100,0)</f>
        <v>0</v>
      </c>
      <c r="AI292" s="24">
        <f>IF(AI291&gt;0,ROUND(AI291+AH292-AG292,2),0)</f>
        <v>0</v>
      </c>
      <c r="AJ292" s="24">
        <f>IF(AI291&gt;0,ROUND(AJ291+ROUND(ROUND(AJ291*100,0)*ROUND(AG$7*10000,0)/12000000,0)/100+0.02,2),0)</f>
        <v>0</v>
      </c>
      <c r="AK292" s="24">
        <f>IF(AM291&gt;0,IF(AND(ROUND(AM291+AL292-ROUND(AK$6+IF(AK$5=$C292,$E$5+$E292,0),2),2)&gt;0,ROUND(AM291+AL292-ROUND(AK$6+IF(AK$5=$C292,$E$5+$E292,0),2),2)&lt;=AN292,ROUND(AM291+AL292-ROUND(AK$6+IF(AK$5=$C292,$E$5+$E292,0),2),2)*10&lt;=ROUND(AK$6+IF(AK$5=$C292,$E$5+$E292,0),2)),ROUND(AM291+AL292,2),MIN(ROUND(AK$6+IF(AK$5=$C292,$E$5+$E292,0),2),ROUND(AM291+AL292,2))),0)</f>
        <v>0</v>
      </c>
      <c r="AL292" s="24">
        <f>IF(AM291&gt;0,ROUND(ROUND(AM291*100,0)*ROUND(AK$7*10000,0)/12000000,0)/100,0)</f>
        <v>0</v>
      </c>
      <c r="AM292" s="24">
        <f>IF(AM291&gt;0,ROUND(AM291+AL292-AK292,2),0)</f>
        <v>0</v>
      </c>
      <c r="AN292" s="24">
        <f>IF(AM291&gt;0,ROUND(AN291+ROUND(ROUND(AN291*100,0)*ROUND(AK$7*10000,0)/12000000,0)/100+0.02,2),0)</f>
        <v>0</v>
      </c>
      <c r="AO292" s="24">
        <f>IF(AQ291&gt;0,IF(AND(ROUND(AQ291+AP292-ROUND(AO$6+IF(AO$5=$C292,$E$5+$E292,0),2),2)&gt;0,ROUND(AQ291+AP292-ROUND(AO$6+IF(AO$5=$C292,$E$5+$E292,0),2),2)&lt;=AR292,ROUND(AQ291+AP292-ROUND(AO$6+IF(AO$5=$C292,$E$5+$E292,0),2),2)*10&lt;=ROUND(AO$6+IF(AO$5=$C292,$E$5+$E292,0),2)),ROUND(AQ291+AP292,2),MIN(ROUND(AO$6+IF(AO$5=$C292,$E$5+$E292,0),2),ROUND(AQ291+AP292,2))),0)</f>
        <v>0</v>
      </c>
      <c r="AP292" s="24">
        <f>IF(AQ291&gt;0,ROUND(ROUND(AQ291*100,0)*ROUND(AO$7*10000,0)/12000000,0)/100,0)</f>
        <v>0</v>
      </c>
      <c r="AQ292" s="24">
        <f>IF(AQ291&gt;0,ROUND(AQ291+AP292-AO292,2),0)</f>
        <v>0</v>
      </c>
      <c r="AR292" s="24">
        <f>IF(AQ291&gt;0,ROUND(AR291+ROUND(ROUND(AR291*100,0)*ROUND(AO$7*10000,0)/12000000,0)/100+0.02,2),0)</f>
        <v>0</v>
      </c>
      <c r="AS292" s="24">
        <f>IF(AU291&gt;0,IF(AND(ROUND(AU291+AT292-ROUND(AS$6+IF(AS$5=$C292,$E$5+$E292,0),2),2)&gt;0,ROUND(AU291+AT292-ROUND(AS$6+IF(AS$5=$C292,$E$5+$E292,0),2),2)&lt;=AV292,ROUND(AU291+AT292-ROUND(AS$6+IF(AS$5=$C292,$E$5+$E292,0),2),2)*10&lt;=ROUND(AS$6+IF(AS$5=$C292,$E$5+$E292,0),2)),ROUND(AU291+AT292,2),MIN(ROUND(AS$6+IF(AS$5=$C292,$E$5+$E292,0),2),ROUND(AU291+AT292,2))),0)</f>
        <v>0</v>
      </c>
      <c r="AT292" s="24">
        <f>IF(AU291&gt;0,ROUND(ROUND(AU291*100,0)*ROUND(AS$7*10000,0)/12000000,0)/100,0)</f>
        <v>0</v>
      </c>
      <c r="AU292" s="24">
        <f>IF(AU291&gt;0,ROUND(AU291+AT292-AS292,2),0)</f>
        <v>0</v>
      </c>
      <c r="AV292" s="24">
        <f>IF(AU291&gt;0,ROUND(AV291+ROUND(ROUND(AV291*100,0)*ROUND(AS$7*10000,0)/12000000,0)/100+0.02,2),0)</f>
        <v>0</v>
      </c>
    </row>
    <row r="293" spans="1:48" x14ac:dyDescent="0.25">
      <c r="A293" s="17" t="str">
        <f>IF(F293&gt;0,283,"")</f>
        <v/>
      </c>
      <c r="B293" s="18" t="str">
        <f>IF(F293&gt;0,EDATE($E$6,283),"")</f>
        <v/>
      </c>
      <c r="C293" s="21">
        <f>IF(H292&gt;0,MIN(IF(K292&gt;0,I$5,99),IF(O292&gt;0,M$5,99),IF(S292&gt;0,Q$5,99),IF(W292&gt;0,U$5,99),IF(AA292&gt;0,Y$5,99),IF(AE292&gt;0,AC$5,99),IF(AI292&gt;0,AG$5,99),IF(AM292&gt;0,AK$5,99),IF(AQ292&gt;0,AO$5,99),IF(AU292&gt;0,AS$5,99)),0)</f>
        <v>0</v>
      </c>
      <c r="D293" t="str">
        <f>IF(C293&gt;0,INDEX($I$4:$AV$4,1,MATCH(C293,$I$5:$AV$5,0)),"")</f>
        <v/>
      </c>
      <c r="E293" s="24">
        <f>ROUND(IF(AND(I$8&gt;0,K292=0),I$6,0)+IF(AND(M$8&gt;0,O292=0),M$6,0)+IF(AND(Q$8&gt;0,S292=0),Q$6,0)+IF(AND(U$8&gt;0,W292=0),U$6,0)+IF(AND(Y$8&gt;0,AA292=0),Y$6,0)+IF(AND(AC$8&gt;0,AE292=0),AC$6,0)+IF(AND(AG$8&gt;0,AI292=0),AG$6,0)+IF(AND(AK$8&gt;0,AM292=0),AK$6,0)+IF(AND(AO$8&gt;0,AQ292=0),AO$6,0)+IF(AND(AS$8&gt;0,AU292=0),AS$6,0),2)</f>
        <v>325</v>
      </c>
      <c r="F293" s="24">
        <f>ROUND(I293+M293+Q293+U293+Y293+AC293+AG293+AK293+AO293+AS293,2)</f>
        <v>0</v>
      </c>
      <c r="G293" s="24">
        <f>ROUND(J293+N293+R293+V293+Z293+AD293+AH293+AL293+AP293+AT293,2)</f>
        <v>0</v>
      </c>
      <c r="H293" s="24">
        <f>ROUND(K293+O293+S293+W293+AA293+AE293+AI293+AM293+AQ293+AU293,2)</f>
        <v>0</v>
      </c>
      <c r="I293" s="24">
        <f>IF(K292&gt;0,IF(AND(ROUND(K292+J293-ROUND(I$6+IF(I$5=$C293,$E$5+$E293,0),2),2)&gt;0,ROUND(K292+J293-ROUND(I$6+IF(I$5=$C293,$E$5+$E293,0),2),2)&lt;=L293,ROUND(K292+J293-ROUND(I$6+IF(I$5=$C293,$E$5+$E293,0),2),2)*10&lt;=ROUND(I$6+IF(I$5=$C293,$E$5+$E293,0),2)),ROUND(K292+J293,2),MIN(ROUND(I$6+IF(I$5=$C293,$E$5+$E293,0),2),ROUND(K292+J293,2))),0)</f>
        <v>0</v>
      </c>
      <c r="J293" s="24">
        <f>IF(K292&gt;0,ROUND(ROUND(K292*100,0)*ROUND(I$7*10000,0)/12000000,0)/100,0)</f>
        <v>0</v>
      </c>
      <c r="K293" s="24">
        <f>IF(K292&gt;0,ROUND(K292+J293-I293,2),0)</f>
        <v>0</v>
      </c>
      <c r="L293" s="24">
        <f>IF(K292&gt;0,ROUND(L292+ROUND(ROUND(L292*100,0)*ROUND(I$7*10000,0)/12000000,0)/100+0.02,2),0)</f>
        <v>0</v>
      </c>
      <c r="M293" s="24">
        <f>IF(O292&gt;0,IF(AND(ROUND(O292+N293-ROUND(M$6+IF(M$5=$C293,$E$5+$E293,0),2),2)&gt;0,ROUND(O292+N293-ROUND(M$6+IF(M$5=$C293,$E$5+$E293,0),2),2)&lt;=P293,ROUND(O292+N293-ROUND(M$6+IF(M$5=$C293,$E$5+$E293,0),2),2)*10&lt;=ROUND(M$6+IF(M$5=$C293,$E$5+$E293,0),2)),ROUND(O292+N293,2),MIN(ROUND(M$6+IF(M$5=$C293,$E$5+$E293,0),2),ROUND(O292+N293,2))),0)</f>
        <v>0</v>
      </c>
      <c r="N293" s="24">
        <f>IF(O292&gt;0,ROUND(ROUND(O292*100,0)*ROUND(M$7*10000,0)/12000000,0)/100,0)</f>
        <v>0</v>
      </c>
      <c r="O293" s="24">
        <f>IF(O292&gt;0,ROUND(O292+N293-M293,2),0)</f>
        <v>0</v>
      </c>
      <c r="P293" s="24">
        <f>IF(O292&gt;0,ROUND(P292+ROUND(ROUND(P292*100,0)*ROUND(M$7*10000,0)/12000000,0)/100+0.02,2),0)</f>
        <v>0</v>
      </c>
      <c r="Q293" s="24">
        <f>IF(S292&gt;0,IF(AND(ROUND(S292+R293-ROUND(Q$6+IF(Q$5=$C293,$E$5+$E293,0),2),2)&gt;0,ROUND(S292+R293-ROUND(Q$6+IF(Q$5=$C293,$E$5+$E293,0),2),2)&lt;=T293,ROUND(S292+R293-ROUND(Q$6+IF(Q$5=$C293,$E$5+$E293,0),2),2)*10&lt;=ROUND(Q$6+IF(Q$5=$C293,$E$5+$E293,0),2)),ROUND(S292+R293,2),MIN(ROUND(Q$6+IF(Q$5=$C293,$E$5+$E293,0),2),ROUND(S292+R293,2))),0)</f>
        <v>0</v>
      </c>
      <c r="R293" s="24">
        <f>IF(S292&gt;0,ROUND(ROUND(S292*100,0)*ROUND(Q$7*10000,0)/12000000,0)/100,0)</f>
        <v>0</v>
      </c>
      <c r="S293" s="24">
        <f>IF(S292&gt;0,ROUND(S292+R293-Q293,2),0)</f>
        <v>0</v>
      </c>
      <c r="T293" s="24">
        <f>IF(S292&gt;0,ROUND(T292+ROUND(ROUND(T292*100,0)*ROUND(Q$7*10000,0)/12000000,0)/100+0.02,2),0)</f>
        <v>0</v>
      </c>
      <c r="U293" s="24">
        <f>IF(W292&gt;0,IF(AND(ROUND(W292+V293-ROUND(U$6+IF(U$5=$C293,$E$5+$E293,0),2),2)&gt;0,ROUND(W292+V293-ROUND(U$6+IF(U$5=$C293,$E$5+$E293,0),2),2)&lt;=X293,ROUND(W292+V293-ROUND(U$6+IF(U$5=$C293,$E$5+$E293,0),2),2)*10&lt;=ROUND(U$6+IF(U$5=$C293,$E$5+$E293,0),2)),ROUND(W292+V293,2),MIN(ROUND(U$6+IF(U$5=$C293,$E$5+$E293,0),2),ROUND(W292+V293,2))),0)</f>
        <v>0</v>
      </c>
      <c r="V293" s="24">
        <f>IF(W292&gt;0,ROUND(ROUND(W292*100,0)*ROUND(U$7*10000,0)/12000000,0)/100,0)</f>
        <v>0</v>
      </c>
      <c r="W293" s="24">
        <f>IF(W292&gt;0,ROUND(W292+V293-U293,2),0)</f>
        <v>0</v>
      </c>
      <c r="X293" s="24">
        <f>IF(W292&gt;0,ROUND(X292+ROUND(ROUND(X292*100,0)*ROUND(U$7*10000,0)/12000000,0)/100+0.02,2),0)</f>
        <v>0</v>
      </c>
      <c r="Y293" s="24">
        <f>IF(AA292&gt;0,IF(AND(ROUND(AA292+Z293-ROUND(Y$6+IF(Y$5=$C293,$E$5+$E293,0),2),2)&gt;0,ROUND(AA292+Z293-ROUND(Y$6+IF(Y$5=$C293,$E$5+$E293,0),2),2)&lt;=AB293,ROUND(AA292+Z293-ROUND(Y$6+IF(Y$5=$C293,$E$5+$E293,0),2),2)*10&lt;=ROUND(Y$6+IF(Y$5=$C293,$E$5+$E293,0),2)),ROUND(AA292+Z293,2),MIN(ROUND(Y$6+IF(Y$5=$C293,$E$5+$E293,0),2),ROUND(AA292+Z293,2))),0)</f>
        <v>0</v>
      </c>
      <c r="Z293" s="24">
        <f>IF(AA292&gt;0,ROUND(ROUND(AA292*100,0)*ROUND(Y$7*10000,0)/12000000,0)/100,0)</f>
        <v>0</v>
      </c>
      <c r="AA293" s="24">
        <f>IF(AA292&gt;0,ROUND(AA292+Z293-Y293,2),0)</f>
        <v>0</v>
      </c>
      <c r="AB293" s="24">
        <f>IF(AA292&gt;0,ROUND(AB292+ROUND(ROUND(AB292*100,0)*ROUND(Y$7*10000,0)/12000000,0)/100+0.02,2),0)</f>
        <v>0</v>
      </c>
      <c r="AC293" s="24">
        <f>IF(AE292&gt;0,IF(AND(ROUND(AE292+AD293-ROUND(AC$6+IF(AC$5=$C293,$E$5+$E293,0),2),2)&gt;0,ROUND(AE292+AD293-ROUND(AC$6+IF(AC$5=$C293,$E$5+$E293,0),2),2)&lt;=AF293,ROUND(AE292+AD293-ROUND(AC$6+IF(AC$5=$C293,$E$5+$E293,0),2),2)*10&lt;=ROUND(AC$6+IF(AC$5=$C293,$E$5+$E293,0),2)),ROUND(AE292+AD293,2),MIN(ROUND(AC$6+IF(AC$5=$C293,$E$5+$E293,0),2),ROUND(AE292+AD293,2))),0)</f>
        <v>0</v>
      </c>
      <c r="AD293" s="24">
        <f>IF(AE292&gt;0,ROUND(ROUND(AE292*100,0)*ROUND(AC$7*10000,0)/12000000,0)/100,0)</f>
        <v>0</v>
      </c>
      <c r="AE293" s="24">
        <f>IF(AE292&gt;0,ROUND(AE292+AD293-AC293,2),0)</f>
        <v>0</v>
      </c>
      <c r="AF293" s="24">
        <f>IF(AE292&gt;0,ROUND(AF292+ROUND(ROUND(AF292*100,0)*ROUND(AC$7*10000,0)/12000000,0)/100+0.02,2),0)</f>
        <v>0</v>
      </c>
      <c r="AG293" s="24">
        <f>IF(AI292&gt;0,IF(AND(ROUND(AI292+AH293-ROUND(AG$6+IF(AG$5=$C293,$E$5+$E293,0),2),2)&gt;0,ROUND(AI292+AH293-ROUND(AG$6+IF(AG$5=$C293,$E$5+$E293,0),2),2)&lt;=AJ293,ROUND(AI292+AH293-ROUND(AG$6+IF(AG$5=$C293,$E$5+$E293,0),2),2)*10&lt;=ROUND(AG$6+IF(AG$5=$C293,$E$5+$E293,0),2)),ROUND(AI292+AH293,2),MIN(ROUND(AG$6+IF(AG$5=$C293,$E$5+$E293,0),2),ROUND(AI292+AH293,2))),0)</f>
        <v>0</v>
      </c>
      <c r="AH293" s="24">
        <f>IF(AI292&gt;0,ROUND(ROUND(AI292*100,0)*ROUND(AG$7*10000,0)/12000000,0)/100,0)</f>
        <v>0</v>
      </c>
      <c r="AI293" s="24">
        <f>IF(AI292&gt;0,ROUND(AI292+AH293-AG293,2),0)</f>
        <v>0</v>
      </c>
      <c r="AJ293" s="24">
        <f>IF(AI292&gt;0,ROUND(AJ292+ROUND(ROUND(AJ292*100,0)*ROUND(AG$7*10000,0)/12000000,0)/100+0.02,2),0)</f>
        <v>0</v>
      </c>
      <c r="AK293" s="24">
        <f>IF(AM292&gt;0,IF(AND(ROUND(AM292+AL293-ROUND(AK$6+IF(AK$5=$C293,$E$5+$E293,0),2),2)&gt;0,ROUND(AM292+AL293-ROUND(AK$6+IF(AK$5=$C293,$E$5+$E293,0),2),2)&lt;=AN293,ROUND(AM292+AL293-ROUND(AK$6+IF(AK$5=$C293,$E$5+$E293,0),2),2)*10&lt;=ROUND(AK$6+IF(AK$5=$C293,$E$5+$E293,0),2)),ROUND(AM292+AL293,2),MIN(ROUND(AK$6+IF(AK$5=$C293,$E$5+$E293,0),2),ROUND(AM292+AL293,2))),0)</f>
        <v>0</v>
      </c>
      <c r="AL293" s="24">
        <f>IF(AM292&gt;0,ROUND(ROUND(AM292*100,0)*ROUND(AK$7*10000,0)/12000000,0)/100,0)</f>
        <v>0</v>
      </c>
      <c r="AM293" s="24">
        <f>IF(AM292&gt;0,ROUND(AM292+AL293-AK293,2),0)</f>
        <v>0</v>
      </c>
      <c r="AN293" s="24">
        <f>IF(AM292&gt;0,ROUND(AN292+ROUND(ROUND(AN292*100,0)*ROUND(AK$7*10000,0)/12000000,0)/100+0.02,2),0)</f>
        <v>0</v>
      </c>
      <c r="AO293" s="24">
        <f>IF(AQ292&gt;0,IF(AND(ROUND(AQ292+AP293-ROUND(AO$6+IF(AO$5=$C293,$E$5+$E293,0),2),2)&gt;0,ROUND(AQ292+AP293-ROUND(AO$6+IF(AO$5=$C293,$E$5+$E293,0),2),2)&lt;=AR293,ROUND(AQ292+AP293-ROUND(AO$6+IF(AO$5=$C293,$E$5+$E293,0),2),2)*10&lt;=ROUND(AO$6+IF(AO$5=$C293,$E$5+$E293,0),2)),ROUND(AQ292+AP293,2),MIN(ROUND(AO$6+IF(AO$5=$C293,$E$5+$E293,0),2),ROUND(AQ292+AP293,2))),0)</f>
        <v>0</v>
      </c>
      <c r="AP293" s="24">
        <f>IF(AQ292&gt;0,ROUND(ROUND(AQ292*100,0)*ROUND(AO$7*10000,0)/12000000,0)/100,0)</f>
        <v>0</v>
      </c>
      <c r="AQ293" s="24">
        <f>IF(AQ292&gt;0,ROUND(AQ292+AP293-AO293,2),0)</f>
        <v>0</v>
      </c>
      <c r="AR293" s="24">
        <f>IF(AQ292&gt;0,ROUND(AR292+ROUND(ROUND(AR292*100,0)*ROUND(AO$7*10000,0)/12000000,0)/100+0.02,2),0)</f>
        <v>0</v>
      </c>
      <c r="AS293" s="24">
        <f>IF(AU292&gt;0,IF(AND(ROUND(AU292+AT293-ROUND(AS$6+IF(AS$5=$C293,$E$5+$E293,0),2),2)&gt;0,ROUND(AU292+AT293-ROUND(AS$6+IF(AS$5=$C293,$E$5+$E293,0),2),2)&lt;=AV293,ROUND(AU292+AT293-ROUND(AS$6+IF(AS$5=$C293,$E$5+$E293,0),2),2)*10&lt;=ROUND(AS$6+IF(AS$5=$C293,$E$5+$E293,0),2)),ROUND(AU292+AT293,2),MIN(ROUND(AS$6+IF(AS$5=$C293,$E$5+$E293,0),2),ROUND(AU292+AT293,2))),0)</f>
        <v>0</v>
      </c>
      <c r="AT293" s="24">
        <f>IF(AU292&gt;0,ROUND(ROUND(AU292*100,0)*ROUND(AS$7*10000,0)/12000000,0)/100,0)</f>
        <v>0</v>
      </c>
      <c r="AU293" s="24">
        <f>IF(AU292&gt;0,ROUND(AU292+AT293-AS293,2),0)</f>
        <v>0</v>
      </c>
      <c r="AV293" s="24">
        <f>IF(AU292&gt;0,ROUND(AV292+ROUND(ROUND(AV292*100,0)*ROUND(AS$7*10000,0)/12000000,0)/100+0.02,2),0)</f>
        <v>0</v>
      </c>
    </row>
    <row r="294" spans="1:48" x14ac:dyDescent="0.25">
      <c r="A294" s="17" t="str">
        <f>IF(F294&gt;0,284,"")</f>
        <v/>
      </c>
      <c r="B294" s="18" t="str">
        <f>IF(F294&gt;0,EDATE($E$6,284),"")</f>
        <v/>
      </c>
      <c r="C294" s="21">
        <f>IF(H293&gt;0,MIN(IF(K293&gt;0,I$5,99),IF(O293&gt;0,M$5,99),IF(S293&gt;0,Q$5,99),IF(W293&gt;0,U$5,99),IF(AA293&gt;0,Y$5,99),IF(AE293&gt;0,AC$5,99),IF(AI293&gt;0,AG$5,99),IF(AM293&gt;0,AK$5,99),IF(AQ293&gt;0,AO$5,99),IF(AU293&gt;0,AS$5,99)),0)</f>
        <v>0</v>
      </c>
      <c r="D294" t="str">
        <f>IF(C294&gt;0,INDEX($I$4:$AV$4,1,MATCH(C294,$I$5:$AV$5,0)),"")</f>
        <v/>
      </c>
      <c r="E294" s="24">
        <f>ROUND(IF(AND(I$8&gt;0,K293=0),I$6,0)+IF(AND(M$8&gt;0,O293=0),M$6,0)+IF(AND(Q$8&gt;0,S293=0),Q$6,0)+IF(AND(U$8&gt;0,W293=0),U$6,0)+IF(AND(Y$8&gt;0,AA293=0),Y$6,0)+IF(AND(AC$8&gt;0,AE293=0),AC$6,0)+IF(AND(AG$8&gt;0,AI293=0),AG$6,0)+IF(AND(AK$8&gt;0,AM293=0),AK$6,0)+IF(AND(AO$8&gt;0,AQ293=0),AO$6,0)+IF(AND(AS$8&gt;0,AU293=0),AS$6,0),2)</f>
        <v>325</v>
      </c>
      <c r="F294" s="24">
        <f>ROUND(I294+M294+Q294+U294+Y294+AC294+AG294+AK294+AO294+AS294,2)</f>
        <v>0</v>
      </c>
      <c r="G294" s="24">
        <f>ROUND(J294+N294+R294+V294+Z294+AD294+AH294+AL294+AP294+AT294,2)</f>
        <v>0</v>
      </c>
      <c r="H294" s="24">
        <f>ROUND(K294+O294+S294+W294+AA294+AE294+AI294+AM294+AQ294+AU294,2)</f>
        <v>0</v>
      </c>
      <c r="I294" s="24">
        <f>IF(K293&gt;0,IF(AND(ROUND(K293+J294-ROUND(I$6+IF(I$5=$C294,$E$5+$E294,0),2),2)&gt;0,ROUND(K293+J294-ROUND(I$6+IF(I$5=$C294,$E$5+$E294,0),2),2)&lt;=L294,ROUND(K293+J294-ROUND(I$6+IF(I$5=$C294,$E$5+$E294,0),2),2)*10&lt;=ROUND(I$6+IF(I$5=$C294,$E$5+$E294,0),2)),ROUND(K293+J294,2),MIN(ROUND(I$6+IF(I$5=$C294,$E$5+$E294,0),2),ROUND(K293+J294,2))),0)</f>
        <v>0</v>
      </c>
      <c r="J294" s="24">
        <f>IF(K293&gt;0,ROUND(ROUND(K293*100,0)*ROUND(I$7*10000,0)/12000000,0)/100,0)</f>
        <v>0</v>
      </c>
      <c r="K294" s="24">
        <f>IF(K293&gt;0,ROUND(K293+J294-I294,2),0)</f>
        <v>0</v>
      </c>
      <c r="L294" s="24">
        <f>IF(K293&gt;0,ROUND(L293+ROUND(ROUND(L293*100,0)*ROUND(I$7*10000,0)/12000000,0)/100+0.02,2),0)</f>
        <v>0</v>
      </c>
      <c r="M294" s="24">
        <f>IF(O293&gt;0,IF(AND(ROUND(O293+N294-ROUND(M$6+IF(M$5=$C294,$E$5+$E294,0),2),2)&gt;0,ROUND(O293+N294-ROUND(M$6+IF(M$5=$C294,$E$5+$E294,0),2),2)&lt;=P294,ROUND(O293+N294-ROUND(M$6+IF(M$5=$C294,$E$5+$E294,0),2),2)*10&lt;=ROUND(M$6+IF(M$5=$C294,$E$5+$E294,0),2)),ROUND(O293+N294,2),MIN(ROUND(M$6+IF(M$5=$C294,$E$5+$E294,0),2),ROUND(O293+N294,2))),0)</f>
        <v>0</v>
      </c>
      <c r="N294" s="24">
        <f>IF(O293&gt;0,ROUND(ROUND(O293*100,0)*ROUND(M$7*10000,0)/12000000,0)/100,0)</f>
        <v>0</v>
      </c>
      <c r="O294" s="24">
        <f>IF(O293&gt;0,ROUND(O293+N294-M294,2),0)</f>
        <v>0</v>
      </c>
      <c r="P294" s="24">
        <f>IF(O293&gt;0,ROUND(P293+ROUND(ROUND(P293*100,0)*ROUND(M$7*10000,0)/12000000,0)/100+0.02,2),0)</f>
        <v>0</v>
      </c>
      <c r="Q294" s="24">
        <f>IF(S293&gt;0,IF(AND(ROUND(S293+R294-ROUND(Q$6+IF(Q$5=$C294,$E$5+$E294,0),2),2)&gt;0,ROUND(S293+R294-ROUND(Q$6+IF(Q$5=$C294,$E$5+$E294,0),2),2)&lt;=T294,ROUND(S293+R294-ROUND(Q$6+IF(Q$5=$C294,$E$5+$E294,0),2),2)*10&lt;=ROUND(Q$6+IF(Q$5=$C294,$E$5+$E294,0),2)),ROUND(S293+R294,2),MIN(ROUND(Q$6+IF(Q$5=$C294,$E$5+$E294,0),2),ROUND(S293+R294,2))),0)</f>
        <v>0</v>
      </c>
      <c r="R294" s="24">
        <f>IF(S293&gt;0,ROUND(ROUND(S293*100,0)*ROUND(Q$7*10000,0)/12000000,0)/100,0)</f>
        <v>0</v>
      </c>
      <c r="S294" s="24">
        <f>IF(S293&gt;0,ROUND(S293+R294-Q294,2),0)</f>
        <v>0</v>
      </c>
      <c r="T294" s="24">
        <f>IF(S293&gt;0,ROUND(T293+ROUND(ROUND(T293*100,0)*ROUND(Q$7*10000,0)/12000000,0)/100+0.02,2),0)</f>
        <v>0</v>
      </c>
      <c r="U294" s="24">
        <f>IF(W293&gt;0,IF(AND(ROUND(W293+V294-ROUND(U$6+IF(U$5=$C294,$E$5+$E294,0),2),2)&gt;0,ROUND(W293+V294-ROUND(U$6+IF(U$5=$C294,$E$5+$E294,0),2),2)&lt;=X294,ROUND(W293+V294-ROUND(U$6+IF(U$5=$C294,$E$5+$E294,0),2),2)*10&lt;=ROUND(U$6+IF(U$5=$C294,$E$5+$E294,0),2)),ROUND(W293+V294,2),MIN(ROUND(U$6+IF(U$5=$C294,$E$5+$E294,0),2),ROUND(W293+V294,2))),0)</f>
        <v>0</v>
      </c>
      <c r="V294" s="24">
        <f>IF(W293&gt;0,ROUND(ROUND(W293*100,0)*ROUND(U$7*10000,0)/12000000,0)/100,0)</f>
        <v>0</v>
      </c>
      <c r="W294" s="24">
        <f>IF(W293&gt;0,ROUND(W293+V294-U294,2),0)</f>
        <v>0</v>
      </c>
      <c r="X294" s="24">
        <f>IF(W293&gt;0,ROUND(X293+ROUND(ROUND(X293*100,0)*ROUND(U$7*10000,0)/12000000,0)/100+0.02,2),0)</f>
        <v>0</v>
      </c>
      <c r="Y294" s="24">
        <f>IF(AA293&gt;0,IF(AND(ROUND(AA293+Z294-ROUND(Y$6+IF(Y$5=$C294,$E$5+$E294,0),2),2)&gt;0,ROUND(AA293+Z294-ROUND(Y$6+IF(Y$5=$C294,$E$5+$E294,0),2),2)&lt;=AB294,ROUND(AA293+Z294-ROUND(Y$6+IF(Y$5=$C294,$E$5+$E294,0),2),2)*10&lt;=ROUND(Y$6+IF(Y$5=$C294,$E$5+$E294,0),2)),ROUND(AA293+Z294,2),MIN(ROUND(Y$6+IF(Y$5=$C294,$E$5+$E294,0),2),ROUND(AA293+Z294,2))),0)</f>
        <v>0</v>
      </c>
      <c r="Z294" s="24">
        <f>IF(AA293&gt;0,ROUND(ROUND(AA293*100,0)*ROUND(Y$7*10000,0)/12000000,0)/100,0)</f>
        <v>0</v>
      </c>
      <c r="AA294" s="24">
        <f>IF(AA293&gt;0,ROUND(AA293+Z294-Y294,2),0)</f>
        <v>0</v>
      </c>
      <c r="AB294" s="24">
        <f>IF(AA293&gt;0,ROUND(AB293+ROUND(ROUND(AB293*100,0)*ROUND(Y$7*10000,0)/12000000,0)/100+0.02,2),0)</f>
        <v>0</v>
      </c>
      <c r="AC294" s="24">
        <f>IF(AE293&gt;0,IF(AND(ROUND(AE293+AD294-ROUND(AC$6+IF(AC$5=$C294,$E$5+$E294,0),2),2)&gt;0,ROUND(AE293+AD294-ROUND(AC$6+IF(AC$5=$C294,$E$5+$E294,0),2),2)&lt;=AF294,ROUND(AE293+AD294-ROUND(AC$6+IF(AC$5=$C294,$E$5+$E294,0),2),2)*10&lt;=ROUND(AC$6+IF(AC$5=$C294,$E$5+$E294,0),2)),ROUND(AE293+AD294,2),MIN(ROUND(AC$6+IF(AC$5=$C294,$E$5+$E294,0),2),ROUND(AE293+AD294,2))),0)</f>
        <v>0</v>
      </c>
      <c r="AD294" s="24">
        <f>IF(AE293&gt;0,ROUND(ROUND(AE293*100,0)*ROUND(AC$7*10000,0)/12000000,0)/100,0)</f>
        <v>0</v>
      </c>
      <c r="AE294" s="24">
        <f>IF(AE293&gt;0,ROUND(AE293+AD294-AC294,2),0)</f>
        <v>0</v>
      </c>
      <c r="AF294" s="24">
        <f>IF(AE293&gt;0,ROUND(AF293+ROUND(ROUND(AF293*100,0)*ROUND(AC$7*10000,0)/12000000,0)/100+0.02,2),0)</f>
        <v>0</v>
      </c>
      <c r="AG294" s="24">
        <f>IF(AI293&gt;0,IF(AND(ROUND(AI293+AH294-ROUND(AG$6+IF(AG$5=$C294,$E$5+$E294,0),2),2)&gt;0,ROUND(AI293+AH294-ROUND(AG$6+IF(AG$5=$C294,$E$5+$E294,0),2),2)&lt;=AJ294,ROUND(AI293+AH294-ROUND(AG$6+IF(AG$5=$C294,$E$5+$E294,0),2),2)*10&lt;=ROUND(AG$6+IF(AG$5=$C294,$E$5+$E294,0),2)),ROUND(AI293+AH294,2),MIN(ROUND(AG$6+IF(AG$5=$C294,$E$5+$E294,0),2),ROUND(AI293+AH294,2))),0)</f>
        <v>0</v>
      </c>
      <c r="AH294" s="24">
        <f>IF(AI293&gt;0,ROUND(ROUND(AI293*100,0)*ROUND(AG$7*10000,0)/12000000,0)/100,0)</f>
        <v>0</v>
      </c>
      <c r="AI294" s="24">
        <f>IF(AI293&gt;0,ROUND(AI293+AH294-AG294,2),0)</f>
        <v>0</v>
      </c>
      <c r="AJ294" s="24">
        <f>IF(AI293&gt;0,ROUND(AJ293+ROUND(ROUND(AJ293*100,0)*ROUND(AG$7*10000,0)/12000000,0)/100+0.02,2),0)</f>
        <v>0</v>
      </c>
      <c r="AK294" s="24">
        <f>IF(AM293&gt;0,IF(AND(ROUND(AM293+AL294-ROUND(AK$6+IF(AK$5=$C294,$E$5+$E294,0),2),2)&gt;0,ROUND(AM293+AL294-ROUND(AK$6+IF(AK$5=$C294,$E$5+$E294,0),2),2)&lt;=AN294,ROUND(AM293+AL294-ROUND(AK$6+IF(AK$5=$C294,$E$5+$E294,0),2),2)*10&lt;=ROUND(AK$6+IF(AK$5=$C294,$E$5+$E294,0),2)),ROUND(AM293+AL294,2),MIN(ROUND(AK$6+IF(AK$5=$C294,$E$5+$E294,0),2),ROUND(AM293+AL294,2))),0)</f>
        <v>0</v>
      </c>
      <c r="AL294" s="24">
        <f>IF(AM293&gt;0,ROUND(ROUND(AM293*100,0)*ROUND(AK$7*10000,0)/12000000,0)/100,0)</f>
        <v>0</v>
      </c>
      <c r="AM294" s="24">
        <f>IF(AM293&gt;0,ROUND(AM293+AL294-AK294,2),0)</f>
        <v>0</v>
      </c>
      <c r="AN294" s="24">
        <f>IF(AM293&gt;0,ROUND(AN293+ROUND(ROUND(AN293*100,0)*ROUND(AK$7*10000,0)/12000000,0)/100+0.02,2),0)</f>
        <v>0</v>
      </c>
      <c r="AO294" s="24">
        <f>IF(AQ293&gt;0,IF(AND(ROUND(AQ293+AP294-ROUND(AO$6+IF(AO$5=$C294,$E$5+$E294,0),2),2)&gt;0,ROUND(AQ293+AP294-ROUND(AO$6+IF(AO$5=$C294,$E$5+$E294,0),2),2)&lt;=AR294,ROUND(AQ293+AP294-ROUND(AO$6+IF(AO$5=$C294,$E$5+$E294,0),2),2)*10&lt;=ROUND(AO$6+IF(AO$5=$C294,$E$5+$E294,0),2)),ROUND(AQ293+AP294,2),MIN(ROUND(AO$6+IF(AO$5=$C294,$E$5+$E294,0),2),ROUND(AQ293+AP294,2))),0)</f>
        <v>0</v>
      </c>
      <c r="AP294" s="24">
        <f>IF(AQ293&gt;0,ROUND(ROUND(AQ293*100,0)*ROUND(AO$7*10000,0)/12000000,0)/100,0)</f>
        <v>0</v>
      </c>
      <c r="AQ294" s="24">
        <f>IF(AQ293&gt;0,ROUND(AQ293+AP294-AO294,2),0)</f>
        <v>0</v>
      </c>
      <c r="AR294" s="24">
        <f>IF(AQ293&gt;0,ROUND(AR293+ROUND(ROUND(AR293*100,0)*ROUND(AO$7*10000,0)/12000000,0)/100+0.02,2),0)</f>
        <v>0</v>
      </c>
      <c r="AS294" s="24">
        <f>IF(AU293&gt;0,IF(AND(ROUND(AU293+AT294-ROUND(AS$6+IF(AS$5=$C294,$E$5+$E294,0),2),2)&gt;0,ROUND(AU293+AT294-ROUND(AS$6+IF(AS$5=$C294,$E$5+$E294,0),2),2)&lt;=AV294,ROUND(AU293+AT294-ROUND(AS$6+IF(AS$5=$C294,$E$5+$E294,0),2),2)*10&lt;=ROUND(AS$6+IF(AS$5=$C294,$E$5+$E294,0),2)),ROUND(AU293+AT294,2),MIN(ROUND(AS$6+IF(AS$5=$C294,$E$5+$E294,0),2),ROUND(AU293+AT294,2))),0)</f>
        <v>0</v>
      </c>
      <c r="AT294" s="24">
        <f>IF(AU293&gt;0,ROUND(ROUND(AU293*100,0)*ROUND(AS$7*10000,0)/12000000,0)/100,0)</f>
        <v>0</v>
      </c>
      <c r="AU294" s="24">
        <f>IF(AU293&gt;0,ROUND(AU293+AT294-AS294,2),0)</f>
        <v>0</v>
      </c>
      <c r="AV294" s="24">
        <f>IF(AU293&gt;0,ROUND(AV293+ROUND(ROUND(AV293*100,0)*ROUND(AS$7*10000,0)/12000000,0)/100+0.02,2),0)</f>
        <v>0</v>
      </c>
    </row>
    <row r="295" spans="1:48" x14ac:dyDescent="0.25">
      <c r="A295" s="17" t="str">
        <f>IF(F295&gt;0,285,"")</f>
        <v/>
      </c>
      <c r="B295" s="18" t="str">
        <f>IF(F295&gt;0,EDATE($E$6,285),"")</f>
        <v/>
      </c>
      <c r="C295" s="21">
        <f>IF(H294&gt;0,MIN(IF(K294&gt;0,I$5,99),IF(O294&gt;0,M$5,99),IF(S294&gt;0,Q$5,99),IF(W294&gt;0,U$5,99),IF(AA294&gt;0,Y$5,99),IF(AE294&gt;0,AC$5,99),IF(AI294&gt;0,AG$5,99),IF(AM294&gt;0,AK$5,99),IF(AQ294&gt;0,AO$5,99),IF(AU294&gt;0,AS$5,99)),0)</f>
        <v>0</v>
      </c>
      <c r="D295" t="str">
        <f>IF(C295&gt;0,INDEX($I$4:$AV$4,1,MATCH(C295,$I$5:$AV$5,0)),"")</f>
        <v/>
      </c>
      <c r="E295" s="24">
        <f>ROUND(IF(AND(I$8&gt;0,K294=0),I$6,0)+IF(AND(M$8&gt;0,O294=0),M$6,0)+IF(AND(Q$8&gt;0,S294=0),Q$6,0)+IF(AND(U$8&gt;0,W294=0),U$6,0)+IF(AND(Y$8&gt;0,AA294=0),Y$6,0)+IF(AND(AC$8&gt;0,AE294=0),AC$6,0)+IF(AND(AG$8&gt;0,AI294=0),AG$6,0)+IF(AND(AK$8&gt;0,AM294=0),AK$6,0)+IF(AND(AO$8&gt;0,AQ294=0),AO$6,0)+IF(AND(AS$8&gt;0,AU294=0),AS$6,0),2)</f>
        <v>325</v>
      </c>
      <c r="F295" s="24">
        <f>ROUND(I295+M295+Q295+U295+Y295+AC295+AG295+AK295+AO295+AS295,2)</f>
        <v>0</v>
      </c>
      <c r="G295" s="24">
        <f>ROUND(J295+N295+R295+V295+Z295+AD295+AH295+AL295+AP295+AT295,2)</f>
        <v>0</v>
      </c>
      <c r="H295" s="24">
        <f>ROUND(K295+O295+S295+W295+AA295+AE295+AI295+AM295+AQ295+AU295,2)</f>
        <v>0</v>
      </c>
      <c r="I295" s="24">
        <f>IF(K294&gt;0,IF(AND(ROUND(K294+J295-ROUND(I$6+IF(I$5=$C295,$E$5+$E295,0),2),2)&gt;0,ROUND(K294+J295-ROUND(I$6+IF(I$5=$C295,$E$5+$E295,0),2),2)&lt;=L295,ROUND(K294+J295-ROUND(I$6+IF(I$5=$C295,$E$5+$E295,0),2),2)*10&lt;=ROUND(I$6+IF(I$5=$C295,$E$5+$E295,0),2)),ROUND(K294+J295,2),MIN(ROUND(I$6+IF(I$5=$C295,$E$5+$E295,0),2),ROUND(K294+J295,2))),0)</f>
        <v>0</v>
      </c>
      <c r="J295" s="24">
        <f>IF(K294&gt;0,ROUND(ROUND(K294*100,0)*ROUND(I$7*10000,0)/12000000,0)/100,0)</f>
        <v>0</v>
      </c>
      <c r="K295" s="24">
        <f>IF(K294&gt;0,ROUND(K294+J295-I295,2),0)</f>
        <v>0</v>
      </c>
      <c r="L295" s="24">
        <f>IF(K294&gt;0,ROUND(L294+ROUND(ROUND(L294*100,0)*ROUND(I$7*10000,0)/12000000,0)/100+0.02,2),0)</f>
        <v>0</v>
      </c>
      <c r="M295" s="24">
        <f>IF(O294&gt;0,IF(AND(ROUND(O294+N295-ROUND(M$6+IF(M$5=$C295,$E$5+$E295,0),2),2)&gt;0,ROUND(O294+N295-ROUND(M$6+IF(M$5=$C295,$E$5+$E295,0),2),2)&lt;=P295,ROUND(O294+N295-ROUND(M$6+IF(M$5=$C295,$E$5+$E295,0),2),2)*10&lt;=ROUND(M$6+IF(M$5=$C295,$E$5+$E295,0),2)),ROUND(O294+N295,2),MIN(ROUND(M$6+IF(M$5=$C295,$E$5+$E295,0),2),ROUND(O294+N295,2))),0)</f>
        <v>0</v>
      </c>
      <c r="N295" s="24">
        <f>IF(O294&gt;0,ROUND(ROUND(O294*100,0)*ROUND(M$7*10000,0)/12000000,0)/100,0)</f>
        <v>0</v>
      </c>
      <c r="O295" s="24">
        <f>IF(O294&gt;0,ROUND(O294+N295-M295,2),0)</f>
        <v>0</v>
      </c>
      <c r="P295" s="24">
        <f>IF(O294&gt;0,ROUND(P294+ROUND(ROUND(P294*100,0)*ROUND(M$7*10000,0)/12000000,0)/100+0.02,2),0)</f>
        <v>0</v>
      </c>
      <c r="Q295" s="24">
        <f>IF(S294&gt;0,IF(AND(ROUND(S294+R295-ROUND(Q$6+IF(Q$5=$C295,$E$5+$E295,0),2),2)&gt;0,ROUND(S294+R295-ROUND(Q$6+IF(Q$5=$C295,$E$5+$E295,0),2),2)&lt;=T295,ROUND(S294+R295-ROUND(Q$6+IF(Q$5=$C295,$E$5+$E295,0),2),2)*10&lt;=ROUND(Q$6+IF(Q$5=$C295,$E$5+$E295,0),2)),ROUND(S294+R295,2),MIN(ROUND(Q$6+IF(Q$5=$C295,$E$5+$E295,0),2),ROUND(S294+R295,2))),0)</f>
        <v>0</v>
      </c>
      <c r="R295" s="24">
        <f>IF(S294&gt;0,ROUND(ROUND(S294*100,0)*ROUND(Q$7*10000,0)/12000000,0)/100,0)</f>
        <v>0</v>
      </c>
      <c r="S295" s="24">
        <f>IF(S294&gt;0,ROUND(S294+R295-Q295,2),0)</f>
        <v>0</v>
      </c>
      <c r="T295" s="24">
        <f>IF(S294&gt;0,ROUND(T294+ROUND(ROUND(T294*100,0)*ROUND(Q$7*10000,0)/12000000,0)/100+0.02,2),0)</f>
        <v>0</v>
      </c>
      <c r="U295" s="24">
        <f>IF(W294&gt;0,IF(AND(ROUND(W294+V295-ROUND(U$6+IF(U$5=$C295,$E$5+$E295,0),2),2)&gt;0,ROUND(W294+V295-ROUND(U$6+IF(U$5=$C295,$E$5+$E295,0),2),2)&lt;=X295,ROUND(W294+V295-ROUND(U$6+IF(U$5=$C295,$E$5+$E295,0),2),2)*10&lt;=ROUND(U$6+IF(U$5=$C295,$E$5+$E295,0),2)),ROUND(W294+V295,2),MIN(ROUND(U$6+IF(U$5=$C295,$E$5+$E295,0),2),ROUND(W294+V295,2))),0)</f>
        <v>0</v>
      </c>
      <c r="V295" s="24">
        <f>IF(W294&gt;0,ROUND(ROUND(W294*100,0)*ROUND(U$7*10000,0)/12000000,0)/100,0)</f>
        <v>0</v>
      </c>
      <c r="W295" s="24">
        <f>IF(W294&gt;0,ROUND(W294+V295-U295,2),0)</f>
        <v>0</v>
      </c>
      <c r="X295" s="24">
        <f>IF(W294&gt;0,ROUND(X294+ROUND(ROUND(X294*100,0)*ROUND(U$7*10000,0)/12000000,0)/100+0.02,2),0)</f>
        <v>0</v>
      </c>
      <c r="Y295" s="24">
        <f>IF(AA294&gt;0,IF(AND(ROUND(AA294+Z295-ROUND(Y$6+IF(Y$5=$C295,$E$5+$E295,0),2),2)&gt;0,ROUND(AA294+Z295-ROUND(Y$6+IF(Y$5=$C295,$E$5+$E295,0),2),2)&lt;=AB295,ROUND(AA294+Z295-ROUND(Y$6+IF(Y$5=$C295,$E$5+$E295,0),2),2)*10&lt;=ROUND(Y$6+IF(Y$5=$C295,$E$5+$E295,0),2)),ROUND(AA294+Z295,2),MIN(ROUND(Y$6+IF(Y$5=$C295,$E$5+$E295,0),2),ROUND(AA294+Z295,2))),0)</f>
        <v>0</v>
      </c>
      <c r="Z295" s="24">
        <f>IF(AA294&gt;0,ROUND(ROUND(AA294*100,0)*ROUND(Y$7*10000,0)/12000000,0)/100,0)</f>
        <v>0</v>
      </c>
      <c r="AA295" s="24">
        <f>IF(AA294&gt;0,ROUND(AA294+Z295-Y295,2),0)</f>
        <v>0</v>
      </c>
      <c r="AB295" s="24">
        <f>IF(AA294&gt;0,ROUND(AB294+ROUND(ROUND(AB294*100,0)*ROUND(Y$7*10000,0)/12000000,0)/100+0.02,2),0)</f>
        <v>0</v>
      </c>
      <c r="AC295" s="24">
        <f>IF(AE294&gt;0,IF(AND(ROUND(AE294+AD295-ROUND(AC$6+IF(AC$5=$C295,$E$5+$E295,0),2),2)&gt;0,ROUND(AE294+AD295-ROUND(AC$6+IF(AC$5=$C295,$E$5+$E295,0),2),2)&lt;=AF295,ROUND(AE294+AD295-ROUND(AC$6+IF(AC$5=$C295,$E$5+$E295,0),2),2)*10&lt;=ROUND(AC$6+IF(AC$5=$C295,$E$5+$E295,0),2)),ROUND(AE294+AD295,2),MIN(ROUND(AC$6+IF(AC$5=$C295,$E$5+$E295,0),2),ROUND(AE294+AD295,2))),0)</f>
        <v>0</v>
      </c>
      <c r="AD295" s="24">
        <f>IF(AE294&gt;0,ROUND(ROUND(AE294*100,0)*ROUND(AC$7*10000,0)/12000000,0)/100,0)</f>
        <v>0</v>
      </c>
      <c r="AE295" s="24">
        <f>IF(AE294&gt;0,ROUND(AE294+AD295-AC295,2),0)</f>
        <v>0</v>
      </c>
      <c r="AF295" s="24">
        <f>IF(AE294&gt;0,ROUND(AF294+ROUND(ROUND(AF294*100,0)*ROUND(AC$7*10000,0)/12000000,0)/100+0.02,2),0)</f>
        <v>0</v>
      </c>
      <c r="AG295" s="24">
        <f>IF(AI294&gt;0,IF(AND(ROUND(AI294+AH295-ROUND(AG$6+IF(AG$5=$C295,$E$5+$E295,0),2),2)&gt;0,ROUND(AI294+AH295-ROUND(AG$6+IF(AG$5=$C295,$E$5+$E295,0),2),2)&lt;=AJ295,ROUND(AI294+AH295-ROUND(AG$6+IF(AG$5=$C295,$E$5+$E295,0),2),2)*10&lt;=ROUND(AG$6+IF(AG$5=$C295,$E$5+$E295,0),2)),ROUND(AI294+AH295,2),MIN(ROUND(AG$6+IF(AG$5=$C295,$E$5+$E295,0),2),ROUND(AI294+AH295,2))),0)</f>
        <v>0</v>
      </c>
      <c r="AH295" s="24">
        <f>IF(AI294&gt;0,ROUND(ROUND(AI294*100,0)*ROUND(AG$7*10000,0)/12000000,0)/100,0)</f>
        <v>0</v>
      </c>
      <c r="AI295" s="24">
        <f>IF(AI294&gt;0,ROUND(AI294+AH295-AG295,2),0)</f>
        <v>0</v>
      </c>
      <c r="AJ295" s="24">
        <f>IF(AI294&gt;0,ROUND(AJ294+ROUND(ROUND(AJ294*100,0)*ROUND(AG$7*10000,0)/12000000,0)/100+0.02,2),0)</f>
        <v>0</v>
      </c>
      <c r="AK295" s="24">
        <f>IF(AM294&gt;0,IF(AND(ROUND(AM294+AL295-ROUND(AK$6+IF(AK$5=$C295,$E$5+$E295,0),2),2)&gt;0,ROUND(AM294+AL295-ROUND(AK$6+IF(AK$5=$C295,$E$5+$E295,0),2),2)&lt;=AN295,ROUND(AM294+AL295-ROUND(AK$6+IF(AK$5=$C295,$E$5+$E295,0),2),2)*10&lt;=ROUND(AK$6+IF(AK$5=$C295,$E$5+$E295,0),2)),ROUND(AM294+AL295,2),MIN(ROUND(AK$6+IF(AK$5=$C295,$E$5+$E295,0),2),ROUND(AM294+AL295,2))),0)</f>
        <v>0</v>
      </c>
      <c r="AL295" s="24">
        <f>IF(AM294&gt;0,ROUND(ROUND(AM294*100,0)*ROUND(AK$7*10000,0)/12000000,0)/100,0)</f>
        <v>0</v>
      </c>
      <c r="AM295" s="24">
        <f>IF(AM294&gt;0,ROUND(AM294+AL295-AK295,2),0)</f>
        <v>0</v>
      </c>
      <c r="AN295" s="24">
        <f>IF(AM294&gt;0,ROUND(AN294+ROUND(ROUND(AN294*100,0)*ROUND(AK$7*10000,0)/12000000,0)/100+0.02,2),0)</f>
        <v>0</v>
      </c>
      <c r="AO295" s="24">
        <f>IF(AQ294&gt;0,IF(AND(ROUND(AQ294+AP295-ROUND(AO$6+IF(AO$5=$C295,$E$5+$E295,0),2),2)&gt;0,ROUND(AQ294+AP295-ROUND(AO$6+IF(AO$5=$C295,$E$5+$E295,0),2),2)&lt;=AR295,ROUND(AQ294+AP295-ROUND(AO$6+IF(AO$5=$C295,$E$5+$E295,0),2),2)*10&lt;=ROUND(AO$6+IF(AO$5=$C295,$E$5+$E295,0),2)),ROUND(AQ294+AP295,2),MIN(ROUND(AO$6+IF(AO$5=$C295,$E$5+$E295,0),2),ROUND(AQ294+AP295,2))),0)</f>
        <v>0</v>
      </c>
      <c r="AP295" s="24">
        <f>IF(AQ294&gt;0,ROUND(ROUND(AQ294*100,0)*ROUND(AO$7*10000,0)/12000000,0)/100,0)</f>
        <v>0</v>
      </c>
      <c r="AQ295" s="24">
        <f>IF(AQ294&gt;0,ROUND(AQ294+AP295-AO295,2),0)</f>
        <v>0</v>
      </c>
      <c r="AR295" s="24">
        <f>IF(AQ294&gt;0,ROUND(AR294+ROUND(ROUND(AR294*100,0)*ROUND(AO$7*10000,0)/12000000,0)/100+0.02,2),0)</f>
        <v>0</v>
      </c>
      <c r="AS295" s="24">
        <f>IF(AU294&gt;0,IF(AND(ROUND(AU294+AT295-ROUND(AS$6+IF(AS$5=$C295,$E$5+$E295,0),2),2)&gt;0,ROUND(AU294+AT295-ROUND(AS$6+IF(AS$5=$C295,$E$5+$E295,0),2),2)&lt;=AV295,ROUND(AU294+AT295-ROUND(AS$6+IF(AS$5=$C295,$E$5+$E295,0),2),2)*10&lt;=ROUND(AS$6+IF(AS$5=$C295,$E$5+$E295,0),2)),ROUND(AU294+AT295,2),MIN(ROUND(AS$6+IF(AS$5=$C295,$E$5+$E295,0),2),ROUND(AU294+AT295,2))),0)</f>
        <v>0</v>
      </c>
      <c r="AT295" s="24">
        <f>IF(AU294&gt;0,ROUND(ROUND(AU294*100,0)*ROUND(AS$7*10000,0)/12000000,0)/100,0)</f>
        <v>0</v>
      </c>
      <c r="AU295" s="24">
        <f>IF(AU294&gt;0,ROUND(AU294+AT295-AS295,2),0)</f>
        <v>0</v>
      </c>
      <c r="AV295" s="24">
        <f>IF(AU294&gt;0,ROUND(AV294+ROUND(ROUND(AV294*100,0)*ROUND(AS$7*10000,0)/12000000,0)/100+0.02,2),0)</f>
        <v>0</v>
      </c>
    </row>
    <row r="296" spans="1:48" x14ac:dyDescent="0.25">
      <c r="A296" s="17" t="str">
        <f>IF(F296&gt;0,286,"")</f>
        <v/>
      </c>
      <c r="B296" s="18" t="str">
        <f>IF(F296&gt;0,EDATE($E$6,286),"")</f>
        <v/>
      </c>
      <c r="C296" s="21">
        <f>IF(H295&gt;0,MIN(IF(K295&gt;0,I$5,99),IF(O295&gt;0,M$5,99),IF(S295&gt;0,Q$5,99),IF(W295&gt;0,U$5,99),IF(AA295&gt;0,Y$5,99),IF(AE295&gt;0,AC$5,99),IF(AI295&gt;0,AG$5,99),IF(AM295&gt;0,AK$5,99),IF(AQ295&gt;0,AO$5,99),IF(AU295&gt;0,AS$5,99)),0)</f>
        <v>0</v>
      </c>
      <c r="D296" t="str">
        <f>IF(C296&gt;0,INDEX($I$4:$AV$4,1,MATCH(C296,$I$5:$AV$5,0)),"")</f>
        <v/>
      </c>
      <c r="E296" s="24">
        <f>ROUND(IF(AND(I$8&gt;0,K295=0),I$6,0)+IF(AND(M$8&gt;0,O295=0),M$6,0)+IF(AND(Q$8&gt;0,S295=0),Q$6,0)+IF(AND(U$8&gt;0,W295=0),U$6,0)+IF(AND(Y$8&gt;0,AA295=0),Y$6,0)+IF(AND(AC$8&gt;0,AE295=0),AC$6,0)+IF(AND(AG$8&gt;0,AI295=0),AG$6,0)+IF(AND(AK$8&gt;0,AM295=0),AK$6,0)+IF(AND(AO$8&gt;0,AQ295=0),AO$6,0)+IF(AND(AS$8&gt;0,AU295=0),AS$6,0),2)</f>
        <v>325</v>
      </c>
      <c r="F296" s="24">
        <f>ROUND(I296+M296+Q296+U296+Y296+AC296+AG296+AK296+AO296+AS296,2)</f>
        <v>0</v>
      </c>
      <c r="G296" s="24">
        <f>ROUND(J296+N296+R296+V296+Z296+AD296+AH296+AL296+AP296+AT296,2)</f>
        <v>0</v>
      </c>
      <c r="H296" s="24">
        <f>ROUND(K296+O296+S296+W296+AA296+AE296+AI296+AM296+AQ296+AU296,2)</f>
        <v>0</v>
      </c>
      <c r="I296" s="24">
        <f>IF(K295&gt;0,IF(AND(ROUND(K295+J296-ROUND(I$6+IF(I$5=$C296,$E$5+$E296,0),2),2)&gt;0,ROUND(K295+J296-ROUND(I$6+IF(I$5=$C296,$E$5+$E296,0),2),2)&lt;=L296,ROUND(K295+J296-ROUND(I$6+IF(I$5=$C296,$E$5+$E296,0),2),2)*10&lt;=ROUND(I$6+IF(I$5=$C296,$E$5+$E296,0),2)),ROUND(K295+J296,2),MIN(ROUND(I$6+IF(I$5=$C296,$E$5+$E296,0),2),ROUND(K295+J296,2))),0)</f>
        <v>0</v>
      </c>
      <c r="J296" s="24">
        <f>IF(K295&gt;0,ROUND(ROUND(K295*100,0)*ROUND(I$7*10000,0)/12000000,0)/100,0)</f>
        <v>0</v>
      </c>
      <c r="K296" s="24">
        <f>IF(K295&gt;0,ROUND(K295+J296-I296,2),0)</f>
        <v>0</v>
      </c>
      <c r="L296" s="24">
        <f>IF(K295&gt;0,ROUND(L295+ROUND(ROUND(L295*100,0)*ROUND(I$7*10000,0)/12000000,0)/100+0.02,2),0)</f>
        <v>0</v>
      </c>
      <c r="M296" s="24">
        <f>IF(O295&gt;0,IF(AND(ROUND(O295+N296-ROUND(M$6+IF(M$5=$C296,$E$5+$E296,0),2),2)&gt;0,ROUND(O295+N296-ROUND(M$6+IF(M$5=$C296,$E$5+$E296,0),2),2)&lt;=P296,ROUND(O295+N296-ROUND(M$6+IF(M$5=$C296,$E$5+$E296,0),2),2)*10&lt;=ROUND(M$6+IF(M$5=$C296,$E$5+$E296,0),2)),ROUND(O295+N296,2),MIN(ROUND(M$6+IF(M$5=$C296,$E$5+$E296,0),2),ROUND(O295+N296,2))),0)</f>
        <v>0</v>
      </c>
      <c r="N296" s="24">
        <f>IF(O295&gt;0,ROUND(ROUND(O295*100,0)*ROUND(M$7*10000,0)/12000000,0)/100,0)</f>
        <v>0</v>
      </c>
      <c r="O296" s="24">
        <f>IF(O295&gt;0,ROUND(O295+N296-M296,2),0)</f>
        <v>0</v>
      </c>
      <c r="P296" s="24">
        <f>IF(O295&gt;0,ROUND(P295+ROUND(ROUND(P295*100,0)*ROUND(M$7*10000,0)/12000000,0)/100+0.02,2),0)</f>
        <v>0</v>
      </c>
      <c r="Q296" s="24">
        <f>IF(S295&gt;0,IF(AND(ROUND(S295+R296-ROUND(Q$6+IF(Q$5=$C296,$E$5+$E296,0),2),2)&gt;0,ROUND(S295+R296-ROUND(Q$6+IF(Q$5=$C296,$E$5+$E296,0),2),2)&lt;=T296,ROUND(S295+R296-ROUND(Q$6+IF(Q$5=$C296,$E$5+$E296,0),2),2)*10&lt;=ROUND(Q$6+IF(Q$5=$C296,$E$5+$E296,0),2)),ROUND(S295+R296,2),MIN(ROUND(Q$6+IF(Q$5=$C296,$E$5+$E296,0),2),ROUND(S295+R296,2))),0)</f>
        <v>0</v>
      </c>
      <c r="R296" s="24">
        <f>IF(S295&gt;0,ROUND(ROUND(S295*100,0)*ROUND(Q$7*10000,0)/12000000,0)/100,0)</f>
        <v>0</v>
      </c>
      <c r="S296" s="24">
        <f>IF(S295&gt;0,ROUND(S295+R296-Q296,2),0)</f>
        <v>0</v>
      </c>
      <c r="T296" s="24">
        <f>IF(S295&gt;0,ROUND(T295+ROUND(ROUND(T295*100,0)*ROUND(Q$7*10000,0)/12000000,0)/100+0.02,2),0)</f>
        <v>0</v>
      </c>
      <c r="U296" s="24">
        <f>IF(W295&gt;0,IF(AND(ROUND(W295+V296-ROUND(U$6+IF(U$5=$C296,$E$5+$E296,0),2),2)&gt;0,ROUND(W295+V296-ROUND(U$6+IF(U$5=$C296,$E$5+$E296,0),2),2)&lt;=X296,ROUND(W295+V296-ROUND(U$6+IF(U$5=$C296,$E$5+$E296,0),2),2)*10&lt;=ROUND(U$6+IF(U$5=$C296,$E$5+$E296,0),2)),ROUND(W295+V296,2),MIN(ROUND(U$6+IF(U$5=$C296,$E$5+$E296,0),2),ROUND(W295+V296,2))),0)</f>
        <v>0</v>
      </c>
      <c r="V296" s="24">
        <f>IF(W295&gt;0,ROUND(ROUND(W295*100,0)*ROUND(U$7*10000,0)/12000000,0)/100,0)</f>
        <v>0</v>
      </c>
      <c r="W296" s="24">
        <f>IF(W295&gt;0,ROUND(W295+V296-U296,2),0)</f>
        <v>0</v>
      </c>
      <c r="X296" s="24">
        <f>IF(W295&gt;0,ROUND(X295+ROUND(ROUND(X295*100,0)*ROUND(U$7*10000,0)/12000000,0)/100+0.02,2),0)</f>
        <v>0</v>
      </c>
      <c r="Y296" s="24">
        <f>IF(AA295&gt;0,IF(AND(ROUND(AA295+Z296-ROUND(Y$6+IF(Y$5=$C296,$E$5+$E296,0),2),2)&gt;0,ROUND(AA295+Z296-ROUND(Y$6+IF(Y$5=$C296,$E$5+$E296,0),2),2)&lt;=AB296,ROUND(AA295+Z296-ROUND(Y$6+IF(Y$5=$C296,$E$5+$E296,0),2),2)*10&lt;=ROUND(Y$6+IF(Y$5=$C296,$E$5+$E296,0),2)),ROUND(AA295+Z296,2),MIN(ROUND(Y$6+IF(Y$5=$C296,$E$5+$E296,0),2),ROUND(AA295+Z296,2))),0)</f>
        <v>0</v>
      </c>
      <c r="Z296" s="24">
        <f>IF(AA295&gt;0,ROUND(ROUND(AA295*100,0)*ROUND(Y$7*10000,0)/12000000,0)/100,0)</f>
        <v>0</v>
      </c>
      <c r="AA296" s="24">
        <f>IF(AA295&gt;0,ROUND(AA295+Z296-Y296,2),0)</f>
        <v>0</v>
      </c>
      <c r="AB296" s="24">
        <f>IF(AA295&gt;0,ROUND(AB295+ROUND(ROUND(AB295*100,0)*ROUND(Y$7*10000,0)/12000000,0)/100+0.02,2),0)</f>
        <v>0</v>
      </c>
      <c r="AC296" s="24">
        <f>IF(AE295&gt;0,IF(AND(ROUND(AE295+AD296-ROUND(AC$6+IF(AC$5=$C296,$E$5+$E296,0),2),2)&gt;0,ROUND(AE295+AD296-ROUND(AC$6+IF(AC$5=$C296,$E$5+$E296,0),2),2)&lt;=AF296,ROUND(AE295+AD296-ROUND(AC$6+IF(AC$5=$C296,$E$5+$E296,0),2),2)*10&lt;=ROUND(AC$6+IF(AC$5=$C296,$E$5+$E296,0),2)),ROUND(AE295+AD296,2),MIN(ROUND(AC$6+IF(AC$5=$C296,$E$5+$E296,0),2),ROUND(AE295+AD296,2))),0)</f>
        <v>0</v>
      </c>
      <c r="AD296" s="24">
        <f>IF(AE295&gt;0,ROUND(ROUND(AE295*100,0)*ROUND(AC$7*10000,0)/12000000,0)/100,0)</f>
        <v>0</v>
      </c>
      <c r="AE296" s="24">
        <f>IF(AE295&gt;0,ROUND(AE295+AD296-AC296,2),0)</f>
        <v>0</v>
      </c>
      <c r="AF296" s="24">
        <f>IF(AE295&gt;0,ROUND(AF295+ROUND(ROUND(AF295*100,0)*ROUND(AC$7*10000,0)/12000000,0)/100+0.02,2),0)</f>
        <v>0</v>
      </c>
      <c r="AG296" s="24">
        <f>IF(AI295&gt;0,IF(AND(ROUND(AI295+AH296-ROUND(AG$6+IF(AG$5=$C296,$E$5+$E296,0),2),2)&gt;0,ROUND(AI295+AH296-ROUND(AG$6+IF(AG$5=$C296,$E$5+$E296,0),2),2)&lt;=AJ296,ROUND(AI295+AH296-ROUND(AG$6+IF(AG$5=$C296,$E$5+$E296,0),2),2)*10&lt;=ROUND(AG$6+IF(AG$5=$C296,$E$5+$E296,0),2)),ROUND(AI295+AH296,2),MIN(ROUND(AG$6+IF(AG$5=$C296,$E$5+$E296,0),2),ROUND(AI295+AH296,2))),0)</f>
        <v>0</v>
      </c>
      <c r="AH296" s="24">
        <f>IF(AI295&gt;0,ROUND(ROUND(AI295*100,0)*ROUND(AG$7*10000,0)/12000000,0)/100,0)</f>
        <v>0</v>
      </c>
      <c r="AI296" s="24">
        <f>IF(AI295&gt;0,ROUND(AI295+AH296-AG296,2),0)</f>
        <v>0</v>
      </c>
      <c r="AJ296" s="24">
        <f>IF(AI295&gt;0,ROUND(AJ295+ROUND(ROUND(AJ295*100,0)*ROUND(AG$7*10000,0)/12000000,0)/100+0.02,2),0)</f>
        <v>0</v>
      </c>
      <c r="AK296" s="24">
        <f>IF(AM295&gt;0,IF(AND(ROUND(AM295+AL296-ROUND(AK$6+IF(AK$5=$C296,$E$5+$E296,0),2),2)&gt;0,ROUND(AM295+AL296-ROUND(AK$6+IF(AK$5=$C296,$E$5+$E296,0),2),2)&lt;=AN296,ROUND(AM295+AL296-ROUND(AK$6+IF(AK$5=$C296,$E$5+$E296,0),2),2)*10&lt;=ROUND(AK$6+IF(AK$5=$C296,$E$5+$E296,0),2)),ROUND(AM295+AL296,2),MIN(ROUND(AK$6+IF(AK$5=$C296,$E$5+$E296,0),2),ROUND(AM295+AL296,2))),0)</f>
        <v>0</v>
      </c>
      <c r="AL296" s="24">
        <f>IF(AM295&gt;0,ROUND(ROUND(AM295*100,0)*ROUND(AK$7*10000,0)/12000000,0)/100,0)</f>
        <v>0</v>
      </c>
      <c r="AM296" s="24">
        <f>IF(AM295&gt;0,ROUND(AM295+AL296-AK296,2),0)</f>
        <v>0</v>
      </c>
      <c r="AN296" s="24">
        <f>IF(AM295&gt;0,ROUND(AN295+ROUND(ROUND(AN295*100,0)*ROUND(AK$7*10000,0)/12000000,0)/100+0.02,2),0)</f>
        <v>0</v>
      </c>
      <c r="AO296" s="24">
        <f>IF(AQ295&gt;0,IF(AND(ROUND(AQ295+AP296-ROUND(AO$6+IF(AO$5=$C296,$E$5+$E296,0),2),2)&gt;0,ROUND(AQ295+AP296-ROUND(AO$6+IF(AO$5=$C296,$E$5+$E296,0),2),2)&lt;=AR296,ROUND(AQ295+AP296-ROUND(AO$6+IF(AO$5=$C296,$E$5+$E296,0),2),2)*10&lt;=ROUND(AO$6+IF(AO$5=$C296,$E$5+$E296,0),2)),ROUND(AQ295+AP296,2),MIN(ROUND(AO$6+IF(AO$5=$C296,$E$5+$E296,0),2),ROUND(AQ295+AP296,2))),0)</f>
        <v>0</v>
      </c>
      <c r="AP296" s="24">
        <f>IF(AQ295&gt;0,ROUND(ROUND(AQ295*100,0)*ROUND(AO$7*10000,0)/12000000,0)/100,0)</f>
        <v>0</v>
      </c>
      <c r="AQ296" s="24">
        <f>IF(AQ295&gt;0,ROUND(AQ295+AP296-AO296,2),0)</f>
        <v>0</v>
      </c>
      <c r="AR296" s="24">
        <f>IF(AQ295&gt;0,ROUND(AR295+ROUND(ROUND(AR295*100,0)*ROUND(AO$7*10000,0)/12000000,0)/100+0.02,2),0)</f>
        <v>0</v>
      </c>
      <c r="AS296" s="24">
        <f>IF(AU295&gt;0,IF(AND(ROUND(AU295+AT296-ROUND(AS$6+IF(AS$5=$C296,$E$5+$E296,0),2),2)&gt;0,ROUND(AU295+AT296-ROUND(AS$6+IF(AS$5=$C296,$E$5+$E296,0),2),2)&lt;=AV296,ROUND(AU295+AT296-ROUND(AS$6+IF(AS$5=$C296,$E$5+$E296,0),2),2)*10&lt;=ROUND(AS$6+IF(AS$5=$C296,$E$5+$E296,0),2)),ROUND(AU295+AT296,2),MIN(ROUND(AS$6+IF(AS$5=$C296,$E$5+$E296,0),2),ROUND(AU295+AT296,2))),0)</f>
        <v>0</v>
      </c>
      <c r="AT296" s="24">
        <f>IF(AU295&gt;0,ROUND(ROUND(AU295*100,0)*ROUND(AS$7*10000,0)/12000000,0)/100,0)</f>
        <v>0</v>
      </c>
      <c r="AU296" s="24">
        <f>IF(AU295&gt;0,ROUND(AU295+AT296-AS296,2),0)</f>
        <v>0</v>
      </c>
      <c r="AV296" s="24">
        <f>IF(AU295&gt;0,ROUND(AV295+ROUND(ROUND(AV295*100,0)*ROUND(AS$7*10000,0)/12000000,0)/100+0.02,2),0)</f>
        <v>0</v>
      </c>
    </row>
    <row r="297" spans="1:48" x14ac:dyDescent="0.25">
      <c r="A297" s="17" t="str">
        <f>IF(F297&gt;0,287,"")</f>
        <v/>
      </c>
      <c r="B297" s="18" t="str">
        <f>IF(F297&gt;0,EDATE($E$6,287),"")</f>
        <v/>
      </c>
      <c r="C297" s="21">
        <f>IF(H296&gt;0,MIN(IF(K296&gt;0,I$5,99),IF(O296&gt;0,M$5,99),IF(S296&gt;0,Q$5,99),IF(W296&gt;0,U$5,99),IF(AA296&gt;0,Y$5,99),IF(AE296&gt;0,AC$5,99),IF(AI296&gt;0,AG$5,99),IF(AM296&gt;0,AK$5,99),IF(AQ296&gt;0,AO$5,99),IF(AU296&gt;0,AS$5,99)),0)</f>
        <v>0</v>
      </c>
      <c r="D297" t="str">
        <f>IF(C297&gt;0,INDEX($I$4:$AV$4,1,MATCH(C297,$I$5:$AV$5,0)),"")</f>
        <v/>
      </c>
      <c r="E297" s="24">
        <f>ROUND(IF(AND(I$8&gt;0,K296=0),I$6,0)+IF(AND(M$8&gt;0,O296=0),M$6,0)+IF(AND(Q$8&gt;0,S296=0),Q$6,0)+IF(AND(U$8&gt;0,W296=0),U$6,0)+IF(AND(Y$8&gt;0,AA296=0),Y$6,0)+IF(AND(AC$8&gt;0,AE296=0),AC$6,0)+IF(AND(AG$8&gt;0,AI296=0),AG$6,0)+IF(AND(AK$8&gt;0,AM296=0),AK$6,0)+IF(AND(AO$8&gt;0,AQ296=0),AO$6,0)+IF(AND(AS$8&gt;0,AU296=0),AS$6,0),2)</f>
        <v>325</v>
      </c>
      <c r="F297" s="24">
        <f>ROUND(I297+M297+Q297+U297+Y297+AC297+AG297+AK297+AO297+AS297,2)</f>
        <v>0</v>
      </c>
      <c r="G297" s="24">
        <f>ROUND(J297+N297+R297+V297+Z297+AD297+AH297+AL297+AP297+AT297,2)</f>
        <v>0</v>
      </c>
      <c r="H297" s="24">
        <f>ROUND(K297+O297+S297+W297+AA297+AE297+AI297+AM297+AQ297+AU297,2)</f>
        <v>0</v>
      </c>
      <c r="I297" s="24">
        <f>IF(K296&gt;0,IF(AND(ROUND(K296+J297-ROUND(I$6+IF(I$5=$C297,$E$5+$E297,0),2),2)&gt;0,ROUND(K296+J297-ROUND(I$6+IF(I$5=$C297,$E$5+$E297,0),2),2)&lt;=L297,ROUND(K296+J297-ROUND(I$6+IF(I$5=$C297,$E$5+$E297,0),2),2)*10&lt;=ROUND(I$6+IF(I$5=$C297,$E$5+$E297,0),2)),ROUND(K296+J297,2),MIN(ROUND(I$6+IF(I$5=$C297,$E$5+$E297,0),2),ROUND(K296+J297,2))),0)</f>
        <v>0</v>
      </c>
      <c r="J297" s="24">
        <f>IF(K296&gt;0,ROUND(ROUND(K296*100,0)*ROUND(I$7*10000,0)/12000000,0)/100,0)</f>
        <v>0</v>
      </c>
      <c r="K297" s="24">
        <f>IF(K296&gt;0,ROUND(K296+J297-I297,2),0)</f>
        <v>0</v>
      </c>
      <c r="L297" s="24">
        <f>IF(K296&gt;0,ROUND(L296+ROUND(ROUND(L296*100,0)*ROUND(I$7*10000,0)/12000000,0)/100+0.02,2),0)</f>
        <v>0</v>
      </c>
      <c r="M297" s="24">
        <f>IF(O296&gt;0,IF(AND(ROUND(O296+N297-ROUND(M$6+IF(M$5=$C297,$E$5+$E297,0),2),2)&gt;0,ROUND(O296+N297-ROUND(M$6+IF(M$5=$C297,$E$5+$E297,0),2),2)&lt;=P297,ROUND(O296+N297-ROUND(M$6+IF(M$5=$C297,$E$5+$E297,0),2),2)*10&lt;=ROUND(M$6+IF(M$5=$C297,$E$5+$E297,0),2)),ROUND(O296+N297,2),MIN(ROUND(M$6+IF(M$5=$C297,$E$5+$E297,0),2),ROUND(O296+N297,2))),0)</f>
        <v>0</v>
      </c>
      <c r="N297" s="24">
        <f>IF(O296&gt;0,ROUND(ROUND(O296*100,0)*ROUND(M$7*10000,0)/12000000,0)/100,0)</f>
        <v>0</v>
      </c>
      <c r="O297" s="24">
        <f>IF(O296&gt;0,ROUND(O296+N297-M297,2),0)</f>
        <v>0</v>
      </c>
      <c r="P297" s="24">
        <f>IF(O296&gt;0,ROUND(P296+ROUND(ROUND(P296*100,0)*ROUND(M$7*10000,0)/12000000,0)/100+0.02,2),0)</f>
        <v>0</v>
      </c>
      <c r="Q297" s="24">
        <f>IF(S296&gt;0,IF(AND(ROUND(S296+R297-ROUND(Q$6+IF(Q$5=$C297,$E$5+$E297,0),2),2)&gt;0,ROUND(S296+R297-ROUND(Q$6+IF(Q$5=$C297,$E$5+$E297,0),2),2)&lt;=T297,ROUND(S296+R297-ROUND(Q$6+IF(Q$5=$C297,$E$5+$E297,0),2),2)*10&lt;=ROUND(Q$6+IF(Q$5=$C297,$E$5+$E297,0),2)),ROUND(S296+R297,2),MIN(ROUND(Q$6+IF(Q$5=$C297,$E$5+$E297,0),2),ROUND(S296+R297,2))),0)</f>
        <v>0</v>
      </c>
      <c r="R297" s="24">
        <f>IF(S296&gt;0,ROUND(ROUND(S296*100,0)*ROUND(Q$7*10000,0)/12000000,0)/100,0)</f>
        <v>0</v>
      </c>
      <c r="S297" s="24">
        <f>IF(S296&gt;0,ROUND(S296+R297-Q297,2),0)</f>
        <v>0</v>
      </c>
      <c r="T297" s="24">
        <f>IF(S296&gt;0,ROUND(T296+ROUND(ROUND(T296*100,0)*ROUND(Q$7*10000,0)/12000000,0)/100+0.02,2),0)</f>
        <v>0</v>
      </c>
      <c r="U297" s="24">
        <f>IF(W296&gt;0,IF(AND(ROUND(W296+V297-ROUND(U$6+IF(U$5=$C297,$E$5+$E297,0),2),2)&gt;0,ROUND(W296+V297-ROUND(U$6+IF(U$5=$C297,$E$5+$E297,0),2),2)&lt;=X297,ROUND(W296+V297-ROUND(U$6+IF(U$5=$C297,$E$5+$E297,0),2),2)*10&lt;=ROUND(U$6+IF(U$5=$C297,$E$5+$E297,0),2)),ROUND(W296+V297,2),MIN(ROUND(U$6+IF(U$5=$C297,$E$5+$E297,0),2),ROUND(W296+V297,2))),0)</f>
        <v>0</v>
      </c>
      <c r="V297" s="24">
        <f>IF(W296&gt;0,ROUND(ROUND(W296*100,0)*ROUND(U$7*10000,0)/12000000,0)/100,0)</f>
        <v>0</v>
      </c>
      <c r="W297" s="24">
        <f>IF(W296&gt;0,ROUND(W296+V297-U297,2),0)</f>
        <v>0</v>
      </c>
      <c r="X297" s="24">
        <f>IF(W296&gt;0,ROUND(X296+ROUND(ROUND(X296*100,0)*ROUND(U$7*10000,0)/12000000,0)/100+0.02,2),0)</f>
        <v>0</v>
      </c>
      <c r="Y297" s="24">
        <f>IF(AA296&gt;0,IF(AND(ROUND(AA296+Z297-ROUND(Y$6+IF(Y$5=$C297,$E$5+$E297,0),2),2)&gt;0,ROUND(AA296+Z297-ROUND(Y$6+IF(Y$5=$C297,$E$5+$E297,0),2),2)&lt;=AB297,ROUND(AA296+Z297-ROUND(Y$6+IF(Y$5=$C297,$E$5+$E297,0),2),2)*10&lt;=ROUND(Y$6+IF(Y$5=$C297,$E$5+$E297,0),2)),ROUND(AA296+Z297,2),MIN(ROUND(Y$6+IF(Y$5=$C297,$E$5+$E297,0),2),ROUND(AA296+Z297,2))),0)</f>
        <v>0</v>
      </c>
      <c r="Z297" s="24">
        <f>IF(AA296&gt;0,ROUND(ROUND(AA296*100,0)*ROUND(Y$7*10000,0)/12000000,0)/100,0)</f>
        <v>0</v>
      </c>
      <c r="AA297" s="24">
        <f>IF(AA296&gt;0,ROUND(AA296+Z297-Y297,2),0)</f>
        <v>0</v>
      </c>
      <c r="AB297" s="24">
        <f>IF(AA296&gt;0,ROUND(AB296+ROUND(ROUND(AB296*100,0)*ROUND(Y$7*10000,0)/12000000,0)/100+0.02,2),0)</f>
        <v>0</v>
      </c>
      <c r="AC297" s="24">
        <f>IF(AE296&gt;0,IF(AND(ROUND(AE296+AD297-ROUND(AC$6+IF(AC$5=$C297,$E$5+$E297,0),2),2)&gt;0,ROUND(AE296+AD297-ROUND(AC$6+IF(AC$5=$C297,$E$5+$E297,0),2),2)&lt;=AF297,ROUND(AE296+AD297-ROUND(AC$6+IF(AC$5=$C297,$E$5+$E297,0),2),2)*10&lt;=ROUND(AC$6+IF(AC$5=$C297,$E$5+$E297,0),2)),ROUND(AE296+AD297,2),MIN(ROUND(AC$6+IF(AC$5=$C297,$E$5+$E297,0),2),ROUND(AE296+AD297,2))),0)</f>
        <v>0</v>
      </c>
      <c r="AD297" s="24">
        <f>IF(AE296&gt;0,ROUND(ROUND(AE296*100,0)*ROUND(AC$7*10000,0)/12000000,0)/100,0)</f>
        <v>0</v>
      </c>
      <c r="AE297" s="24">
        <f>IF(AE296&gt;0,ROUND(AE296+AD297-AC297,2),0)</f>
        <v>0</v>
      </c>
      <c r="AF297" s="24">
        <f>IF(AE296&gt;0,ROUND(AF296+ROUND(ROUND(AF296*100,0)*ROUND(AC$7*10000,0)/12000000,0)/100+0.02,2),0)</f>
        <v>0</v>
      </c>
      <c r="AG297" s="24">
        <f>IF(AI296&gt;0,IF(AND(ROUND(AI296+AH297-ROUND(AG$6+IF(AG$5=$C297,$E$5+$E297,0),2),2)&gt;0,ROUND(AI296+AH297-ROUND(AG$6+IF(AG$5=$C297,$E$5+$E297,0),2),2)&lt;=AJ297,ROUND(AI296+AH297-ROUND(AG$6+IF(AG$5=$C297,$E$5+$E297,0),2),2)*10&lt;=ROUND(AG$6+IF(AG$5=$C297,$E$5+$E297,0),2)),ROUND(AI296+AH297,2),MIN(ROUND(AG$6+IF(AG$5=$C297,$E$5+$E297,0),2),ROUND(AI296+AH297,2))),0)</f>
        <v>0</v>
      </c>
      <c r="AH297" s="24">
        <f>IF(AI296&gt;0,ROUND(ROUND(AI296*100,0)*ROUND(AG$7*10000,0)/12000000,0)/100,0)</f>
        <v>0</v>
      </c>
      <c r="AI297" s="24">
        <f>IF(AI296&gt;0,ROUND(AI296+AH297-AG297,2),0)</f>
        <v>0</v>
      </c>
      <c r="AJ297" s="24">
        <f>IF(AI296&gt;0,ROUND(AJ296+ROUND(ROUND(AJ296*100,0)*ROUND(AG$7*10000,0)/12000000,0)/100+0.02,2),0)</f>
        <v>0</v>
      </c>
      <c r="AK297" s="24">
        <f>IF(AM296&gt;0,IF(AND(ROUND(AM296+AL297-ROUND(AK$6+IF(AK$5=$C297,$E$5+$E297,0),2),2)&gt;0,ROUND(AM296+AL297-ROUND(AK$6+IF(AK$5=$C297,$E$5+$E297,0),2),2)&lt;=AN297,ROUND(AM296+AL297-ROUND(AK$6+IF(AK$5=$C297,$E$5+$E297,0),2),2)*10&lt;=ROUND(AK$6+IF(AK$5=$C297,$E$5+$E297,0),2)),ROUND(AM296+AL297,2),MIN(ROUND(AK$6+IF(AK$5=$C297,$E$5+$E297,0),2),ROUND(AM296+AL297,2))),0)</f>
        <v>0</v>
      </c>
      <c r="AL297" s="24">
        <f>IF(AM296&gt;0,ROUND(ROUND(AM296*100,0)*ROUND(AK$7*10000,0)/12000000,0)/100,0)</f>
        <v>0</v>
      </c>
      <c r="AM297" s="24">
        <f>IF(AM296&gt;0,ROUND(AM296+AL297-AK297,2),0)</f>
        <v>0</v>
      </c>
      <c r="AN297" s="24">
        <f>IF(AM296&gt;0,ROUND(AN296+ROUND(ROUND(AN296*100,0)*ROUND(AK$7*10000,0)/12000000,0)/100+0.02,2),0)</f>
        <v>0</v>
      </c>
      <c r="AO297" s="24">
        <f>IF(AQ296&gt;0,IF(AND(ROUND(AQ296+AP297-ROUND(AO$6+IF(AO$5=$C297,$E$5+$E297,0),2),2)&gt;0,ROUND(AQ296+AP297-ROUND(AO$6+IF(AO$5=$C297,$E$5+$E297,0),2),2)&lt;=AR297,ROUND(AQ296+AP297-ROUND(AO$6+IF(AO$5=$C297,$E$5+$E297,0),2),2)*10&lt;=ROUND(AO$6+IF(AO$5=$C297,$E$5+$E297,0),2)),ROUND(AQ296+AP297,2),MIN(ROUND(AO$6+IF(AO$5=$C297,$E$5+$E297,0),2),ROUND(AQ296+AP297,2))),0)</f>
        <v>0</v>
      </c>
      <c r="AP297" s="24">
        <f>IF(AQ296&gt;0,ROUND(ROUND(AQ296*100,0)*ROUND(AO$7*10000,0)/12000000,0)/100,0)</f>
        <v>0</v>
      </c>
      <c r="AQ297" s="24">
        <f>IF(AQ296&gt;0,ROUND(AQ296+AP297-AO297,2),0)</f>
        <v>0</v>
      </c>
      <c r="AR297" s="24">
        <f>IF(AQ296&gt;0,ROUND(AR296+ROUND(ROUND(AR296*100,0)*ROUND(AO$7*10000,0)/12000000,0)/100+0.02,2),0)</f>
        <v>0</v>
      </c>
      <c r="AS297" s="24">
        <f>IF(AU296&gt;0,IF(AND(ROUND(AU296+AT297-ROUND(AS$6+IF(AS$5=$C297,$E$5+$E297,0),2),2)&gt;0,ROUND(AU296+AT297-ROUND(AS$6+IF(AS$5=$C297,$E$5+$E297,0),2),2)&lt;=AV297,ROUND(AU296+AT297-ROUND(AS$6+IF(AS$5=$C297,$E$5+$E297,0),2),2)*10&lt;=ROUND(AS$6+IF(AS$5=$C297,$E$5+$E297,0),2)),ROUND(AU296+AT297,2),MIN(ROUND(AS$6+IF(AS$5=$C297,$E$5+$E297,0),2),ROUND(AU296+AT297,2))),0)</f>
        <v>0</v>
      </c>
      <c r="AT297" s="24">
        <f>IF(AU296&gt;0,ROUND(ROUND(AU296*100,0)*ROUND(AS$7*10000,0)/12000000,0)/100,0)</f>
        <v>0</v>
      </c>
      <c r="AU297" s="24">
        <f>IF(AU296&gt;0,ROUND(AU296+AT297-AS297,2),0)</f>
        <v>0</v>
      </c>
      <c r="AV297" s="24">
        <f>IF(AU296&gt;0,ROUND(AV296+ROUND(ROUND(AV296*100,0)*ROUND(AS$7*10000,0)/12000000,0)/100+0.02,2),0)</f>
        <v>0</v>
      </c>
    </row>
    <row r="298" spans="1:48" x14ac:dyDescent="0.25">
      <c r="A298" s="17" t="str">
        <f>IF(F298&gt;0,288,"")</f>
        <v/>
      </c>
      <c r="B298" s="18" t="str">
        <f>IF(F298&gt;0,EDATE($E$6,288),"")</f>
        <v/>
      </c>
      <c r="C298" s="21">
        <f>IF(H297&gt;0,MIN(IF(K297&gt;0,I$5,99),IF(O297&gt;0,M$5,99),IF(S297&gt;0,Q$5,99),IF(W297&gt;0,U$5,99),IF(AA297&gt;0,Y$5,99),IF(AE297&gt;0,AC$5,99),IF(AI297&gt;0,AG$5,99),IF(AM297&gt;0,AK$5,99),IF(AQ297&gt;0,AO$5,99),IF(AU297&gt;0,AS$5,99)),0)</f>
        <v>0</v>
      </c>
      <c r="D298" t="str">
        <f>IF(C298&gt;0,INDEX($I$4:$AV$4,1,MATCH(C298,$I$5:$AV$5,0)),"")</f>
        <v/>
      </c>
      <c r="E298" s="24">
        <f>ROUND(IF(AND(I$8&gt;0,K297=0),I$6,0)+IF(AND(M$8&gt;0,O297=0),M$6,0)+IF(AND(Q$8&gt;0,S297=0),Q$6,0)+IF(AND(U$8&gt;0,W297=0),U$6,0)+IF(AND(Y$8&gt;0,AA297=0),Y$6,0)+IF(AND(AC$8&gt;0,AE297=0),AC$6,0)+IF(AND(AG$8&gt;0,AI297=0),AG$6,0)+IF(AND(AK$8&gt;0,AM297=0),AK$6,0)+IF(AND(AO$8&gt;0,AQ297=0),AO$6,0)+IF(AND(AS$8&gt;0,AU297=0),AS$6,0),2)</f>
        <v>325</v>
      </c>
      <c r="F298" s="24">
        <f>ROUND(I298+M298+Q298+U298+Y298+AC298+AG298+AK298+AO298+AS298,2)</f>
        <v>0</v>
      </c>
      <c r="G298" s="24">
        <f>ROUND(J298+N298+R298+V298+Z298+AD298+AH298+AL298+AP298+AT298,2)</f>
        <v>0</v>
      </c>
      <c r="H298" s="24">
        <f>ROUND(K298+O298+S298+W298+AA298+AE298+AI298+AM298+AQ298+AU298,2)</f>
        <v>0</v>
      </c>
      <c r="I298" s="24">
        <f>IF(K297&gt;0,IF(AND(ROUND(K297+J298-ROUND(I$6+IF(I$5=$C298,$E$5+$E298,0),2),2)&gt;0,ROUND(K297+J298-ROUND(I$6+IF(I$5=$C298,$E$5+$E298,0),2),2)&lt;=L298,ROUND(K297+J298-ROUND(I$6+IF(I$5=$C298,$E$5+$E298,0),2),2)*10&lt;=ROUND(I$6+IF(I$5=$C298,$E$5+$E298,0),2)),ROUND(K297+J298,2),MIN(ROUND(I$6+IF(I$5=$C298,$E$5+$E298,0),2),ROUND(K297+J298,2))),0)</f>
        <v>0</v>
      </c>
      <c r="J298" s="24">
        <f>IF(K297&gt;0,ROUND(ROUND(K297*100,0)*ROUND(I$7*10000,0)/12000000,0)/100,0)</f>
        <v>0</v>
      </c>
      <c r="K298" s="24">
        <f>IF(K297&gt;0,ROUND(K297+J298-I298,2),0)</f>
        <v>0</v>
      </c>
      <c r="L298" s="24">
        <f>IF(K297&gt;0,ROUND(L297+ROUND(ROUND(L297*100,0)*ROUND(I$7*10000,0)/12000000,0)/100+0.02,2),0)</f>
        <v>0</v>
      </c>
      <c r="M298" s="24">
        <f>IF(O297&gt;0,IF(AND(ROUND(O297+N298-ROUND(M$6+IF(M$5=$C298,$E$5+$E298,0),2),2)&gt;0,ROUND(O297+N298-ROUND(M$6+IF(M$5=$C298,$E$5+$E298,0),2),2)&lt;=P298,ROUND(O297+N298-ROUND(M$6+IF(M$5=$C298,$E$5+$E298,0),2),2)*10&lt;=ROUND(M$6+IF(M$5=$C298,$E$5+$E298,0),2)),ROUND(O297+N298,2),MIN(ROUND(M$6+IF(M$5=$C298,$E$5+$E298,0),2),ROUND(O297+N298,2))),0)</f>
        <v>0</v>
      </c>
      <c r="N298" s="24">
        <f>IF(O297&gt;0,ROUND(ROUND(O297*100,0)*ROUND(M$7*10000,0)/12000000,0)/100,0)</f>
        <v>0</v>
      </c>
      <c r="O298" s="24">
        <f>IF(O297&gt;0,ROUND(O297+N298-M298,2),0)</f>
        <v>0</v>
      </c>
      <c r="P298" s="24">
        <f>IF(O297&gt;0,ROUND(P297+ROUND(ROUND(P297*100,0)*ROUND(M$7*10000,0)/12000000,0)/100+0.02,2),0)</f>
        <v>0</v>
      </c>
      <c r="Q298" s="24">
        <f>IF(S297&gt;0,IF(AND(ROUND(S297+R298-ROUND(Q$6+IF(Q$5=$C298,$E$5+$E298,0),2),2)&gt;0,ROUND(S297+R298-ROUND(Q$6+IF(Q$5=$C298,$E$5+$E298,0),2),2)&lt;=T298,ROUND(S297+R298-ROUND(Q$6+IF(Q$5=$C298,$E$5+$E298,0),2),2)*10&lt;=ROUND(Q$6+IF(Q$5=$C298,$E$5+$E298,0),2)),ROUND(S297+R298,2),MIN(ROUND(Q$6+IF(Q$5=$C298,$E$5+$E298,0),2),ROUND(S297+R298,2))),0)</f>
        <v>0</v>
      </c>
      <c r="R298" s="24">
        <f>IF(S297&gt;0,ROUND(ROUND(S297*100,0)*ROUND(Q$7*10000,0)/12000000,0)/100,0)</f>
        <v>0</v>
      </c>
      <c r="S298" s="24">
        <f>IF(S297&gt;0,ROUND(S297+R298-Q298,2),0)</f>
        <v>0</v>
      </c>
      <c r="T298" s="24">
        <f>IF(S297&gt;0,ROUND(T297+ROUND(ROUND(T297*100,0)*ROUND(Q$7*10000,0)/12000000,0)/100+0.02,2),0)</f>
        <v>0</v>
      </c>
      <c r="U298" s="24">
        <f>IF(W297&gt;0,IF(AND(ROUND(W297+V298-ROUND(U$6+IF(U$5=$C298,$E$5+$E298,0),2),2)&gt;0,ROUND(W297+V298-ROUND(U$6+IF(U$5=$C298,$E$5+$E298,0),2),2)&lt;=X298,ROUND(W297+V298-ROUND(U$6+IF(U$5=$C298,$E$5+$E298,0),2),2)*10&lt;=ROUND(U$6+IF(U$5=$C298,$E$5+$E298,0),2)),ROUND(W297+V298,2),MIN(ROUND(U$6+IF(U$5=$C298,$E$5+$E298,0),2),ROUND(W297+V298,2))),0)</f>
        <v>0</v>
      </c>
      <c r="V298" s="24">
        <f>IF(W297&gt;0,ROUND(ROUND(W297*100,0)*ROUND(U$7*10000,0)/12000000,0)/100,0)</f>
        <v>0</v>
      </c>
      <c r="W298" s="24">
        <f>IF(W297&gt;0,ROUND(W297+V298-U298,2),0)</f>
        <v>0</v>
      </c>
      <c r="X298" s="24">
        <f>IF(W297&gt;0,ROUND(X297+ROUND(ROUND(X297*100,0)*ROUND(U$7*10000,0)/12000000,0)/100+0.02,2),0)</f>
        <v>0</v>
      </c>
      <c r="Y298" s="24">
        <f>IF(AA297&gt;0,IF(AND(ROUND(AA297+Z298-ROUND(Y$6+IF(Y$5=$C298,$E$5+$E298,0),2),2)&gt;0,ROUND(AA297+Z298-ROUND(Y$6+IF(Y$5=$C298,$E$5+$E298,0),2),2)&lt;=AB298,ROUND(AA297+Z298-ROUND(Y$6+IF(Y$5=$C298,$E$5+$E298,0),2),2)*10&lt;=ROUND(Y$6+IF(Y$5=$C298,$E$5+$E298,0),2)),ROUND(AA297+Z298,2),MIN(ROUND(Y$6+IF(Y$5=$C298,$E$5+$E298,0),2),ROUND(AA297+Z298,2))),0)</f>
        <v>0</v>
      </c>
      <c r="Z298" s="24">
        <f>IF(AA297&gt;0,ROUND(ROUND(AA297*100,0)*ROUND(Y$7*10000,0)/12000000,0)/100,0)</f>
        <v>0</v>
      </c>
      <c r="AA298" s="24">
        <f>IF(AA297&gt;0,ROUND(AA297+Z298-Y298,2),0)</f>
        <v>0</v>
      </c>
      <c r="AB298" s="24">
        <f>IF(AA297&gt;0,ROUND(AB297+ROUND(ROUND(AB297*100,0)*ROUND(Y$7*10000,0)/12000000,0)/100+0.02,2),0)</f>
        <v>0</v>
      </c>
      <c r="AC298" s="24">
        <f>IF(AE297&gt;0,IF(AND(ROUND(AE297+AD298-ROUND(AC$6+IF(AC$5=$C298,$E$5+$E298,0),2),2)&gt;0,ROUND(AE297+AD298-ROUND(AC$6+IF(AC$5=$C298,$E$5+$E298,0),2),2)&lt;=AF298,ROUND(AE297+AD298-ROUND(AC$6+IF(AC$5=$C298,$E$5+$E298,0),2),2)*10&lt;=ROUND(AC$6+IF(AC$5=$C298,$E$5+$E298,0),2)),ROUND(AE297+AD298,2),MIN(ROUND(AC$6+IF(AC$5=$C298,$E$5+$E298,0),2),ROUND(AE297+AD298,2))),0)</f>
        <v>0</v>
      </c>
      <c r="AD298" s="24">
        <f>IF(AE297&gt;0,ROUND(ROUND(AE297*100,0)*ROUND(AC$7*10000,0)/12000000,0)/100,0)</f>
        <v>0</v>
      </c>
      <c r="AE298" s="24">
        <f>IF(AE297&gt;0,ROUND(AE297+AD298-AC298,2),0)</f>
        <v>0</v>
      </c>
      <c r="AF298" s="24">
        <f>IF(AE297&gt;0,ROUND(AF297+ROUND(ROUND(AF297*100,0)*ROUND(AC$7*10000,0)/12000000,0)/100+0.02,2),0)</f>
        <v>0</v>
      </c>
      <c r="AG298" s="24">
        <f>IF(AI297&gt;0,IF(AND(ROUND(AI297+AH298-ROUND(AG$6+IF(AG$5=$C298,$E$5+$E298,0),2),2)&gt;0,ROUND(AI297+AH298-ROUND(AG$6+IF(AG$5=$C298,$E$5+$E298,0),2),2)&lt;=AJ298,ROUND(AI297+AH298-ROUND(AG$6+IF(AG$5=$C298,$E$5+$E298,0),2),2)*10&lt;=ROUND(AG$6+IF(AG$5=$C298,$E$5+$E298,0),2)),ROUND(AI297+AH298,2),MIN(ROUND(AG$6+IF(AG$5=$C298,$E$5+$E298,0),2),ROUND(AI297+AH298,2))),0)</f>
        <v>0</v>
      </c>
      <c r="AH298" s="24">
        <f>IF(AI297&gt;0,ROUND(ROUND(AI297*100,0)*ROUND(AG$7*10000,0)/12000000,0)/100,0)</f>
        <v>0</v>
      </c>
      <c r="AI298" s="24">
        <f>IF(AI297&gt;0,ROUND(AI297+AH298-AG298,2),0)</f>
        <v>0</v>
      </c>
      <c r="AJ298" s="24">
        <f>IF(AI297&gt;0,ROUND(AJ297+ROUND(ROUND(AJ297*100,0)*ROUND(AG$7*10000,0)/12000000,0)/100+0.02,2),0)</f>
        <v>0</v>
      </c>
      <c r="AK298" s="24">
        <f>IF(AM297&gt;0,IF(AND(ROUND(AM297+AL298-ROUND(AK$6+IF(AK$5=$C298,$E$5+$E298,0),2),2)&gt;0,ROUND(AM297+AL298-ROUND(AK$6+IF(AK$5=$C298,$E$5+$E298,0),2),2)&lt;=AN298,ROUND(AM297+AL298-ROUND(AK$6+IF(AK$5=$C298,$E$5+$E298,0),2),2)*10&lt;=ROUND(AK$6+IF(AK$5=$C298,$E$5+$E298,0),2)),ROUND(AM297+AL298,2),MIN(ROUND(AK$6+IF(AK$5=$C298,$E$5+$E298,0),2),ROUND(AM297+AL298,2))),0)</f>
        <v>0</v>
      </c>
      <c r="AL298" s="24">
        <f>IF(AM297&gt;0,ROUND(ROUND(AM297*100,0)*ROUND(AK$7*10000,0)/12000000,0)/100,0)</f>
        <v>0</v>
      </c>
      <c r="AM298" s="24">
        <f>IF(AM297&gt;0,ROUND(AM297+AL298-AK298,2),0)</f>
        <v>0</v>
      </c>
      <c r="AN298" s="24">
        <f>IF(AM297&gt;0,ROUND(AN297+ROUND(ROUND(AN297*100,0)*ROUND(AK$7*10000,0)/12000000,0)/100+0.02,2),0)</f>
        <v>0</v>
      </c>
      <c r="AO298" s="24">
        <f>IF(AQ297&gt;0,IF(AND(ROUND(AQ297+AP298-ROUND(AO$6+IF(AO$5=$C298,$E$5+$E298,0),2),2)&gt;0,ROUND(AQ297+AP298-ROUND(AO$6+IF(AO$5=$C298,$E$5+$E298,0),2),2)&lt;=AR298,ROUND(AQ297+AP298-ROUND(AO$6+IF(AO$5=$C298,$E$5+$E298,0),2),2)*10&lt;=ROUND(AO$6+IF(AO$5=$C298,$E$5+$E298,0),2)),ROUND(AQ297+AP298,2),MIN(ROUND(AO$6+IF(AO$5=$C298,$E$5+$E298,0),2),ROUND(AQ297+AP298,2))),0)</f>
        <v>0</v>
      </c>
      <c r="AP298" s="24">
        <f>IF(AQ297&gt;0,ROUND(ROUND(AQ297*100,0)*ROUND(AO$7*10000,0)/12000000,0)/100,0)</f>
        <v>0</v>
      </c>
      <c r="AQ298" s="24">
        <f>IF(AQ297&gt;0,ROUND(AQ297+AP298-AO298,2),0)</f>
        <v>0</v>
      </c>
      <c r="AR298" s="24">
        <f>IF(AQ297&gt;0,ROUND(AR297+ROUND(ROUND(AR297*100,0)*ROUND(AO$7*10000,0)/12000000,0)/100+0.02,2),0)</f>
        <v>0</v>
      </c>
      <c r="AS298" s="24">
        <f>IF(AU297&gt;0,IF(AND(ROUND(AU297+AT298-ROUND(AS$6+IF(AS$5=$C298,$E$5+$E298,0),2),2)&gt;0,ROUND(AU297+AT298-ROUND(AS$6+IF(AS$5=$C298,$E$5+$E298,0),2),2)&lt;=AV298,ROUND(AU297+AT298-ROUND(AS$6+IF(AS$5=$C298,$E$5+$E298,0),2),2)*10&lt;=ROUND(AS$6+IF(AS$5=$C298,$E$5+$E298,0),2)),ROUND(AU297+AT298,2),MIN(ROUND(AS$6+IF(AS$5=$C298,$E$5+$E298,0),2),ROUND(AU297+AT298,2))),0)</f>
        <v>0</v>
      </c>
      <c r="AT298" s="24">
        <f>IF(AU297&gt;0,ROUND(ROUND(AU297*100,0)*ROUND(AS$7*10000,0)/12000000,0)/100,0)</f>
        <v>0</v>
      </c>
      <c r="AU298" s="24">
        <f>IF(AU297&gt;0,ROUND(AU297+AT298-AS298,2),0)</f>
        <v>0</v>
      </c>
      <c r="AV298" s="24">
        <f>IF(AU297&gt;0,ROUND(AV297+ROUND(ROUND(AV297*100,0)*ROUND(AS$7*10000,0)/12000000,0)/100+0.02,2),0)</f>
        <v>0</v>
      </c>
    </row>
    <row r="299" spans="1:48" x14ac:dyDescent="0.25">
      <c r="A299" s="17" t="str">
        <f>IF(F299&gt;0,289,"")</f>
        <v/>
      </c>
      <c r="B299" s="18" t="str">
        <f>IF(F299&gt;0,EDATE($E$6,289),"")</f>
        <v/>
      </c>
      <c r="C299" s="21">
        <f>IF(H298&gt;0,MIN(IF(K298&gt;0,I$5,99),IF(O298&gt;0,M$5,99),IF(S298&gt;0,Q$5,99),IF(W298&gt;0,U$5,99),IF(AA298&gt;0,Y$5,99),IF(AE298&gt;0,AC$5,99),IF(AI298&gt;0,AG$5,99),IF(AM298&gt;0,AK$5,99),IF(AQ298&gt;0,AO$5,99),IF(AU298&gt;0,AS$5,99)),0)</f>
        <v>0</v>
      </c>
      <c r="D299" t="str">
        <f>IF(C299&gt;0,INDEX($I$4:$AV$4,1,MATCH(C299,$I$5:$AV$5,0)),"")</f>
        <v/>
      </c>
      <c r="E299" s="24">
        <f>ROUND(IF(AND(I$8&gt;0,K298=0),I$6,0)+IF(AND(M$8&gt;0,O298=0),M$6,0)+IF(AND(Q$8&gt;0,S298=0),Q$6,0)+IF(AND(U$8&gt;0,W298=0),U$6,0)+IF(AND(Y$8&gt;0,AA298=0),Y$6,0)+IF(AND(AC$8&gt;0,AE298=0),AC$6,0)+IF(AND(AG$8&gt;0,AI298=0),AG$6,0)+IF(AND(AK$8&gt;0,AM298=0),AK$6,0)+IF(AND(AO$8&gt;0,AQ298=0),AO$6,0)+IF(AND(AS$8&gt;0,AU298=0),AS$6,0),2)</f>
        <v>325</v>
      </c>
      <c r="F299" s="24">
        <f>ROUND(I299+M299+Q299+U299+Y299+AC299+AG299+AK299+AO299+AS299,2)</f>
        <v>0</v>
      </c>
      <c r="G299" s="24">
        <f>ROUND(J299+N299+R299+V299+Z299+AD299+AH299+AL299+AP299+AT299,2)</f>
        <v>0</v>
      </c>
      <c r="H299" s="24">
        <f>ROUND(K299+O299+S299+W299+AA299+AE299+AI299+AM299+AQ299+AU299,2)</f>
        <v>0</v>
      </c>
      <c r="I299" s="24">
        <f>IF(K298&gt;0,IF(AND(ROUND(K298+J299-ROUND(I$6+IF(I$5=$C299,$E$5+$E299,0),2),2)&gt;0,ROUND(K298+J299-ROUND(I$6+IF(I$5=$C299,$E$5+$E299,0),2),2)&lt;=L299,ROUND(K298+J299-ROUND(I$6+IF(I$5=$C299,$E$5+$E299,0),2),2)*10&lt;=ROUND(I$6+IF(I$5=$C299,$E$5+$E299,0),2)),ROUND(K298+J299,2),MIN(ROUND(I$6+IF(I$5=$C299,$E$5+$E299,0),2),ROUND(K298+J299,2))),0)</f>
        <v>0</v>
      </c>
      <c r="J299" s="24">
        <f>IF(K298&gt;0,ROUND(ROUND(K298*100,0)*ROUND(I$7*10000,0)/12000000,0)/100,0)</f>
        <v>0</v>
      </c>
      <c r="K299" s="24">
        <f>IF(K298&gt;0,ROUND(K298+J299-I299,2),0)</f>
        <v>0</v>
      </c>
      <c r="L299" s="24">
        <f>IF(K298&gt;0,ROUND(L298+ROUND(ROUND(L298*100,0)*ROUND(I$7*10000,0)/12000000,0)/100+0.02,2),0)</f>
        <v>0</v>
      </c>
      <c r="M299" s="24">
        <f>IF(O298&gt;0,IF(AND(ROUND(O298+N299-ROUND(M$6+IF(M$5=$C299,$E$5+$E299,0),2),2)&gt;0,ROUND(O298+N299-ROUND(M$6+IF(M$5=$C299,$E$5+$E299,0),2),2)&lt;=P299,ROUND(O298+N299-ROUND(M$6+IF(M$5=$C299,$E$5+$E299,0),2),2)*10&lt;=ROUND(M$6+IF(M$5=$C299,$E$5+$E299,0),2)),ROUND(O298+N299,2),MIN(ROUND(M$6+IF(M$5=$C299,$E$5+$E299,0),2),ROUND(O298+N299,2))),0)</f>
        <v>0</v>
      </c>
      <c r="N299" s="24">
        <f>IF(O298&gt;0,ROUND(ROUND(O298*100,0)*ROUND(M$7*10000,0)/12000000,0)/100,0)</f>
        <v>0</v>
      </c>
      <c r="O299" s="24">
        <f>IF(O298&gt;0,ROUND(O298+N299-M299,2),0)</f>
        <v>0</v>
      </c>
      <c r="P299" s="24">
        <f>IF(O298&gt;0,ROUND(P298+ROUND(ROUND(P298*100,0)*ROUND(M$7*10000,0)/12000000,0)/100+0.02,2),0)</f>
        <v>0</v>
      </c>
      <c r="Q299" s="24">
        <f>IF(S298&gt;0,IF(AND(ROUND(S298+R299-ROUND(Q$6+IF(Q$5=$C299,$E$5+$E299,0),2),2)&gt;0,ROUND(S298+R299-ROUND(Q$6+IF(Q$5=$C299,$E$5+$E299,0),2),2)&lt;=T299,ROUND(S298+R299-ROUND(Q$6+IF(Q$5=$C299,$E$5+$E299,0),2),2)*10&lt;=ROUND(Q$6+IF(Q$5=$C299,$E$5+$E299,0),2)),ROUND(S298+R299,2),MIN(ROUND(Q$6+IF(Q$5=$C299,$E$5+$E299,0),2),ROUND(S298+R299,2))),0)</f>
        <v>0</v>
      </c>
      <c r="R299" s="24">
        <f>IF(S298&gt;0,ROUND(ROUND(S298*100,0)*ROUND(Q$7*10000,0)/12000000,0)/100,0)</f>
        <v>0</v>
      </c>
      <c r="S299" s="24">
        <f>IF(S298&gt;0,ROUND(S298+R299-Q299,2),0)</f>
        <v>0</v>
      </c>
      <c r="T299" s="24">
        <f>IF(S298&gt;0,ROUND(T298+ROUND(ROUND(T298*100,0)*ROUND(Q$7*10000,0)/12000000,0)/100+0.02,2),0)</f>
        <v>0</v>
      </c>
      <c r="U299" s="24">
        <f>IF(W298&gt;0,IF(AND(ROUND(W298+V299-ROUND(U$6+IF(U$5=$C299,$E$5+$E299,0),2),2)&gt;0,ROUND(W298+V299-ROUND(U$6+IF(U$5=$C299,$E$5+$E299,0),2),2)&lt;=X299,ROUND(W298+V299-ROUND(U$6+IF(U$5=$C299,$E$5+$E299,0),2),2)*10&lt;=ROUND(U$6+IF(U$5=$C299,$E$5+$E299,0),2)),ROUND(W298+V299,2),MIN(ROUND(U$6+IF(U$5=$C299,$E$5+$E299,0),2),ROUND(W298+V299,2))),0)</f>
        <v>0</v>
      </c>
      <c r="V299" s="24">
        <f>IF(W298&gt;0,ROUND(ROUND(W298*100,0)*ROUND(U$7*10000,0)/12000000,0)/100,0)</f>
        <v>0</v>
      </c>
      <c r="W299" s="24">
        <f>IF(W298&gt;0,ROUND(W298+V299-U299,2),0)</f>
        <v>0</v>
      </c>
      <c r="X299" s="24">
        <f>IF(W298&gt;0,ROUND(X298+ROUND(ROUND(X298*100,0)*ROUND(U$7*10000,0)/12000000,0)/100+0.02,2),0)</f>
        <v>0</v>
      </c>
      <c r="Y299" s="24">
        <f>IF(AA298&gt;0,IF(AND(ROUND(AA298+Z299-ROUND(Y$6+IF(Y$5=$C299,$E$5+$E299,0),2),2)&gt;0,ROUND(AA298+Z299-ROUND(Y$6+IF(Y$5=$C299,$E$5+$E299,0),2),2)&lt;=AB299,ROUND(AA298+Z299-ROUND(Y$6+IF(Y$5=$C299,$E$5+$E299,0),2),2)*10&lt;=ROUND(Y$6+IF(Y$5=$C299,$E$5+$E299,0),2)),ROUND(AA298+Z299,2),MIN(ROUND(Y$6+IF(Y$5=$C299,$E$5+$E299,0),2),ROUND(AA298+Z299,2))),0)</f>
        <v>0</v>
      </c>
      <c r="Z299" s="24">
        <f>IF(AA298&gt;0,ROUND(ROUND(AA298*100,0)*ROUND(Y$7*10000,0)/12000000,0)/100,0)</f>
        <v>0</v>
      </c>
      <c r="AA299" s="24">
        <f>IF(AA298&gt;0,ROUND(AA298+Z299-Y299,2),0)</f>
        <v>0</v>
      </c>
      <c r="AB299" s="24">
        <f>IF(AA298&gt;0,ROUND(AB298+ROUND(ROUND(AB298*100,0)*ROUND(Y$7*10000,0)/12000000,0)/100+0.02,2),0)</f>
        <v>0</v>
      </c>
      <c r="AC299" s="24">
        <f>IF(AE298&gt;0,IF(AND(ROUND(AE298+AD299-ROUND(AC$6+IF(AC$5=$C299,$E$5+$E299,0),2),2)&gt;0,ROUND(AE298+AD299-ROUND(AC$6+IF(AC$5=$C299,$E$5+$E299,0),2),2)&lt;=AF299,ROUND(AE298+AD299-ROUND(AC$6+IF(AC$5=$C299,$E$5+$E299,0),2),2)*10&lt;=ROUND(AC$6+IF(AC$5=$C299,$E$5+$E299,0),2)),ROUND(AE298+AD299,2),MIN(ROUND(AC$6+IF(AC$5=$C299,$E$5+$E299,0),2),ROUND(AE298+AD299,2))),0)</f>
        <v>0</v>
      </c>
      <c r="AD299" s="24">
        <f>IF(AE298&gt;0,ROUND(ROUND(AE298*100,0)*ROUND(AC$7*10000,0)/12000000,0)/100,0)</f>
        <v>0</v>
      </c>
      <c r="AE299" s="24">
        <f>IF(AE298&gt;0,ROUND(AE298+AD299-AC299,2),0)</f>
        <v>0</v>
      </c>
      <c r="AF299" s="24">
        <f>IF(AE298&gt;0,ROUND(AF298+ROUND(ROUND(AF298*100,0)*ROUND(AC$7*10000,0)/12000000,0)/100+0.02,2),0)</f>
        <v>0</v>
      </c>
      <c r="AG299" s="24">
        <f>IF(AI298&gt;0,IF(AND(ROUND(AI298+AH299-ROUND(AG$6+IF(AG$5=$C299,$E$5+$E299,0),2),2)&gt;0,ROUND(AI298+AH299-ROUND(AG$6+IF(AG$5=$C299,$E$5+$E299,0),2),2)&lt;=AJ299,ROUND(AI298+AH299-ROUND(AG$6+IF(AG$5=$C299,$E$5+$E299,0),2),2)*10&lt;=ROUND(AG$6+IF(AG$5=$C299,$E$5+$E299,0),2)),ROUND(AI298+AH299,2),MIN(ROUND(AG$6+IF(AG$5=$C299,$E$5+$E299,0),2),ROUND(AI298+AH299,2))),0)</f>
        <v>0</v>
      </c>
      <c r="AH299" s="24">
        <f>IF(AI298&gt;0,ROUND(ROUND(AI298*100,0)*ROUND(AG$7*10000,0)/12000000,0)/100,0)</f>
        <v>0</v>
      </c>
      <c r="AI299" s="24">
        <f>IF(AI298&gt;0,ROUND(AI298+AH299-AG299,2),0)</f>
        <v>0</v>
      </c>
      <c r="AJ299" s="24">
        <f>IF(AI298&gt;0,ROUND(AJ298+ROUND(ROUND(AJ298*100,0)*ROUND(AG$7*10000,0)/12000000,0)/100+0.02,2),0)</f>
        <v>0</v>
      </c>
      <c r="AK299" s="24">
        <f>IF(AM298&gt;0,IF(AND(ROUND(AM298+AL299-ROUND(AK$6+IF(AK$5=$C299,$E$5+$E299,0),2),2)&gt;0,ROUND(AM298+AL299-ROUND(AK$6+IF(AK$5=$C299,$E$5+$E299,0),2),2)&lt;=AN299,ROUND(AM298+AL299-ROUND(AK$6+IF(AK$5=$C299,$E$5+$E299,0),2),2)*10&lt;=ROUND(AK$6+IF(AK$5=$C299,$E$5+$E299,0),2)),ROUND(AM298+AL299,2),MIN(ROUND(AK$6+IF(AK$5=$C299,$E$5+$E299,0),2),ROUND(AM298+AL299,2))),0)</f>
        <v>0</v>
      </c>
      <c r="AL299" s="24">
        <f>IF(AM298&gt;0,ROUND(ROUND(AM298*100,0)*ROUND(AK$7*10000,0)/12000000,0)/100,0)</f>
        <v>0</v>
      </c>
      <c r="AM299" s="24">
        <f>IF(AM298&gt;0,ROUND(AM298+AL299-AK299,2),0)</f>
        <v>0</v>
      </c>
      <c r="AN299" s="24">
        <f>IF(AM298&gt;0,ROUND(AN298+ROUND(ROUND(AN298*100,0)*ROUND(AK$7*10000,0)/12000000,0)/100+0.02,2),0)</f>
        <v>0</v>
      </c>
      <c r="AO299" s="24">
        <f>IF(AQ298&gt;0,IF(AND(ROUND(AQ298+AP299-ROUND(AO$6+IF(AO$5=$C299,$E$5+$E299,0),2),2)&gt;0,ROUND(AQ298+AP299-ROUND(AO$6+IF(AO$5=$C299,$E$5+$E299,0),2),2)&lt;=AR299,ROUND(AQ298+AP299-ROUND(AO$6+IF(AO$5=$C299,$E$5+$E299,0),2),2)*10&lt;=ROUND(AO$6+IF(AO$5=$C299,$E$5+$E299,0),2)),ROUND(AQ298+AP299,2),MIN(ROUND(AO$6+IF(AO$5=$C299,$E$5+$E299,0),2),ROUND(AQ298+AP299,2))),0)</f>
        <v>0</v>
      </c>
      <c r="AP299" s="24">
        <f>IF(AQ298&gt;0,ROUND(ROUND(AQ298*100,0)*ROUND(AO$7*10000,0)/12000000,0)/100,0)</f>
        <v>0</v>
      </c>
      <c r="AQ299" s="24">
        <f>IF(AQ298&gt;0,ROUND(AQ298+AP299-AO299,2),0)</f>
        <v>0</v>
      </c>
      <c r="AR299" s="24">
        <f>IF(AQ298&gt;0,ROUND(AR298+ROUND(ROUND(AR298*100,0)*ROUND(AO$7*10000,0)/12000000,0)/100+0.02,2),0)</f>
        <v>0</v>
      </c>
      <c r="AS299" s="24">
        <f>IF(AU298&gt;0,IF(AND(ROUND(AU298+AT299-ROUND(AS$6+IF(AS$5=$C299,$E$5+$E299,0),2),2)&gt;0,ROUND(AU298+AT299-ROUND(AS$6+IF(AS$5=$C299,$E$5+$E299,0),2),2)&lt;=AV299,ROUND(AU298+AT299-ROUND(AS$6+IF(AS$5=$C299,$E$5+$E299,0),2),2)*10&lt;=ROUND(AS$6+IF(AS$5=$C299,$E$5+$E299,0),2)),ROUND(AU298+AT299,2),MIN(ROUND(AS$6+IF(AS$5=$C299,$E$5+$E299,0),2),ROUND(AU298+AT299,2))),0)</f>
        <v>0</v>
      </c>
      <c r="AT299" s="24">
        <f>IF(AU298&gt;0,ROUND(ROUND(AU298*100,0)*ROUND(AS$7*10000,0)/12000000,0)/100,0)</f>
        <v>0</v>
      </c>
      <c r="AU299" s="24">
        <f>IF(AU298&gt;0,ROUND(AU298+AT299-AS299,2),0)</f>
        <v>0</v>
      </c>
      <c r="AV299" s="24">
        <f>IF(AU298&gt;0,ROUND(AV298+ROUND(ROUND(AV298*100,0)*ROUND(AS$7*10000,0)/12000000,0)/100+0.02,2),0)</f>
        <v>0</v>
      </c>
    </row>
    <row r="300" spans="1:48" x14ac:dyDescent="0.25">
      <c r="A300" s="17" t="str">
        <f>IF(F300&gt;0,290,"")</f>
        <v/>
      </c>
      <c r="B300" s="18" t="str">
        <f>IF(F300&gt;0,EDATE($E$6,290),"")</f>
        <v/>
      </c>
      <c r="C300" s="21">
        <f>IF(H299&gt;0,MIN(IF(K299&gt;0,I$5,99),IF(O299&gt;0,M$5,99),IF(S299&gt;0,Q$5,99),IF(W299&gt;0,U$5,99),IF(AA299&gt;0,Y$5,99),IF(AE299&gt;0,AC$5,99),IF(AI299&gt;0,AG$5,99),IF(AM299&gt;0,AK$5,99),IF(AQ299&gt;0,AO$5,99),IF(AU299&gt;0,AS$5,99)),0)</f>
        <v>0</v>
      </c>
      <c r="D300" t="str">
        <f>IF(C300&gt;0,INDEX($I$4:$AV$4,1,MATCH(C300,$I$5:$AV$5,0)),"")</f>
        <v/>
      </c>
      <c r="E300" s="24">
        <f>ROUND(IF(AND(I$8&gt;0,K299=0),I$6,0)+IF(AND(M$8&gt;0,O299=0),M$6,0)+IF(AND(Q$8&gt;0,S299=0),Q$6,0)+IF(AND(U$8&gt;0,W299=0),U$6,0)+IF(AND(Y$8&gt;0,AA299=0),Y$6,0)+IF(AND(AC$8&gt;0,AE299=0),AC$6,0)+IF(AND(AG$8&gt;0,AI299=0),AG$6,0)+IF(AND(AK$8&gt;0,AM299=0),AK$6,0)+IF(AND(AO$8&gt;0,AQ299=0),AO$6,0)+IF(AND(AS$8&gt;0,AU299=0),AS$6,0),2)</f>
        <v>325</v>
      </c>
      <c r="F300" s="24">
        <f>ROUND(I300+M300+Q300+U300+Y300+AC300+AG300+AK300+AO300+AS300,2)</f>
        <v>0</v>
      </c>
      <c r="G300" s="24">
        <f>ROUND(J300+N300+R300+V300+Z300+AD300+AH300+AL300+AP300+AT300,2)</f>
        <v>0</v>
      </c>
      <c r="H300" s="24">
        <f>ROUND(K300+O300+S300+W300+AA300+AE300+AI300+AM300+AQ300+AU300,2)</f>
        <v>0</v>
      </c>
      <c r="I300" s="24">
        <f>IF(K299&gt;0,IF(AND(ROUND(K299+J300-ROUND(I$6+IF(I$5=$C300,$E$5+$E300,0),2),2)&gt;0,ROUND(K299+J300-ROUND(I$6+IF(I$5=$C300,$E$5+$E300,0),2),2)&lt;=L300,ROUND(K299+J300-ROUND(I$6+IF(I$5=$C300,$E$5+$E300,0),2),2)*10&lt;=ROUND(I$6+IF(I$5=$C300,$E$5+$E300,0),2)),ROUND(K299+J300,2),MIN(ROUND(I$6+IF(I$5=$C300,$E$5+$E300,0),2),ROUND(K299+J300,2))),0)</f>
        <v>0</v>
      </c>
      <c r="J300" s="24">
        <f>IF(K299&gt;0,ROUND(ROUND(K299*100,0)*ROUND(I$7*10000,0)/12000000,0)/100,0)</f>
        <v>0</v>
      </c>
      <c r="K300" s="24">
        <f>IF(K299&gt;0,ROUND(K299+J300-I300,2),0)</f>
        <v>0</v>
      </c>
      <c r="L300" s="24">
        <f>IF(K299&gt;0,ROUND(L299+ROUND(ROUND(L299*100,0)*ROUND(I$7*10000,0)/12000000,0)/100+0.02,2),0)</f>
        <v>0</v>
      </c>
      <c r="M300" s="24">
        <f>IF(O299&gt;0,IF(AND(ROUND(O299+N300-ROUND(M$6+IF(M$5=$C300,$E$5+$E300,0),2),2)&gt;0,ROUND(O299+N300-ROUND(M$6+IF(M$5=$C300,$E$5+$E300,0),2),2)&lt;=P300,ROUND(O299+N300-ROUND(M$6+IF(M$5=$C300,$E$5+$E300,0),2),2)*10&lt;=ROUND(M$6+IF(M$5=$C300,$E$5+$E300,0),2)),ROUND(O299+N300,2),MIN(ROUND(M$6+IF(M$5=$C300,$E$5+$E300,0),2),ROUND(O299+N300,2))),0)</f>
        <v>0</v>
      </c>
      <c r="N300" s="24">
        <f>IF(O299&gt;0,ROUND(ROUND(O299*100,0)*ROUND(M$7*10000,0)/12000000,0)/100,0)</f>
        <v>0</v>
      </c>
      <c r="O300" s="24">
        <f>IF(O299&gt;0,ROUND(O299+N300-M300,2),0)</f>
        <v>0</v>
      </c>
      <c r="P300" s="24">
        <f>IF(O299&gt;0,ROUND(P299+ROUND(ROUND(P299*100,0)*ROUND(M$7*10000,0)/12000000,0)/100+0.02,2),0)</f>
        <v>0</v>
      </c>
      <c r="Q300" s="24">
        <f>IF(S299&gt;0,IF(AND(ROUND(S299+R300-ROUND(Q$6+IF(Q$5=$C300,$E$5+$E300,0),2),2)&gt;0,ROUND(S299+R300-ROUND(Q$6+IF(Q$5=$C300,$E$5+$E300,0),2),2)&lt;=T300,ROUND(S299+R300-ROUND(Q$6+IF(Q$5=$C300,$E$5+$E300,0),2),2)*10&lt;=ROUND(Q$6+IF(Q$5=$C300,$E$5+$E300,0),2)),ROUND(S299+R300,2),MIN(ROUND(Q$6+IF(Q$5=$C300,$E$5+$E300,0),2),ROUND(S299+R300,2))),0)</f>
        <v>0</v>
      </c>
      <c r="R300" s="24">
        <f>IF(S299&gt;0,ROUND(ROUND(S299*100,0)*ROUND(Q$7*10000,0)/12000000,0)/100,0)</f>
        <v>0</v>
      </c>
      <c r="S300" s="24">
        <f>IF(S299&gt;0,ROUND(S299+R300-Q300,2),0)</f>
        <v>0</v>
      </c>
      <c r="T300" s="24">
        <f>IF(S299&gt;0,ROUND(T299+ROUND(ROUND(T299*100,0)*ROUND(Q$7*10000,0)/12000000,0)/100+0.02,2),0)</f>
        <v>0</v>
      </c>
      <c r="U300" s="24">
        <f>IF(W299&gt;0,IF(AND(ROUND(W299+V300-ROUND(U$6+IF(U$5=$C300,$E$5+$E300,0),2),2)&gt;0,ROUND(W299+V300-ROUND(U$6+IF(U$5=$C300,$E$5+$E300,0),2),2)&lt;=X300,ROUND(W299+V300-ROUND(U$6+IF(U$5=$C300,$E$5+$E300,0),2),2)*10&lt;=ROUND(U$6+IF(U$5=$C300,$E$5+$E300,0),2)),ROUND(W299+V300,2),MIN(ROUND(U$6+IF(U$5=$C300,$E$5+$E300,0),2),ROUND(W299+V300,2))),0)</f>
        <v>0</v>
      </c>
      <c r="V300" s="24">
        <f>IF(W299&gt;0,ROUND(ROUND(W299*100,0)*ROUND(U$7*10000,0)/12000000,0)/100,0)</f>
        <v>0</v>
      </c>
      <c r="W300" s="24">
        <f>IF(W299&gt;0,ROUND(W299+V300-U300,2),0)</f>
        <v>0</v>
      </c>
      <c r="X300" s="24">
        <f>IF(W299&gt;0,ROUND(X299+ROUND(ROUND(X299*100,0)*ROUND(U$7*10000,0)/12000000,0)/100+0.02,2),0)</f>
        <v>0</v>
      </c>
      <c r="Y300" s="24">
        <f>IF(AA299&gt;0,IF(AND(ROUND(AA299+Z300-ROUND(Y$6+IF(Y$5=$C300,$E$5+$E300,0),2),2)&gt;0,ROUND(AA299+Z300-ROUND(Y$6+IF(Y$5=$C300,$E$5+$E300,0),2),2)&lt;=AB300,ROUND(AA299+Z300-ROUND(Y$6+IF(Y$5=$C300,$E$5+$E300,0),2),2)*10&lt;=ROUND(Y$6+IF(Y$5=$C300,$E$5+$E300,0),2)),ROUND(AA299+Z300,2),MIN(ROUND(Y$6+IF(Y$5=$C300,$E$5+$E300,0),2),ROUND(AA299+Z300,2))),0)</f>
        <v>0</v>
      </c>
      <c r="Z300" s="24">
        <f>IF(AA299&gt;0,ROUND(ROUND(AA299*100,0)*ROUND(Y$7*10000,0)/12000000,0)/100,0)</f>
        <v>0</v>
      </c>
      <c r="AA300" s="24">
        <f>IF(AA299&gt;0,ROUND(AA299+Z300-Y300,2),0)</f>
        <v>0</v>
      </c>
      <c r="AB300" s="24">
        <f>IF(AA299&gt;0,ROUND(AB299+ROUND(ROUND(AB299*100,0)*ROUND(Y$7*10000,0)/12000000,0)/100+0.02,2),0)</f>
        <v>0</v>
      </c>
      <c r="AC300" s="24">
        <f>IF(AE299&gt;0,IF(AND(ROUND(AE299+AD300-ROUND(AC$6+IF(AC$5=$C300,$E$5+$E300,0),2),2)&gt;0,ROUND(AE299+AD300-ROUND(AC$6+IF(AC$5=$C300,$E$5+$E300,0),2),2)&lt;=AF300,ROUND(AE299+AD300-ROUND(AC$6+IF(AC$5=$C300,$E$5+$E300,0),2),2)*10&lt;=ROUND(AC$6+IF(AC$5=$C300,$E$5+$E300,0),2)),ROUND(AE299+AD300,2),MIN(ROUND(AC$6+IF(AC$5=$C300,$E$5+$E300,0),2),ROUND(AE299+AD300,2))),0)</f>
        <v>0</v>
      </c>
      <c r="AD300" s="24">
        <f>IF(AE299&gt;0,ROUND(ROUND(AE299*100,0)*ROUND(AC$7*10000,0)/12000000,0)/100,0)</f>
        <v>0</v>
      </c>
      <c r="AE300" s="24">
        <f>IF(AE299&gt;0,ROUND(AE299+AD300-AC300,2),0)</f>
        <v>0</v>
      </c>
      <c r="AF300" s="24">
        <f>IF(AE299&gt;0,ROUND(AF299+ROUND(ROUND(AF299*100,0)*ROUND(AC$7*10000,0)/12000000,0)/100+0.02,2),0)</f>
        <v>0</v>
      </c>
      <c r="AG300" s="24">
        <f>IF(AI299&gt;0,IF(AND(ROUND(AI299+AH300-ROUND(AG$6+IF(AG$5=$C300,$E$5+$E300,0),2),2)&gt;0,ROUND(AI299+AH300-ROUND(AG$6+IF(AG$5=$C300,$E$5+$E300,0),2),2)&lt;=AJ300,ROUND(AI299+AH300-ROUND(AG$6+IF(AG$5=$C300,$E$5+$E300,0),2),2)*10&lt;=ROUND(AG$6+IF(AG$5=$C300,$E$5+$E300,0),2)),ROUND(AI299+AH300,2),MIN(ROUND(AG$6+IF(AG$5=$C300,$E$5+$E300,0),2),ROUND(AI299+AH300,2))),0)</f>
        <v>0</v>
      </c>
      <c r="AH300" s="24">
        <f>IF(AI299&gt;0,ROUND(ROUND(AI299*100,0)*ROUND(AG$7*10000,0)/12000000,0)/100,0)</f>
        <v>0</v>
      </c>
      <c r="AI300" s="24">
        <f>IF(AI299&gt;0,ROUND(AI299+AH300-AG300,2),0)</f>
        <v>0</v>
      </c>
      <c r="AJ300" s="24">
        <f>IF(AI299&gt;0,ROUND(AJ299+ROUND(ROUND(AJ299*100,0)*ROUND(AG$7*10000,0)/12000000,0)/100+0.02,2),0)</f>
        <v>0</v>
      </c>
      <c r="AK300" s="24">
        <f>IF(AM299&gt;0,IF(AND(ROUND(AM299+AL300-ROUND(AK$6+IF(AK$5=$C300,$E$5+$E300,0),2),2)&gt;0,ROUND(AM299+AL300-ROUND(AK$6+IF(AK$5=$C300,$E$5+$E300,0),2),2)&lt;=AN300,ROUND(AM299+AL300-ROUND(AK$6+IF(AK$5=$C300,$E$5+$E300,0),2),2)*10&lt;=ROUND(AK$6+IF(AK$5=$C300,$E$5+$E300,0),2)),ROUND(AM299+AL300,2),MIN(ROUND(AK$6+IF(AK$5=$C300,$E$5+$E300,0),2),ROUND(AM299+AL300,2))),0)</f>
        <v>0</v>
      </c>
      <c r="AL300" s="24">
        <f>IF(AM299&gt;0,ROUND(ROUND(AM299*100,0)*ROUND(AK$7*10000,0)/12000000,0)/100,0)</f>
        <v>0</v>
      </c>
      <c r="AM300" s="24">
        <f>IF(AM299&gt;0,ROUND(AM299+AL300-AK300,2),0)</f>
        <v>0</v>
      </c>
      <c r="AN300" s="24">
        <f>IF(AM299&gt;0,ROUND(AN299+ROUND(ROUND(AN299*100,0)*ROUND(AK$7*10000,0)/12000000,0)/100+0.02,2),0)</f>
        <v>0</v>
      </c>
      <c r="AO300" s="24">
        <f>IF(AQ299&gt;0,IF(AND(ROUND(AQ299+AP300-ROUND(AO$6+IF(AO$5=$C300,$E$5+$E300,0),2),2)&gt;0,ROUND(AQ299+AP300-ROUND(AO$6+IF(AO$5=$C300,$E$5+$E300,0),2),2)&lt;=AR300,ROUND(AQ299+AP300-ROUND(AO$6+IF(AO$5=$C300,$E$5+$E300,0),2),2)*10&lt;=ROUND(AO$6+IF(AO$5=$C300,$E$5+$E300,0),2)),ROUND(AQ299+AP300,2),MIN(ROUND(AO$6+IF(AO$5=$C300,$E$5+$E300,0),2),ROUND(AQ299+AP300,2))),0)</f>
        <v>0</v>
      </c>
      <c r="AP300" s="24">
        <f>IF(AQ299&gt;0,ROUND(ROUND(AQ299*100,0)*ROUND(AO$7*10000,0)/12000000,0)/100,0)</f>
        <v>0</v>
      </c>
      <c r="AQ300" s="24">
        <f>IF(AQ299&gt;0,ROUND(AQ299+AP300-AO300,2),0)</f>
        <v>0</v>
      </c>
      <c r="AR300" s="24">
        <f>IF(AQ299&gt;0,ROUND(AR299+ROUND(ROUND(AR299*100,0)*ROUND(AO$7*10000,0)/12000000,0)/100+0.02,2),0)</f>
        <v>0</v>
      </c>
      <c r="AS300" s="24">
        <f>IF(AU299&gt;0,IF(AND(ROUND(AU299+AT300-ROUND(AS$6+IF(AS$5=$C300,$E$5+$E300,0),2),2)&gt;0,ROUND(AU299+AT300-ROUND(AS$6+IF(AS$5=$C300,$E$5+$E300,0),2),2)&lt;=AV300,ROUND(AU299+AT300-ROUND(AS$6+IF(AS$5=$C300,$E$5+$E300,0),2),2)*10&lt;=ROUND(AS$6+IF(AS$5=$C300,$E$5+$E300,0),2)),ROUND(AU299+AT300,2),MIN(ROUND(AS$6+IF(AS$5=$C300,$E$5+$E300,0),2),ROUND(AU299+AT300,2))),0)</f>
        <v>0</v>
      </c>
      <c r="AT300" s="24">
        <f>IF(AU299&gt;0,ROUND(ROUND(AU299*100,0)*ROUND(AS$7*10000,0)/12000000,0)/100,0)</f>
        <v>0</v>
      </c>
      <c r="AU300" s="24">
        <f>IF(AU299&gt;0,ROUND(AU299+AT300-AS300,2),0)</f>
        <v>0</v>
      </c>
      <c r="AV300" s="24">
        <f>IF(AU299&gt;0,ROUND(AV299+ROUND(ROUND(AV299*100,0)*ROUND(AS$7*10000,0)/12000000,0)/100+0.02,2),0)</f>
        <v>0</v>
      </c>
    </row>
    <row r="301" spans="1:48" x14ac:dyDescent="0.25">
      <c r="A301" s="17" t="str">
        <f>IF(F301&gt;0,291,"")</f>
        <v/>
      </c>
      <c r="B301" s="18" t="str">
        <f>IF(F301&gt;0,EDATE($E$6,291),"")</f>
        <v/>
      </c>
      <c r="C301" s="21">
        <f>IF(H300&gt;0,MIN(IF(K300&gt;0,I$5,99),IF(O300&gt;0,M$5,99),IF(S300&gt;0,Q$5,99),IF(W300&gt;0,U$5,99),IF(AA300&gt;0,Y$5,99),IF(AE300&gt;0,AC$5,99),IF(AI300&gt;0,AG$5,99),IF(AM300&gt;0,AK$5,99),IF(AQ300&gt;0,AO$5,99),IF(AU300&gt;0,AS$5,99)),0)</f>
        <v>0</v>
      </c>
      <c r="D301" t="str">
        <f>IF(C301&gt;0,INDEX($I$4:$AV$4,1,MATCH(C301,$I$5:$AV$5,0)),"")</f>
        <v/>
      </c>
      <c r="E301" s="24">
        <f>ROUND(IF(AND(I$8&gt;0,K300=0),I$6,0)+IF(AND(M$8&gt;0,O300=0),M$6,0)+IF(AND(Q$8&gt;0,S300=0),Q$6,0)+IF(AND(U$8&gt;0,W300=0),U$6,0)+IF(AND(Y$8&gt;0,AA300=0),Y$6,0)+IF(AND(AC$8&gt;0,AE300=0),AC$6,0)+IF(AND(AG$8&gt;0,AI300=0),AG$6,0)+IF(AND(AK$8&gt;0,AM300=0),AK$6,0)+IF(AND(AO$8&gt;0,AQ300=0),AO$6,0)+IF(AND(AS$8&gt;0,AU300=0),AS$6,0),2)</f>
        <v>325</v>
      </c>
      <c r="F301" s="24">
        <f>ROUND(I301+M301+Q301+U301+Y301+AC301+AG301+AK301+AO301+AS301,2)</f>
        <v>0</v>
      </c>
      <c r="G301" s="24">
        <f>ROUND(J301+N301+R301+V301+Z301+AD301+AH301+AL301+AP301+AT301,2)</f>
        <v>0</v>
      </c>
      <c r="H301" s="24">
        <f>ROUND(K301+O301+S301+W301+AA301+AE301+AI301+AM301+AQ301+AU301,2)</f>
        <v>0</v>
      </c>
      <c r="I301" s="24">
        <f>IF(K300&gt;0,IF(AND(ROUND(K300+J301-ROUND(I$6+IF(I$5=$C301,$E$5+$E301,0),2),2)&gt;0,ROUND(K300+J301-ROUND(I$6+IF(I$5=$C301,$E$5+$E301,0),2),2)&lt;=L301,ROUND(K300+J301-ROUND(I$6+IF(I$5=$C301,$E$5+$E301,0),2),2)*10&lt;=ROUND(I$6+IF(I$5=$C301,$E$5+$E301,0),2)),ROUND(K300+J301,2),MIN(ROUND(I$6+IF(I$5=$C301,$E$5+$E301,0),2),ROUND(K300+J301,2))),0)</f>
        <v>0</v>
      </c>
      <c r="J301" s="24">
        <f>IF(K300&gt;0,ROUND(ROUND(K300*100,0)*ROUND(I$7*10000,0)/12000000,0)/100,0)</f>
        <v>0</v>
      </c>
      <c r="K301" s="24">
        <f>IF(K300&gt;0,ROUND(K300+J301-I301,2),0)</f>
        <v>0</v>
      </c>
      <c r="L301" s="24">
        <f>IF(K300&gt;0,ROUND(L300+ROUND(ROUND(L300*100,0)*ROUND(I$7*10000,0)/12000000,0)/100+0.02,2),0)</f>
        <v>0</v>
      </c>
      <c r="M301" s="24">
        <f>IF(O300&gt;0,IF(AND(ROUND(O300+N301-ROUND(M$6+IF(M$5=$C301,$E$5+$E301,0),2),2)&gt;0,ROUND(O300+N301-ROUND(M$6+IF(M$5=$C301,$E$5+$E301,0),2),2)&lt;=P301,ROUND(O300+N301-ROUND(M$6+IF(M$5=$C301,$E$5+$E301,0),2),2)*10&lt;=ROUND(M$6+IF(M$5=$C301,$E$5+$E301,0),2)),ROUND(O300+N301,2),MIN(ROUND(M$6+IF(M$5=$C301,$E$5+$E301,0),2),ROUND(O300+N301,2))),0)</f>
        <v>0</v>
      </c>
      <c r="N301" s="24">
        <f>IF(O300&gt;0,ROUND(ROUND(O300*100,0)*ROUND(M$7*10000,0)/12000000,0)/100,0)</f>
        <v>0</v>
      </c>
      <c r="O301" s="24">
        <f>IF(O300&gt;0,ROUND(O300+N301-M301,2),0)</f>
        <v>0</v>
      </c>
      <c r="P301" s="24">
        <f>IF(O300&gt;0,ROUND(P300+ROUND(ROUND(P300*100,0)*ROUND(M$7*10000,0)/12000000,0)/100+0.02,2),0)</f>
        <v>0</v>
      </c>
      <c r="Q301" s="24">
        <f>IF(S300&gt;0,IF(AND(ROUND(S300+R301-ROUND(Q$6+IF(Q$5=$C301,$E$5+$E301,0),2),2)&gt;0,ROUND(S300+R301-ROUND(Q$6+IF(Q$5=$C301,$E$5+$E301,0),2),2)&lt;=T301,ROUND(S300+R301-ROUND(Q$6+IF(Q$5=$C301,$E$5+$E301,0),2),2)*10&lt;=ROUND(Q$6+IF(Q$5=$C301,$E$5+$E301,0),2)),ROUND(S300+R301,2),MIN(ROUND(Q$6+IF(Q$5=$C301,$E$5+$E301,0),2),ROUND(S300+R301,2))),0)</f>
        <v>0</v>
      </c>
      <c r="R301" s="24">
        <f>IF(S300&gt;0,ROUND(ROUND(S300*100,0)*ROUND(Q$7*10000,0)/12000000,0)/100,0)</f>
        <v>0</v>
      </c>
      <c r="S301" s="24">
        <f>IF(S300&gt;0,ROUND(S300+R301-Q301,2),0)</f>
        <v>0</v>
      </c>
      <c r="T301" s="24">
        <f>IF(S300&gt;0,ROUND(T300+ROUND(ROUND(T300*100,0)*ROUND(Q$7*10000,0)/12000000,0)/100+0.02,2),0)</f>
        <v>0</v>
      </c>
      <c r="U301" s="24">
        <f>IF(W300&gt;0,IF(AND(ROUND(W300+V301-ROUND(U$6+IF(U$5=$C301,$E$5+$E301,0),2),2)&gt;0,ROUND(W300+V301-ROUND(U$6+IF(U$5=$C301,$E$5+$E301,0),2),2)&lt;=X301,ROUND(W300+V301-ROUND(U$6+IF(U$5=$C301,$E$5+$E301,0),2),2)*10&lt;=ROUND(U$6+IF(U$5=$C301,$E$5+$E301,0),2)),ROUND(W300+V301,2),MIN(ROUND(U$6+IF(U$5=$C301,$E$5+$E301,0),2),ROUND(W300+V301,2))),0)</f>
        <v>0</v>
      </c>
      <c r="V301" s="24">
        <f>IF(W300&gt;0,ROUND(ROUND(W300*100,0)*ROUND(U$7*10000,0)/12000000,0)/100,0)</f>
        <v>0</v>
      </c>
      <c r="W301" s="24">
        <f>IF(W300&gt;0,ROUND(W300+V301-U301,2),0)</f>
        <v>0</v>
      </c>
      <c r="X301" s="24">
        <f>IF(W300&gt;0,ROUND(X300+ROUND(ROUND(X300*100,0)*ROUND(U$7*10000,0)/12000000,0)/100+0.02,2),0)</f>
        <v>0</v>
      </c>
      <c r="Y301" s="24">
        <f>IF(AA300&gt;0,IF(AND(ROUND(AA300+Z301-ROUND(Y$6+IF(Y$5=$C301,$E$5+$E301,0),2),2)&gt;0,ROUND(AA300+Z301-ROUND(Y$6+IF(Y$5=$C301,$E$5+$E301,0),2),2)&lt;=AB301,ROUND(AA300+Z301-ROUND(Y$6+IF(Y$5=$C301,$E$5+$E301,0),2),2)*10&lt;=ROUND(Y$6+IF(Y$5=$C301,$E$5+$E301,0),2)),ROUND(AA300+Z301,2),MIN(ROUND(Y$6+IF(Y$5=$C301,$E$5+$E301,0),2),ROUND(AA300+Z301,2))),0)</f>
        <v>0</v>
      </c>
      <c r="Z301" s="24">
        <f>IF(AA300&gt;0,ROUND(ROUND(AA300*100,0)*ROUND(Y$7*10000,0)/12000000,0)/100,0)</f>
        <v>0</v>
      </c>
      <c r="AA301" s="24">
        <f>IF(AA300&gt;0,ROUND(AA300+Z301-Y301,2),0)</f>
        <v>0</v>
      </c>
      <c r="AB301" s="24">
        <f>IF(AA300&gt;0,ROUND(AB300+ROUND(ROUND(AB300*100,0)*ROUND(Y$7*10000,0)/12000000,0)/100+0.02,2),0)</f>
        <v>0</v>
      </c>
      <c r="AC301" s="24">
        <f>IF(AE300&gt;0,IF(AND(ROUND(AE300+AD301-ROUND(AC$6+IF(AC$5=$C301,$E$5+$E301,0),2),2)&gt;0,ROUND(AE300+AD301-ROUND(AC$6+IF(AC$5=$C301,$E$5+$E301,0),2),2)&lt;=AF301,ROUND(AE300+AD301-ROUND(AC$6+IF(AC$5=$C301,$E$5+$E301,0),2),2)*10&lt;=ROUND(AC$6+IF(AC$5=$C301,$E$5+$E301,0),2)),ROUND(AE300+AD301,2),MIN(ROUND(AC$6+IF(AC$5=$C301,$E$5+$E301,0),2),ROUND(AE300+AD301,2))),0)</f>
        <v>0</v>
      </c>
      <c r="AD301" s="24">
        <f>IF(AE300&gt;0,ROUND(ROUND(AE300*100,0)*ROUND(AC$7*10000,0)/12000000,0)/100,0)</f>
        <v>0</v>
      </c>
      <c r="AE301" s="24">
        <f>IF(AE300&gt;0,ROUND(AE300+AD301-AC301,2),0)</f>
        <v>0</v>
      </c>
      <c r="AF301" s="24">
        <f>IF(AE300&gt;0,ROUND(AF300+ROUND(ROUND(AF300*100,0)*ROUND(AC$7*10000,0)/12000000,0)/100+0.02,2),0)</f>
        <v>0</v>
      </c>
      <c r="AG301" s="24">
        <f>IF(AI300&gt;0,IF(AND(ROUND(AI300+AH301-ROUND(AG$6+IF(AG$5=$C301,$E$5+$E301,0),2),2)&gt;0,ROUND(AI300+AH301-ROUND(AG$6+IF(AG$5=$C301,$E$5+$E301,0),2),2)&lt;=AJ301,ROUND(AI300+AH301-ROUND(AG$6+IF(AG$5=$C301,$E$5+$E301,0),2),2)*10&lt;=ROUND(AG$6+IF(AG$5=$C301,$E$5+$E301,0),2)),ROUND(AI300+AH301,2),MIN(ROUND(AG$6+IF(AG$5=$C301,$E$5+$E301,0),2),ROUND(AI300+AH301,2))),0)</f>
        <v>0</v>
      </c>
      <c r="AH301" s="24">
        <f>IF(AI300&gt;0,ROUND(ROUND(AI300*100,0)*ROUND(AG$7*10000,0)/12000000,0)/100,0)</f>
        <v>0</v>
      </c>
      <c r="AI301" s="24">
        <f>IF(AI300&gt;0,ROUND(AI300+AH301-AG301,2),0)</f>
        <v>0</v>
      </c>
      <c r="AJ301" s="24">
        <f>IF(AI300&gt;0,ROUND(AJ300+ROUND(ROUND(AJ300*100,0)*ROUND(AG$7*10000,0)/12000000,0)/100+0.02,2),0)</f>
        <v>0</v>
      </c>
      <c r="AK301" s="24">
        <f>IF(AM300&gt;0,IF(AND(ROUND(AM300+AL301-ROUND(AK$6+IF(AK$5=$C301,$E$5+$E301,0),2),2)&gt;0,ROUND(AM300+AL301-ROUND(AK$6+IF(AK$5=$C301,$E$5+$E301,0),2),2)&lt;=AN301,ROUND(AM300+AL301-ROUND(AK$6+IF(AK$5=$C301,$E$5+$E301,0),2),2)*10&lt;=ROUND(AK$6+IF(AK$5=$C301,$E$5+$E301,0),2)),ROUND(AM300+AL301,2),MIN(ROUND(AK$6+IF(AK$5=$C301,$E$5+$E301,0),2),ROUND(AM300+AL301,2))),0)</f>
        <v>0</v>
      </c>
      <c r="AL301" s="24">
        <f>IF(AM300&gt;0,ROUND(ROUND(AM300*100,0)*ROUND(AK$7*10000,0)/12000000,0)/100,0)</f>
        <v>0</v>
      </c>
      <c r="AM301" s="24">
        <f>IF(AM300&gt;0,ROUND(AM300+AL301-AK301,2),0)</f>
        <v>0</v>
      </c>
      <c r="AN301" s="24">
        <f>IF(AM300&gt;0,ROUND(AN300+ROUND(ROUND(AN300*100,0)*ROUND(AK$7*10000,0)/12000000,0)/100+0.02,2),0)</f>
        <v>0</v>
      </c>
      <c r="AO301" s="24">
        <f>IF(AQ300&gt;0,IF(AND(ROUND(AQ300+AP301-ROUND(AO$6+IF(AO$5=$C301,$E$5+$E301,0),2),2)&gt;0,ROUND(AQ300+AP301-ROUND(AO$6+IF(AO$5=$C301,$E$5+$E301,0),2),2)&lt;=AR301,ROUND(AQ300+AP301-ROUND(AO$6+IF(AO$5=$C301,$E$5+$E301,0),2),2)*10&lt;=ROUND(AO$6+IF(AO$5=$C301,$E$5+$E301,0),2)),ROUND(AQ300+AP301,2),MIN(ROUND(AO$6+IF(AO$5=$C301,$E$5+$E301,0),2),ROUND(AQ300+AP301,2))),0)</f>
        <v>0</v>
      </c>
      <c r="AP301" s="24">
        <f>IF(AQ300&gt;0,ROUND(ROUND(AQ300*100,0)*ROUND(AO$7*10000,0)/12000000,0)/100,0)</f>
        <v>0</v>
      </c>
      <c r="AQ301" s="24">
        <f>IF(AQ300&gt;0,ROUND(AQ300+AP301-AO301,2),0)</f>
        <v>0</v>
      </c>
      <c r="AR301" s="24">
        <f>IF(AQ300&gt;0,ROUND(AR300+ROUND(ROUND(AR300*100,0)*ROUND(AO$7*10000,0)/12000000,0)/100+0.02,2),0)</f>
        <v>0</v>
      </c>
      <c r="AS301" s="24">
        <f>IF(AU300&gt;0,IF(AND(ROUND(AU300+AT301-ROUND(AS$6+IF(AS$5=$C301,$E$5+$E301,0),2),2)&gt;0,ROUND(AU300+AT301-ROUND(AS$6+IF(AS$5=$C301,$E$5+$E301,0),2),2)&lt;=AV301,ROUND(AU300+AT301-ROUND(AS$6+IF(AS$5=$C301,$E$5+$E301,0),2),2)*10&lt;=ROUND(AS$6+IF(AS$5=$C301,$E$5+$E301,0),2)),ROUND(AU300+AT301,2),MIN(ROUND(AS$6+IF(AS$5=$C301,$E$5+$E301,0),2),ROUND(AU300+AT301,2))),0)</f>
        <v>0</v>
      </c>
      <c r="AT301" s="24">
        <f>IF(AU300&gt;0,ROUND(ROUND(AU300*100,0)*ROUND(AS$7*10000,0)/12000000,0)/100,0)</f>
        <v>0</v>
      </c>
      <c r="AU301" s="24">
        <f>IF(AU300&gt;0,ROUND(AU300+AT301-AS301,2),0)</f>
        <v>0</v>
      </c>
      <c r="AV301" s="24">
        <f>IF(AU300&gt;0,ROUND(AV300+ROUND(ROUND(AV300*100,0)*ROUND(AS$7*10000,0)/12000000,0)/100+0.02,2),0)</f>
        <v>0</v>
      </c>
    </row>
    <row r="302" spans="1:48" x14ac:dyDescent="0.25">
      <c r="A302" s="17" t="str">
        <f>IF(F302&gt;0,292,"")</f>
        <v/>
      </c>
      <c r="B302" s="18" t="str">
        <f>IF(F302&gt;0,EDATE($E$6,292),"")</f>
        <v/>
      </c>
      <c r="C302" s="21">
        <f>IF(H301&gt;0,MIN(IF(K301&gt;0,I$5,99),IF(O301&gt;0,M$5,99),IF(S301&gt;0,Q$5,99),IF(W301&gt;0,U$5,99),IF(AA301&gt;0,Y$5,99),IF(AE301&gt;0,AC$5,99),IF(AI301&gt;0,AG$5,99),IF(AM301&gt;0,AK$5,99),IF(AQ301&gt;0,AO$5,99),IF(AU301&gt;0,AS$5,99)),0)</f>
        <v>0</v>
      </c>
      <c r="D302" t="str">
        <f>IF(C302&gt;0,INDEX($I$4:$AV$4,1,MATCH(C302,$I$5:$AV$5,0)),"")</f>
        <v/>
      </c>
      <c r="E302" s="24">
        <f>ROUND(IF(AND(I$8&gt;0,K301=0),I$6,0)+IF(AND(M$8&gt;0,O301=0),M$6,0)+IF(AND(Q$8&gt;0,S301=0),Q$6,0)+IF(AND(U$8&gt;0,W301=0),U$6,0)+IF(AND(Y$8&gt;0,AA301=0),Y$6,0)+IF(AND(AC$8&gt;0,AE301=0),AC$6,0)+IF(AND(AG$8&gt;0,AI301=0),AG$6,0)+IF(AND(AK$8&gt;0,AM301=0),AK$6,0)+IF(AND(AO$8&gt;0,AQ301=0),AO$6,0)+IF(AND(AS$8&gt;0,AU301=0),AS$6,0),2)</f>
        <v>325</v>
      </c>
      <c r="F302" s="24">
        <f>ROUND(I302+M302+Q302+U302+Y302+AC302+AG302+AK302+AO302+AS302,2)</f>
        <v>0</v>
      </c>
      <c r="G302" s="24">
        <f>ROUND(J302+N302+R302+V302+Z302+AD302+AH302+AL302+AP302+AT302,2)</f>
        <v>0</v>
      </c>
      <c r="H302" s="24">
        <f>ROUND(K302+O302+S302+W302+AA302+AE302+AI302+AM302+AQ302+AU302,2)</f>
        <v>0</v>
      </c>
      <c r="I302" s="24">
        <f>IF(K301&gt;0,IF(AND(ROUND(K301+J302-ROUND(I$6+IF(I$5=$C302,$E$5+$E302,0),2),2)&gt;0,ROUND(K301+J302-ROUND(I$6+IF(I$5=$C302,$E$5+$E302,0),2),2)&lt;=L302,ROUND(K301+J302-ROUND(I$6+IF(I$5=$C302,$E$5+$E302,0),2),2)*10&lt;=ROUND(I$6+IF(I$5=$C302,$E$5+$E302,0),2)),ROUND(K301+J302,2),MIN(ROUND(I$6+IF(I$5=$C302,$E$5+$E302,0),2),ROUND(K301+J302,2))),0)</f>
        <v>0</v>
      </c>
      <c r="J302" s="24">
        <f>IF(K301&gt;0,ROUND(ROUND(K301*100,0)*ROUND(I$7*10000,0)/12000000,0)/100,0)</f>
        <v>0</v>
      </c>
      <c r="K302" s="24">
        <f>IF(K301&gt;0,ROUND(K301+J302-I302,2),0)</f>
        <v>0</v>
      </c>
      <c r="L302" s="24">
        <f>IF(K301&gt;0,ROUND(L301+ROUND(ROUND(L301*100,0)*ROUND(I$7*10000,0)/12000000,0)/100+0.02,2),0)</f>
        <v>0</v>
      </c>
      <c r="M302" s="24">
        <f>IF(O301&gt;0,IF(AND(ROUND(O301+N302-ROUND(M$6+IF(M$5=$C302,$E$5+$E302,0),2),2)&gt;0,ROUND(O301+N302-ROUND(M$6+IF(M$5=$C302,$E$5+$E302,0),2),2)&lt;=P302,ROUND(O301+N302-ROUND(M$6+IF(M$5=$C302,$E$5+$E302,0),2),2)*10&lt;=ROUND(M$6+IF(M$5=$C302,$E$5+$E302,0),2)),ROUND(O301+N302,2),MIN(ROUND(M$6+IF(M$5=$C302,$E$5+$E302,0),2),ROUND(O301+N302,2))),0)</f>
        <v>0</v>
      </c>
      <c r="N302" s="24">
        <f>IF(O301&gt;0,ROUND(ROUND(O301*100,0)*ROUND(M$7*10000,0)/12000000,0)/100,0)</f>
        <v>0</v>
      </c>
      <c r="O302" s="24">
        <f>IF(O301&gt;0,ROUND(O301+N302-M302,2),0)</f>
        <v>0</v>
      </c>
      <c r="P302" s="24">
        <f>IF(O301&gt;0,ROUND(P301+ROUND(ROUND(P301*100,0)*ROUND(M$7*10000,0)/12000000,0)/100+0.02,2),0)</f>
        <v>0</v>
      </c>
      <c r="Q302" s="24">
        <f>IF(S301&gt;0,IF(AND(ROUND(S301+R302-ROUND(Q$6+IF(Q$5=$C302,$E$5+$E302,0),2),2)&gt;0,ROUND(S301+R302-ROUND(Q$6+IF(Q$5=$C302,$E$5+$E302,0),2),2)&lt;=T302,ROUND(S301+R302-ROUND(Q$6+IF(Q$5=$C302,$E$5+$E302,0),2),2)*10&lt;=ROUND(Q$6+IF(Q$5=$C302,$E$5+$E302,0),2)),ROUND(S301+R302,2),MIN(ROUND(Q$6+IF(Q$5=$C302,$E$5+$E302,0),2),ROUND(S301+R302,2))),0)</f>
        <v>0</v>
      </c>
      <c r="R302" s="24">
        <f>IF(S301&gt;0,ROUND(ROUND(S301*100,0)*ROUND(Q$7*10000,0)/12000000,0)/100,0)</f>
        <v>0</v>
      </c>
      <c r="S302" s="24">
        <f>IF(S301&gt;0,ROUND(S301+R302-Q302,2),0)</f>
        <v>0</v>
      </c>
      <c r="T302" s="24">
        <f>IF(S301&gt;0,ROUND(T301+ROUND(ROUND(T301*100,0)*ROUND(Q$7*10000,0)/12000000,0)/100+0.02,2),0)</f>
        <v>0</v>
      </c>
      <c r="U302" s="24">
        <f>IF(W301&gt;0,IF(AND(ROUND(W301+V302-ROUND(U$6+IF(U$5=$C302,$E$5+$E302,0),2),2)&gt;0,ROUND(W301+V302-ROUND(U$6+IF(U$5=$C302,$E$5+$E302,0),2),2)&lt;=X302,ROUND(W301+V302-ROUND(U$6+IF(U$5=$C302,$E$5+$E302,0),2),2)*10&lt;=ROUND(U$6+IF(U$5=$C302,$E$5+$E302,0),2)),ROUND(W301+V302,2),MIN(ROUND(U$6+IF(U$5=$C302,$E$5+$E302,0),2),ROUND(W301+V302,2))),0)</f>
        <v>0</v>
      </c>
      <c r="V302" s="24">
        <f>IF(W301&gt;0,ROUND(ROUND(W301*100,0)*ROUND(U$7*10000,0)/12000000,0)/100,0)</f>
        <v>0</v>
      </c>
      <c r="W302" s="24">
        <f>IF(W301&gt;0,ROUND(W301+V302-U302,2),0)</f>
        <v>0</v>
      </c>
      <c r="X302" s="24">
        <f>IF(W301&gt;0,ROUND(X301+ROUND(ROUND(X301*100,0)*ROUND(U$7*10000,0)/12000000,0)/100+0.02,2),0)</f>
        <v>0</v>
      </c>
      <c r="Y302" s="24">
        <f>IF(AA301&gt;0,IF(AND(ROUND(AA301+Z302-ROUND(Y$6+IF(Y$5=$C302,$E$5+$E302,0),2),2)&gt;0,ROUND(AA301+Z302-ROUND(Y$6+IF(Y$5=$C302,$E$5+$E302,0),2),2)&lt;=AB302,ROUND(AA301+Z302-ROUND(Y$6+IF(Y$5=$C302,$E$5+$E302,0),2),2)*10&lt;=ROUND(Y$6+IF(Y$5=$C302,$E$5+$E302,0),2)),ROUND(AA301+Z302,2),MIN(ROUND(Y$6+IF(Y$5=$C302,$E$5+$E302,0),2),ROUND(AA301+Z302,2))),0)</f>
        <v>0</v>
      </c>
      <c r="Z302" s="24">
        <f>IF(AA301&gt;0,ROUND(ROUND(AA301*100,0)*ROUND(Y$7*10000,0)/12000000,0)/100,0)</f>
        <v>0</v>
      </c>
      <c r="AA302" s="24">
        <f>IF(AA301&gt;0,ROUND(AA301+Z302-Y302,2),0)</f>
        <v>0</v>
      </c>
      <c r="AB302" s="24">
        <f>IF(AA301&gt;0,ROUND(AB301+ROUND(ROUND(AB301*100,0)*ROUND(Y$7*10000,0)/12000000,0)/100+0.02,2),0)</f>
        <v>0</v>
      </c>
      <c r="AC302" s="24">
        <f>IF(AE301&gt;0,IF(AND(ROUND(AE301+AD302-ROUND(AC$6+IF(AC$5=$C302,$E$5+$E302,0),2),2)&gt;0,ROUND(AE301+AD302-ROUND(AC$6+IF(AC$5=$C302,$E$5+$E302,0),2),2)&lt;=AF302,ROUND(AE301+AD302-ROUND(AC$6+IF(AC$5=$C302,$E$5+$E302,0),2),2)*10&lt;=ROUND(AC$6+IF(AC$5=$C302,$E$5+$E302,0),2)),ROUND(AE301+AD302,2),MIN(ROUND(AC$6+IF(AC$5=$C302,$E$5+$E302,0),2),ROUND(AE301+AD302,2))),0)</f>
        <v>0</v>
      </c>
      <c r="AD302" s="24">
        <f>IF(AE301&gt;0,ROUND(ROUND(AE301*100,0)*ROUND(AC$7*10000,0)/12000000,0)/100,0)</f>
        <v>0</v>
      </c>
      <c r="AE302" s="24">
        <f>IF(AE301&gt;0,ROUND(AE301+AD302-AC302,2),0)</f>
        <v>0</v>
      </c>
      <c r="AF302" s="24">
        <f>IF(AE301&gt;0,ROUND(AF301+ROUND(ROUND(AF301*100,0)*ROUND(AC$7*10000,0)/12000000,0)/100+0.02,2),0)</f>
        <v>0</v>
      </c>
      <c r="AG302" s="24">
        <f>IF(AI301&gt;0,IF(AND(ROUND(AI301+AH302-ROUND(AG$6+IF(AG$5=$C302,$E$5+$E302,0),2),2)&gt;0,ROUND(AI301+AH302-ROUND(AG$6+IF(AG$5=$C302,$E$5+$E302,0),2),2)&lt;=AJ302,ROUND(AI301+AH302-ROUND(AG$6+IF(AG$5=$C302,$E$5+$E302,0),2),2)*10&lt;=ROUND(AG$6+IF(AG$5=$C302,$E$5+$E302,0),2)),ROUND(AI301+AH302,2),MIN(ROUND(AG$6+IF(AG$5=$C302,$E$5+$E302,0),2),ROUND(AI301+AH302,2))),0)</f>
        <v>0</v>
      </c>
      <c r="AH302" s="24">
        <f>IF(AI301&gt;0,ROUND(ROUND(AI301*100,0)*ROUND(AG$7*10000,0)/12000000,0)/100,0)</f>
        <v>0</v>
      </c>
      <c r="AI302" s="24">
        <f>IF(AI301&gt;0,ROUND(AI301+AH302-AG302,2),0)</f>
        <v>0</v>
      </c>
      <c r="AJ302" s="24">
        <f>IF(AI301&gt;0,ROUND(AJ301+ROUND(ROUND(AJ301*100,0)*ROUND(AG$7*10000,0)/12000000,0)/100+0.02,2),0)</f>
        <v>0</v>
      </c>
      <c r="AK302" s="24">
        <f>IF(AM301&gt;0,IF(AND(ROUND(AM301+AL302-ROUND(AK$6+IF(AK$5=$C302,$E$5+$E302,0),2),2)&gt;0,ROUND(AM301+AL302-ROUND(AK$6+IF(AK$5=$C302,$E$5+$E302,0),2),2)&lt;=AN302,ROUND(AM301+AL302-ROUND(AK$6+IF(AK$5=$C302,$E$5+$E302,0),2),2)*10&lt;=ROUND(AK$6+IF(AK$5=$C302,$E$5+$E302,0),2)),ROUND(AM301+AL302,2),MIN(ROUND(AK$6+IF(AK$5=$C302,$E$5+$E302,0),2),ROUND(AM301+AL302,2))),0)</f>
        <v>0</v>
      </c>
      <c r="AL302" s="24">
        <f>IF(AM301&gt;0,ROUND(ROUND(AM301*100,0)*ROUND(AK$7*10000,0)/12000000,0)/100,0)</f>
        <v>0</v>
      </c>
      <c r="AM302" s="24">
        <f>IF(AM301&gt;0,ROUND(AM301+AL302-AK302,2),0)</f>
        <v>0</v>
      </c>
      <c r="AN302" s="24">
        <f>IF(AM301&gt;0,ROUND(AN301+ROUND(ROUND(AN301*100,0)*ROUND(AK$7*10000,0)/12000000,0)/100+0.02,2),0)</f>
        <v>0</v>
      </c>
      <c r="AO302" s="24">
        <f>IF(AQ301&gt;0,IF(AND(ROUND(AQ301+AP302-ROUND(AO$6+IF(AO$5=$C302,$E$5+$E302,0),2),2)&gt;0,ROUND(AQ301+AP302-ROUND(AO$6+IF(AO$5=$C302,$E$5+$E302,0),2),2)&lt;=AR302,ROUND(AQ301+AP302-ROUND(AO$6+IF(AO$5=$C302,$E$5+$E302,0),2),2)*10&lt;=ROUND(AO$6+IF(AO$5=$C302,$E$5+$E302,0),2)),ROUND(AQ301+AP302,2),MIN(ROUND(AO$6+IF(AO$5=$C302,$E$5+$E302,0),2),ROUND(AQ301+AP302,2))),0)</f>
        <v>0</v>
      </c>
      <c r="AP302" s="24">
        <f>IF(AQ301&gt;0,ROUND(ROUND(AQ301*100,0)*ROUND(AO$7*10000,0)/12000000,0)/100,0)</f>
        <v>0</v>
      </c>
      <c r="AQ302" s="24">
        <f>IF(AQ301&gt;0,ROUND(AQ301+AP302-AO302,2),0)</f>
        <v>0</v>
      </c>
      <c r="AR302" s="24">
        <f>IF(AQ301&gt;0,ROUND(AR301+ROUND(ROUND(AR301*100,0)*ROUND(AO$7*10000,0)/12000000,0)/100+0.02,2),0)</f>
        <v>0</v>
      </c>
      <c r="AS302" s="24">
        <f>IF(AU301&gt;0,IF(AND(ROUND(AU301+AT302-ROUND(AS$6+IF(AS$5=$C302,$E$5+$E302,0),2),2)&gt;0,ROUND(AU301+AT302-ROUND(AS$6+IF(AS$5=$C302,$E$5+$E302,0),2),2)&lt;=AV302,ROUND(AU301+AT302-ROUND(AS$6+IF(AS$5=$C302,$E$5+$E302,0),2),2)*10&lt;=ROUND(AS$6+IF(AS$5=$C302,$E$5+$E302,0),2)),ROUND(AU301+AT302,2),MIN(ROUND(AS$6+IF(AS$5=$C302,$E$5+$E302,0),2),ROUND(AU301+AT302,2))),0)</f>
        <v>0</v>
      </c>
      <c r="AT302" s="24">
        <f>IF(AU301&gt;0,ROUND(ROUND(AU301*100,0)*ROUND(AS$7*10000,0)/12000000,0)/100,0)</f>
        <v>0</v>
      </c>
      <c r="AU302" s="24">
        <f>IF(AU301&gt;0,ROUND(AU301+AT302-AS302,2),0)</f>
        <v>0</v>
      </c>
      <c r="AV302" s="24">
        <f>IF(AU301&gt;0,ROUND(AV301+ROUND(ROUND(AV301*100,0)*ROUND(AS$7*10000,0)/12000000,0)/100+0.02,2),0)</f>
        <v>0</v>
      </c>
    </row>
    <row r="303" spans="1:48" x14ac:dyDescent="0.25">
      <c r="A303" s="17" t="str">
        <f>IF(F303&gt;0,293,"")</f>
        <v/>
      </c>
      <c r="B303" s="18" t="str">
        <f>IF(F303&gt;0,EDATE($E$6,293),"")</f>
        <v/>
      </c>
      <c r="C303" s="21">
        <f>IF(H302&gt;0,MIN(IF(K302&gt;0,I$5,99),IF(O302&gt;0,M$5,99),IF(S302&gt;0,Q$5,99),IF(W302&gt;0,U$5,99),IF(AA302&gt;0,Y$5,99),IF(AE302&gt;0,AC$5,99),IF(AI302&gt;0,AG$5,99),IF(AM302&gt;0,AK$5,99),IF(AQ302&gt;0,AO$5,99),IF(AU302&gt;0,AS$5,99)),0)</f>
        <v>0</v>
      </c>
      <c r="D303" t="str">
        <f>IF(C303&gt;0,INDEX($I$4:$AV$4,1,MATCH(C303,$I$5:$AV$5,0)),"")</f>
        <v/>
      </c>
      <c r="E303" s="24">
        <f>ROUND(IF(AND(I$8&gt;0,K302=0),I$6,0)+IF(AND(M$8&gt;0,O302=0),M$6,0)+IF(AND(Q$8&gt;0,S302=0),Q$6,0)+IF(AND(U$8&gt;0,W302=0),U$6,0)+IF(AND(Y$8&gt;0,AA302=0),Y$6,0)+IF(AND(AC$8&gt;0,AE302=0),AC$6,0)+IF(AND(AG$8&gt;0,AI302=0),AG$6,0)+IF(AND(AK$8&gt;0,AM302=0),AK$6,0)+IF(AND(AO$8&gt;0,AQ302=0),AO$6,0)+IF(AND(AS$8&gt;0,AU302=0),AS$6,0),2)</f>
        <v>325</v>
      </c>
      <c r="F303" s="24">
        <f>ROUND(I303+M303+Q303+U303+Y303+AC303+AG303+AK303+AO303+AS303,2)</f>
        <v>0</v>
      </c>
      <c r="G303" s="24">
        <f>ROUND(J303+N303+R303+V303+Z303+AD303+AH303+AL303+AP303+AT303,2)</f>
        <v>0</v>
      </c>
      <c r="H303" s="24">
        <f>ROUND(K303+O303+S303+W303+AA303+AE303+AI303+AM303+AQ303+AU303,2)</f>
        <v>0</v>
      </c>
      <c r="I303" s="24">
        <f>IF(K302&gt;0,IF(AND(ROUND(K302+J303-ROUND(I$6+IF(I$5=$C303,$E$5+$E303,0),2),2)&gt;0,ROUND(K302+J303-ROUND(I$6+IF(I$5=$C303,$E$5+$E303,0),2),2)&lt;=L303,ROUND(K302+J303-ROUND(I$6+IF(I$5=$C303,$E$5+$E303,0),2),2)*10&lt;=ROUND(I$6+IF(I$5=$C303,$E$5+$E303,0),2)),ROUND(K302+J303,2),MIN(ROUND(I$6+IF(I$5=$C303,$E$5+$E303,0),2),ROUND(K302+J303,2))),0)</f>
        <v>0</v>
      </c>
      <c r="J303" s="24">
        <f>IF(K302&gt;0,ROUND(ROUND(K302*100,0)*ROUND(I$7*10000,0)/12000000,0)/100,0)</f>
        <v>0</v>
      </c>
      <c r="K303" s="24">
        <f>IF(K302&gt;0,ROUND(K302+J303-I303,2),0)</f>
        <v>0</v>
      </c>
      <c r="L303" s="24">
        <f>IF(K302&gt;0,ROUND(L302+ROUND(ROUND(L302*100,0)*ROUND(I$7*10000,0)/12000000,0)/100+0.02,2),0)</f>
        <v>0</v>
      </c>
      <c r="M303" s="24">
        <f>IF(O302&gt;0,IF(AND(ROUND(O302+N303-ROUND(M$6+IF(M$5=$C303,$E$5+$E303,0),2),2)&gt;0,ROUND(O302+N303-ROUND(M$6+IF(M$5=$C303,$E$5+$E303,0),2),2)&lt;=P303,ROUND(O302+N303-ROUND(M$6+IF(M$5=$C303,$E$5+$E303,0),2),2)*10&lt;=ROUND(M$6+IF(M$5=$C303,$E$5+$E303,0),2)),ROUND(O302+N303,2),MIN(ROUND(M$6+IF(M$5=$C303,$E$5+$E303,0),2),ROUND(O302+N303,2))),0)</f>
        <v>0</v>
      </c>
      <c r="N303" s="24">
        <f>IF(O302&gt;0,ROUND(ROUND(O302*100,0)*ROUND(M$7*10000,0)/12000000,0)/100,0)</f>
        <v>0</v>
      </c>
      <c r="O303" s="24">
        <f>IF(O302&gt;0,ROUND(O302+N303-M303,2),0)</f>
        <v>0</v>
      </c>
      <c r="P303" s="24">
        <f>IF(O302&gt;0,ROUND(P302+ROUND(ROUND(P302*100,0)*ROUND(M$7*10000,0)/12000000,0)/100+0.02,2),0)</f>
        <v>0</v>
      </c>
      <c r="Q303" s="24">
        <f>IF(S302&gt;0,IF(AND(ROUND(S302+R303-ROUND(Q$6+IF(Q$5=$C303,$E$5+$E303,0),2),2)&gt;0,ROUND(S302+R303-ROUND(Q$6+IF(Q$5=$C303,$E$5+$E303,0),2),2)&lt;=T303,ROUND(S302+R303-ROUND(Q$6+IF(Q$5=$C303,$E$5+$E303,0),2),2)*10&lt;=ROUND(Q$6+IF(Q$5=$C303,$E$5+$E303,0),2)),ROUND(S302+R303,2),MIN(ROUND(Q$6+IF(Q$5=$C303,$E$5+$E303,0),2),ROUND(S302+R303,2))),0)</f>
        <v>0</v>
      </c>
      <c r="R303" s="24">
        <f>IF(S302&gt;0,ROUND(ROUND(S302*100,0)*ROUND(Q$7*10000,0)/12000000,0)/100,0)</f>
        <v>0</v>
      </c>
      <c r="S303" s="24">
        <f>IF(S302&gt;0,ROUND(S302+R303-Q303,2),0)</f>
        <v>0</v>
      </c>
      <c r="T303" s="24">
        <f>IF(S302&gt;0,ROUND(T302+ROUND(ROUND(T302*100,0)*ROUND(Q$7*10000,0)/12000000,0)/100+0.02,2),0)</f>
        <v>0</v>
      </c>
      <c r="U303" s="24">
        <f>IF(W302&gt;0,IF(AND(ROUND(W302+V303-ROUND(U$6+IF(U$5=$C303,$E$5+$E303,0),2),2)&gt;0,ROUND(W302+V303-ROUND(U$6+IF(U$5=$C303,$E$5+$E303,0),2),2)&lt;=X303,ROUND(W302+V303-ROUND(U$6+IF(U$5=$C303,$E$5+$E303,0),2),2)*10&lt;=ROUND(U$6+IF(U$5=$C303,$E$5+$E303,0),2)),ROUND(W302+V303,2),MIN(ROUND(U$6+IF(U$5=$C303,$E$5+$E303,0),2),ROUND(W302+V303,2))),0)</f>
        <v>0</v>
      </c>
      <c r="V303" s="24">
        <f>IF(W302&gt;0,ROUND(ROUND(W302*100,0)*ROUND(U$7*10000,0)/12000000,0)/100,0)</f>
        <v>0</v>
      </c>
      <c r="W303" s="24">
        <f>IF(W302&gt;0,ROUND(W302+V303-U303,2),0)</f>
        <v>0</v>
      </c>
      <c r="X303" s="24">
        <f>IF(W302&gt;0,ROUND(X302+ROUND(ROUND(X302*100,0)*ROUND(U$7*10000,0)/12000000,0)/100+0.02,2),0)</f>
        <v>0</v>
      </c>
      <c r="Y303" s="24">
        <f>IF(AA302&gt;0,IF(AND(ROUND(AA302+Z303-ROUND(Y$6+IF(Y$5=$C303,$E$5+$E303,0),2),2)&gt;0,ROUND(AA302+Z303-ROUND(Y$6+IF(Y$5=$C303,$E$5+$E303,0),2),2)&lt;=AB303,ROUND(AA302+Z303-ROUND(Y$6+IF(Y$5=$C303,$E$5+$E303,0),2),2)*10&lt;=ROUND(Y$6+IF(Y$5=$C303,$E$5+$E303,0),2)),ROUND(AA302+Z303,2),MIN(ROUND(Y$6+IF(Y$5=$C303,$E$5+$E303,0),2),ROUND(AA302+Z303,2))),0)</f>
        <v>0</v>
      </c>
      <c r="Z303" s="24">
        <f>IF(AA302&gt;0,ROUND(ROUND(AA302*100,0)*ROUND(Y$7*10000,0)/12000000,0)/100,0)</f>
        <v>0</v>
      </c>
      <c r="AA303" s="24">
        <f>IF(AA302&gt;0,ROUND(AA302+Z303-Y303,2),0)</f>
        <v>0</v>
      </c>
      <c r="AB303" s="24">
        <f>IF(AA302&gt;0,ROUND(AB302+ROUND(ROUND(AB302*100,0)*ROUND(Y$7*10000,0)/12000000,0)/100+0.02,2),0)</f>
        <v>0</v>
      </c>
      <c r="AC303" s="24">
        <f>IF(AE302&gt;0,IF(AND(ROUND(AE302+AD303-ROUND(AC$6+IF(AC$5=$C303,$E$5+$E303,0),2),2)&gt;0,ROUND(AE302+AD303-ROUND(AC$6+IF(AC$5=$C303,$E$5+$E303,0),2),2)&lt;=AF303,ROUND(AE302+AD303-ROUND(AC$6+IF(AC$5=$C303,$E$5+$E303,0),2),2)*10&lt;=ROUND(AC$6+IF(AC$5=$C303,$E$5+$E303,0),2)),ROUND(AE302+AD303,2),MIN(ROUND(AC$6+IF(AC$5=$C303,$E$5+$E303,0),2),ROUND(AE302+AD303,2))),0)</f>
        <v>0</v>
      </c>
      <c r="AD303" s="24">
        <f>IF(AE302&gt;0,ROUND(ROUND(AE302*100,0)*ROUND(AC$7*10000,0)/12000000,0)/100,0)</f>
        <v>0</v>
      </c>
      <c r="AE303" s="24">
        <f>IF(AE302&gt;0,ROUND(AE302+AD303-AC303,2),0)</f>
        <v>0</v>
      </c>
      <c r="AF303" s="24">
        <f>IF(AE302&gt;0,ROUND(AF302+ROUND(ROUND(AF302*100,0)*ROUND(AC$7*10000,0)/12000000,0)/100+0.02,2),0)</f>
        <v>0</v>
      </c>
      <c r="AG303" s="24">
        <f>IF(AI302&gt;0,IF(AND(ROUND(AI302+AH303-ROUND(AG$6+IF(AG$5=$C303,$E$5+$E303,0),2),2)&gt;0,ROUND(AI302+AH303-ROUND(AG$6+IF(AG$5=$C303,$E$5+$E303,0),2),2)&lt;=AJ303,ROUND(AI302+AH303-ROUND(AG$6+IF(AG$5=$C303,$E$5+$E303,0),2),2)*10&lt;=ROUND(AG$6+IF(AG$5=$C303,$E$5+$E303,0),2)),ROUND(AI302+AH303,2),MIN(ROUND(AG$6+IF(AG$5=$C303,$E$5+$E303,0),2),ROUND(AI302+AH303,2))),0)</f>
        <v>0</v>
      </c>
      <c r="AH303" s="24">
        <f>IF(AI302&gt;0,ROUND(ROUND(AI302*100,0)*ROUND(AG$7*10000,0)/12000000,0)/100,0)</f>
        <v>0</v>
      </c>
      <c r="AI303" s="24">
        <f>IF(AI302&gt;0,ROUND(AI302+AH303-AG303,2),0)</f>
        <v>0</v>
      </c>
      <c r="AJ303" s="24">
        <f>IF(AI302&gt;0,ROUND(AJ302+ROUND(ROUND(AJ302*100,0)*ROUND(AG$7*10000,0)/12000000,0)/100+0.02,2),0)</f>
        <v>0</v>
      </c>
      <c r="AK303" s="24">
        <f>IF(AM302&gt;0,IF(AND(ROUND(AM302+AL303-ROUND(AK$6+IF(AK$5=$C303,$E$5+$E303,0),2),2)&gt;0,ROUND(AM302+AL303-ROUND(AK$6+IF(AK$5=$C303,$E$5+$E303,0),2),2)&lt;=AN303,ROUND(AM302+AL303-ROUND(AK$6+IF(AK$5=$C303,$E$5+$E303,0),2),2)*10&lt;=ROUND(AK$6+IF(AK$5=$C303,$E$5+$E303,0),2)),ROUND(AM302+AL303,2),MIN(ROUND(AK$6+IF(AK$5=$C303,$E$5+$E303,0),2),ROUND(AM302+AL303,2))),0)</f>
        <v>0</v>
      </c>
      <c r="AL303" s="24">
        <f>IF(AM302&gt;0,ROUND(ROUND(AM302*100,0)*ROUND(AK$7*10000,0)/12000000,0)/100,0)</f>
        <v>0</v>
      </c>
      <c r="AM303" s="24">
        <f>IF(AM302&gt;0,ROUND(AM302+AL303-AK303,2),0)</f>
        <v>0</v>
      </c>
      <c r="AN303" s="24">
        <f>IF(AM302&gt;0,ROUND(AN302+ROUND(ROUND(AN302*100,0)*ROUND(AK$7*10000,0)/12000000,0)/100+0.02,2),0)</f>
        <v>0</v>
      </c>
      <c r="AO303" s="24">
        <f>IF(AQ302&gt;0,IF(AND(ROUND(AQ302+AP303-ROUND(AO$6+IF(AO$5=$C303,$E$5+$E303,0),2),2)&gt;0,ROUND(AQ302+AP303-ROUND(AO$6+IF(AO$5=$C303,$E$5+$E303,0),2),2)&lt;=AR303,ROUND(AQ302+AP303-ROUND(AO$6+IF(AO$5=$C303,$E$5+$E303,0),2),2)*10&lt;=ROUND(AO$6+IF(AO$5=$C303,$E$5+$E303,0),2)),ROUND(AQ302+AP303,2),MIN(ROUND(AO$6+IF(AO$5=$C303,$E$5+$E303,0),2),ROUND(AQ302+AP303,2))),0)</f>
        <v>0</v>
      </c>
      <c r="AP303" s="24">
        <f>IF(AQ302&gt;0,ROUND(ROUND(AQ302*100,0)*ROUND(AO$7*10000,0)/12000000,0)/100,0)</f>
        <v>0</v>
      </c>
      <c r="AQ303" s="24">
        <f>IF(AQ302&gt;0,ROUND(AQ302+AP303-AO303,2),0)</f>
        <v>0</v>
      </c>
      <c r="AR303" s="24">
        <f>IF(AQ302&gt;0,ROUND(AR302+ROUND(ROUND(AR302*100,0)*ROUND(AO$7*10000,0)/12000000,0)/100+0.02,2),0)</f>
        <v>0</v>
      </c>
      <c r="AS303" s="24">
        <f>IF(AU302&gt;0,IF(AND(ROUND(AU302+AT303-ROUND(AS$6+IF(AS$5=$C303,$E$5+$E303,0),2),2)&gt;0,ROUND(AU302+AT303-ROUND(AS$6+IF(AS$5=$C303,$E$5+$E303,0),2),2)&lt;=AV303,ROUND(AU302+AT303-ROUND(AS$6+IF(AS$5=$C303,$E$5+$E303,0),2),2)*10&lt;=ROUND(AS$6+IF(AS$5=$C303,$E$5+$E303,0),2)),ROUND(AU302+AT303,2),MIN(ROUND(AS$6+IF(AS$5=$C303,$E$5+$E303,0),2),ROUND(AU302+AT303,2))),0)</f>
        <v>0</v>
      </c>
      <c r="AT303" s="24">
        <f>IF(AU302&gt;0,ROUND(ROUND(AU302*100,0)*ROUND(AS$7*10000,0)/12000000,0)/100,0)</f>
        <v>0</v>
      </c>
      <c r="AU303" s="24">
        <f>IF(AU302&gt;0,ROUND(AU302+AT303-AS303,2),0)</f>
        <v>0</v>
      </c>
      <c r="AV303" s="24">
        <f>IF(AU302&gt;0,ROUND(AV302+ROUND(ROUND(AV302*100,0)*ROUND(AS$7*10000,0)/12000000,0)/100+0.02,2),0)</f>
        <v>0</v>
      </c>
    </row>
    <row r="304" spans="1:48" x14ac:dyDescent="0.25">
      <c r="A304" s="17" t="str">
        <f>IF(F304&gt;0,294,"")</f>
        <v/>
      </c>
      <c r="B304" s="18" t="str">
        <f>IF(F304&gt;0,EDATE($E$6,294),"")</f>
        <v/>
      </c>
      <c r="C304" s="21">
        <f>IF(H303&gt;0,MIN(IF(K303&gt;0,I$5,99),IF(O303&gt;0,M$5,99),IF(S303&gt;0,Q$5,99),IF(W303&gt;0,U$5,99),IF(AA303&gt;0,Y$5,99),IF(AE303&gt;0,AC$5,99),IF(AI303&gt;0,AG$5,99),IF(AM303&gt;0,AK$5,99),IF(AQ303&gt;0,AO$5,99),IF(AU303&gt;0,AS$5,99)),0)</f>
        <v>0</v>
      </c>
      <c r="D304" t="str">
        <f>IF(C304&gt;0,INDEX($I$4:$AV$4,1,MATCH(C304,$I$5:$AV$5,0)),"")</f>
        <v/>
      </c>
      <c r="E304" s="24">
        <f>ROUND(IF(AND(I$8&gt;0,K303=0),I$6,0)+IF(AND(M$8&gt;0,O303=0),M$6,0)+IF(AND(Q$8&gt;0,S303=0),Q$6,0)+IF(AND(U$8&gt;0,W303=0),U$6,0)+IF(AND(Y$8&gt;0,AA303=0),Y$6,0)+IF(AND(AC$8&gt;0,AE303=0),AC$6,0)+IF(AND(AG$8&gt;0,AI303=0),AG$6,0)+IF(AND(AK$8&gt;0,AM303=0),AK$6,0)+IF(AND(AO$8&gt;0,AQ303=0),AO$6,0)+IF(AND(AS$8&gt;0,AU303=0),AS$6,0),2)</f>
        <v>325</v>
      </c>
      <c r="F304" s="24">
        <f>ROUND(I304+M304+Q304+U304+Y304+AC304+AG304+AK304+AO304+AS304,2)</f>
        <v>0</v>
      </c>
      <c r="G304" s="24">
        <f>ROUND(J304+N304+R304+V304+Z304+AD304+AH304+AL304+AP304+AT304,2)</f>
        <v>0</v>
      </c>
      <c r="H304" s="24">
        <f>ROUND(K304+O304+S304+W304+AA304+AE304+AI304+AM304+AQ304+AU304,2)</f>
        <v>0</v>
      </c>
      <c r="I304" s="24">
        <f>IF(K303&gt;0,IF(AND(ROUND(K303+J304-ROUND(I$6+IF(I$5=$C304,$E$5+$E304,0),2),2)&gt;0,ROUND(K303+J304-ROUND(I$6+IF(I$5=$C304,$E$5+$E304,0),2),2)&lt;=L304,ROUND(K303+J304-ROUND(I$6+IF(I$5=$C304,$E$5+$E304,0),2),2)*10&lt;=ROUND(I$6+IF(I$5=$C304,$E$5+$E304,0),2)),ROUND(K303+J304,2),MIN(ROUND(I$6+IF(I$5=$C304,$E$5+$E304,0),2),ROUND(K303+J304,2))),0)</f>
        <v>0</v>
      </c>
      <c r="J304" s="24">
        <f>IF(K303&gt;0,ROUND(ROUND(K303*100,0)*ROUND(I$7*10000,0)/12000000,0)/100,0)</f>
        <v>0</v>
      </c>
      <c r="K304" s="24">
        <f>IF(K303&gt;0,ROUND(K303+J304-I304,2),0)</f>
        <v>0</v>
      </c>
      <c r="L304" s="24">
        <f>IF(K303&gt;0,ROUND(L303+ROUND(ROUND(L303*100,0)*ROUND(I$7*10000,0)/12000000,0)/100+0.02,2),0)</f>
        <v>0</v>
      </c>
      <c r="M304" s="24">
        <f>IF(O303&gt;0,IF(AND(ROUND(O303+N304-ROUND(M$6+IF(M$5=$C304,$E$5+$E304,0),2),2)&gt;0,ROUND(O303+N304-ROUND(M$6+IF(M$5=$C304,$E$5+$E304,0),2),2)&lt;=P304,ROUND(O303+N304-ROUND(M$6+IF(M$5=$C304,$E$5+$E304,0),2),2)*10&lt;=ROUND(M$6+IF(M$5=$C304,$E$5+$E304,0),2)),ROUND(O303+N304,2),MIN(ROUND(M$6+IF(M$5=$C304,$E$5+$E304,0),2),ROUND(O303+N304,2))),0)</f>
        <v>0</v>
      </c>
      <c r="N304" s="24">
        <f>IF(O303&gt;0,ROUND(ROUND(O303*100,0)*ROUND(M$7*10000,0)/12000000,0)/100,0)</f>
        <v>0</v>
      </c>
      <c r="O304" s="24">
        <f>IF(O303&gt;0,ROUND(O303+N304-M304,2),0)</f>
        <v>0</v>
      </c>
      <c r="P304" s="24">
        <f>IF(O303&gt;0,ROUND(P303+ROUND(ROUND(P303*100,0)*ROUND(M$7*10000,0)/12000000,0)/100+0.02,2),0)</f>
        <v>0</v>
      </c>
      <c r="Q304" s="24">
        <f>IF(S303&gt;0,IF(AND(ROUND(S303+R304-ROUND(Q$6+IF(Q$5=$C304,$E$5+$E304,0),2),2)&gt;0,ROUND(S303+R304-ROUND(Q$6+IF(Q$5=$C304,$E$5+$E304,0),2),2)&lt;=T304,ROUND(S303+R304-ROUND(Q$6+IF(Q$5=$C304,$E$5+$E304,0),2),2)*10&lt;=ROUND(Q$6+IF(Q$5=$C304,$E$5+$E304,0),2)),ROUND(S303+R304,2),MIN(ROUND(Q$6+IF(Q$5=$C304,$E$5+$E304,0),2),ROUND(S303+R304,2))),0)</f>
        <v>0</v>
      </c>
      <c r="R304" s="24">
        <f>IF(S303&gt;0,ROUND(ROUND(S303*100,0)*ROUND(Q$7*10000,0)/12000000,0)/100,0)</f>
        <v>0</v>
      </c>
      <c r="S304" s="24">
        <f>IF(S303&gt;0,ROUND(S303+R304-Q304,2),0)</f>
        <v>0</v>
      </c>
      <c r="T304" s="24">
        <f>IF(S303&gt;0,ROUND(T303+ROUND(ROUND(T303*100,0)*ROUND(Q$7*10000,0)/12000000,0)/100+0.02,2),0)</f>
        <v>0</v>
      </c>
      <c r="U304" s="24">
        <f>IF(W303&gt;0,IF(AND(ROUND(W303+V304-ROUND(U$6+IF(U$5=$C304,$E$5+$E304,0),2),2)&gt;0,ROUND(W303+V304-ROUND(U$6+IF(U$5=$C304,$E$5+$E304,0),2),2)&lt;=X304,ROUND(W303+V304-ROUND(U$6+IF(U$5=$C304,$E$5+$E304,0),2),2)*10&lt;=ROUND(U$6+IF(U$5=$C304,$E$5+$E304,0),2)),ROUND(W303+V304,2),MIN(ROUND(U$6+IF(U$5=$C304,$E$5+$E304,0),2),ROUND(W303+V304,2))),0)</f>
        <v>0</v>
      </c>
      <c r="V304" s="24">
        <f>IF(W303&gt;0,ROUND(ROUND(W303*100,0)*ROUND(U$7*10000,0)/12000000,0)/100,0)</f>
        <v>0</v>
      </c>
      <c r="W304" s="24">
        <f>IF(W303&gt;0,ROUND(W303+V304-U304,2),0)</f>
        <v>0</v>
      </c>
      <c r="X304" s="24">
        <f>IF(W303&gt;0,ROUND(X303+ROUND(ROUND(X303*100,0)*ROUND(U$7*10000,0)/12000000,0)/100+0.02,2),0)</f>
        <v>0</v>
      </c>
      <c r="Y304" s="24">
        <f>IF(AA303&gt;0,IF(AND(ROUND(AA303+Z304-ROUND(Y$6+IF(Y$5=$C304,$E$5+$E304,0),2),2)&gt;0,ROUND(AA303+Z304-ROUND(Y$6+IF(Y$5=$C304,$E$5+$E304,0),2),2)&lt;=AB304,ROUND(AA303+Z304-ROUND(Y$6+IF(Y$5=$C304,$E$5+$E304,0),2),2)*10&lt;=ROUND(Y$6+IF(Y$5=$C304,$E$5+$E304,0),2)),ROUND(AA303+Z304,2),MIN(ROUND(Y$6+IF(Y$5=$C304,$E$5+$E304,0),2),ROUND(AA303+Z304,2))),0)</f>
        <v>0</v>
      </c>
      <c r="Z304" s="24">
        <f>IF(AA303&gt;0,ROUND(ROUND(AA303*100,0)*ROUND(Y$7*10000,0)/12000000,0)/100,0)</f>
        <v>0</v>
      </c>
      <c r="AA304" s="24">
        <f>IF(AA303&gt;0,ROUND(AA303+Z304-Y304,2),0)</f>
        <v>0</v>
      </c>
      <c r="AB304" s="24">
        <f>IF(AA303&gt;0,ROUND(AB303+ROUND(ROUND(AB303*100,0)*ROUND(Y$7*10000,0)/12000000,0)/100+0.02,2),0)</f>
        <v>0</v>
      </c>
      <c r="AC304" s="24">
        <f>IF(AE303&gt;0,IF(AND(ROUND(AE303+AD304-ROUND(AC$6+IF(AC$5=$C304,$E$5+$E304,0),2),2)&gt;0,ROUND(AE303+AD304-ROUND(AC$6+IF(AC$5=$C304,$E$5+$E304,0),2),2)&lt;=AF304,ROUND(AE303+AD304-ROUND(AC$6+IF(AC$5=$C304,$E$5+$E304,0),2),2)*10&lt;=ROUND(AC$6+IF(AC$5=$C304,$E$5+$E304,0),2)),ROUND(AE303+AD304,2),MIN(ROUND(AC$6+IF(AC$5=$C304,$E$5+$E304,0),2),ROUND(AE303+AD304,2))),0)</f>
        <v>0</v>
      </c>
      <c r="AD304" s="24">
        <f>IF(AE303&gt;0,ROUND(ROUND(AE303*100,0)*ROUND(AC$7*10000,0)/12000000,0)/100,0)</f>
        <v>0</v>
      </c>
      <c r="AE304" s="24">
        <f>IF(AE303&gt;0,ROUND(AE303+AD304-AC304,2),0)</f>
        <v>0</v>
      </c>
      <c r="AF304" s="24">
        <f>IF(AE303&gt;0,ROUND(AF303+ROUND(ROUND(AF303*100,0)*ROUND(AC$7*10000,0)/12000000,0)/100+0.02,2),0)</f>
        <v>0</v>
      </c>
      <c r="AG304" s="24">
        <f>IF(AI303&gt;0,IF(AND(ROUND(AI303+AH304-ROUND(AG$6+IF(AG$5=$C304,$E$5+$E304,0),2),2)&gt;0,ROUND(AI303+AH304-ROUND(AG$6+IF(AG$5=$C304,$E$5+$E304,0),2),2)&lt;=AJ304,ROUND(AI303+AH304-ROUND(AG$6+IF(AG$5=$C304,$E$5+$E304,0),2),2)*10&lt;=ROUND(AG$6+IF(AG$5=$C304,$E$5+$E304,0),2)),ROUND(AI303+AH304,2),MIN(ROUND(AG$6+IF(AG$5=$C304,$E$5+$E304,0),2),ROUND(AI303+AH304,2))),0)</f>
        <v>0</v>
      </c>
      <c r="AH304" s="24">
        <f>IF(AI303&gt;0,ROUND(ROUND(AI303*100,0)*ROUND(AG$7*10000,0)/12000000,0)/100,0)</f>
        <v>0</v>
      </c>
      <c r="AI304" s="24">
        <f>IF(AI303&gt;0,ROUND(AI303+AH304-AG304,2),0)</f>
        <v>0</v>
      </c>
      <c r="AJ304" s="24">
        <f>IF(AI303&gt;0,ROUND(AJ303+ROUND(ROUND(AJ303*100,0)*ROUND(AG$7*10000,0)/12000000,0)/100+0.02,2),0)</f>
        <v>0</v>
      </c>
      <c r="AK304" s="24">
        <f>IF(AM303&gt;0,IF(AND(ROUND(AM303+AL304-ROUND(AK$6+IF(AK$5=$C304,$E$5+$E304,0),2),2)&gt;0,ROUND(AM303+AL304-ROUND(AK$6+IF(AK$5=$C304,$E$5+$E304,0),2),2)&lt;=AN304,ROUND(AM303+AL304-ROUND(AK$6+IF(AK$5=$C304,$E$5+$E304,0),2),2)*10&lt;=ROUND(AK$6+IF(AK$5=$C304,$E$5+$E304,0),2)),ROUND(AM303+AL304,2),MIN(ROUND(AK$6+IF(AK$5=$C304,$E$5+$E304,0),2),ROUND(AM303+AL304,2))),0)</f>
        <v>0</v>
      </c>
      <c r="AL304" s="24">
        <f>IF(AM303&gt;0,ROUND(ROUND(AM303*100,0)*ROUND(AK$7*10000,0)/12000000,0)/100,0)</f>
        <v>0</v>
      </c>
      <c r="AM304" s="24">
        <f>IF(AM303&gt;0,ROUND(AM303+AL304-AK304,2),0)</f>
        <v>0</v>
      </c>
      <c r="AN304" s="24">
        <f>IF(AM303&gt;0,ROUND(AN303+ROUND(ROUND(AN303*100,0)*ROUND(AK$7*10000,0)/12000000,0)/100+0.02,2),0)</f>
        <v>0</v>
      </c>
      <c r="AO304" s="24">
        <f>IF(AQ303&gt;0,IF(AND(ROUND(AQ303+AP304-ROUND(AO$6+IF(AO$5=$C304,$E$5+$E304,0),2),2)&gt;0,ROUND(AQ303+AP304-ROUND(AO$6+IF(AO$5=$C304,$E$5+$E304,0),2),2)&lt;=AR304,ROUND(AQ303+AP304-ROUND(AO$6+IF(AO$5=$C304,$E$5+$E304,0),2),2)*10&lt;=ROUND(AO$6+IF(AO$5=$C304,$E$5+$E304,0),2)),ROUND(AQ303+AP304,2),MIN(ROUND(AO$6+IF(AO$5=$C304,$E$5+$E304,0),2),ROUND(AQ303+AP304,2))),0)</f>
        <v>0</v>
      </c>
      <c r="AP304" s="24">
        <f>IF(AQ303&gt;0,ROUND(ROUND(AQ303*100,0)*ROUND(AO$7*10000,0)/12000000,0)/100,0)</f>
        <v>0</v>
      </c>
      <c r="AQ304" s="24">
        <f>IF(AQ303&gt;0,ROUND(AQ303+AP304-AO304,2),0)</f>
        <v>0</v>
      </c>
      <c r="AR304" s="24">
        <f>IF(AQ303&gt;0,ROUND(AR303+ROUND(ROUND(AR303*100,0)*ROUND(AO$7*10000,0)/12000000,0)/100+0.02,2),0)</f>
        <v>0</v>
      </c>
      <c r="AS304" s="24">
        <f>IF(AU303&gt;0,IF(AND(ROUND(AU303+AT304-ROUND(AS$6+IF(AS$5=$C304,$E$5+$E304,0),2),2)&gt;0,ROUND(AU303+AT304-ROUND(AS$6+IF(AS$5=$C304,$E$5+$E304,0),2),2)&lt;=AV304,ROUND(AU303+AT304-ROUND(AS$6+IF(AS$5=$C304,$E$5+$E304,0),2),2)*10&lt;=ROUND(AS$6+IF(AS$5=$C304,$E$5+$E304,0),2)),ROUND(AU303+AT304,2),MIN(ROUND(AS$6+IF(AS$5=$C304,$E$5+$E304,0),2),ROUND(AU303+AT304,2))),0)</f>
        <v>0</v>
      </c>
      <c r="AT304" s="24">
        <f>IF(AU303&gt;0,ROUND(ROUND(AU303*100,0)*ROUND(AS$7*10000,0)/12000000,0)/100,0)</f>
        <v>0</v>
      </c>
      <c r="AU304" s="24">
        <f>IF(AU303&gt;0,ROUND(AU303+AT304-AS304,2),0)</f>
        <v>0</v>
      </c>
      <c r="AV304" s="24">
        <f>IF(AU303&gt;0,ROUND(AV303+ROUND(ROUND(AV303*100,0)*ROUND(AS$7*10000,0)/12000000,0)/100+0.02,2),0)</f>
        <v>0</v>
      </c>
    </row>
    <row r="305" spans="1:48" x14ac:dyDescent="0.25">
      <c r="A305" s="17" t="str">
        <f>IF(F305&gt;0,295,"")</f>
        <v/>
      </c>
      <c r="B305" s="18" t="str">
        <f>IF(F305&gt;0,EDATE($E$6,295),"")</f>
        <v/>
      </c>
      <c r="C305" s="21">
        <f>IF(H304&gt;0,MIN(IF(K304&gt;0,I$5,99),IF(O304&gt;0,M$5,99),IF(S304&gt;0,Q$5,99),IF(W304&gt;0,U$5,99),IF(AA304&gt;0,Y$5,99),IF(AE304&gt;0,AC$5,99),IF(AI304&gt;0,AG$5,99),IF(AM304&gt;0,AK$5,99),IF(AQ304&gt;0,AO$5,99),IF(AU304&gt;0,AS$5,99)),0)</f>
        <v>0</v>
      </c>
      <c r="D305" t="str">
        <f>IF(C305&gt;0,INDEX($I$4:$AV$4,1,MATCH(C305,$I$5:$AV$5,0)),"")</f>
        <v/>
      </c>
      <c r="E305" s="24">
        <f>ROUND(IF(AND(I$8&gt;0,K304=0),I$6,0)+IF(AND(M$8&gt;0,O304=0),M$6,0)+IF(AND(Q$8&gt;0,S304=0),Q$6,0)+IF(AND(U$8&gt;0,W304=0),U$6,0)+IF(AND(Y$8&gt;0,AA304=0),Y$6,0)+IF(AND(AC$8&gt;0,AE304=0),AC$6,0)+IF(AND(AG$8&gt;0,AI304=0),AG$6,0)+IF(AND(AK$8&gt;0,AM304=0),AK$6,0)+IF(AND(AO$8&gt;0,AQ304=0),AO$6,0)+IF(AND(AS$8&gt;0,AU304=0),AS$6,0),2)</f>
        <v>325</v>
      </c>
      <c r="F305" s="24">
        <f>ROUND(I305+M305+Q305+U305+Y305+AC305+AG305+AK305+AO305+AS305,2)</f>
        <v>0</v>
      </c>
      <c r="G305" s="24">
        <f>ROUND(J305+N305+R305+V305+Z305+AD305+AH305+AL305+AP305+AT305,2)</f>
        <v>0</v>
      </c>
      <c r="H305" s="24">
        <f>ROUND(K305+O305+S305+W305+AA305+AE305+AI305+AM305+AQ305+AU305,2)</f>
        <v>0</v>
      </c>
      <c r="I305" s="24">
        <f>IF(K304&gt;0,IF(AND(ROUND(K304+J305-ROUND(I$6+IF(I$5=$C305,$E$5+$E305,0),2),2)&gt;0,ROUND(K304+J305-ROUND(I$6+IF(I$5=$C305,$E$5+$E305,0),2),2)&lt;=L305,ROUND(K304+J305-ROUND(I$6+IF(I$5=$C305,$E$5+$E305,0),2),2)*10&lt;=ROUND(I$6+IF(I$5=$C305,$E$5+$E305,0),2)),ROUND(K304+J305,2),MIN(ROUND(I$6+IF(I$5=$C305,$E$5+$E305,0),2),ROUND(K304+J305,2))),0)</f>
        <v>0</v>
      </c>
      <c r="J305" s="24">
        <f>IF(K304&gt;0,ROUND(ROUND(K304*100,0)*ROUND(I$7*10000,0)/12000000,0)/100,0)</f>
        <v>0</v>
      </c>
      <c r="K305" s="24">
        <f>IF(K304&gt;0,ROUND(K304+J305-I305,2),0)</f>
        <v>0</v>
      </c>
      <c r="L305" s="24">
        <f>IF(K304&gt;0,ROUND(L304+ROUND(ROUND(L304*100,0)*ROUND(I$7*10000,0)/12000000,0)/100+0.02,2),0)</f>
        <v>0</v>
      </c>
      <c r="M305" s="24">
        <f>IF(O304&gt;0,IF(AND(ROUND(O304+N305-ROUND(M$6+IF(M$5=$C305,$E$5+$E305,0),2),2)&gt;0,ROUND(O304+N305-ROUND(M$6+IF(M$5=$C305,$E$5+$E305,0),2),2)&lt;=P305,ROUND(O304+N305-ROUND(M$6+IF(M$5=$C305,$E$5+$E305,0),2),2)*10&lt;=ROUND(M$6+IF(M$5=$C305,$E$5+$E305,0),2)),ROUND(O304+N305,2),MIN(ROUND(M$6+IF(M$5=$C305,$E$5+$E305,0),2),ROUND(O304+N305,2))),0)</f>
        <v>0</v>
      </c>
      <c r="N305" s="24">
        <f>IF(O304&gt;0,ROUND(ROUND(O304*100,0)*ROUND(M$7*10000,0)/12000000,0)/100,0)</f>
        <v>0</v>
      </c>
      <c r="O305" s="24">
        <f>IF(O304&gt;0,ROUND(O304+N305-M305,2),0)</f>
        <v>0</v>
      </c>
      <c r="P305" s="24">
        <f>IF(O304&gt;0,ROUND(P304+ROUND(ROUND(P304*100,0)*ROUND(M$7*10000,0)/12000000,0)/100+0.02,2),0)</f>
        <v>0</v>
      </c>
      <c r="Q305" s="24">
        <f>IF(S304&gt;0,IF(AND(ROUND(S304+R305-ROUND(Q$6+IF(Q$5=$C305,$E$5+$E305,0),2),2)&gt;0,ROUND(S304+R305-ROUND(Q$6+IF(Q$5=$C305,$E$5+$E305,0),2),2)&lt;=T305,ROUND(S304+R305-ROUND(Q$6+IF(Q$5=$C305,$E$5+$E305,0),2),2)*10&lt;=ROUND(Q$6+IF(Q$5=$C305,$E$5+$E305,0),2)),ROUND(S304+R305,2),MIN(ROUND(Q$6+IF(Q$5=$C305,$E$5+$E305,0),2),ROUND(S304+R305,2))),0)</f>
        <v>0</v>
      </c>
      <c r="R305" s="24">
        <f>IF(S304&gt;0,ROUND(ROUND(S304*100,0)*ROUND(Q$7*10000,0)/12000000,0)/100,0)</f>
        <v>0</v>
      </c>
      <c r="S305" s="24">
        <f>IF(S304&gt;0,ROUND(S304+R305-Q305,2),0)</f>
        <v>0</v>
      </c>
      <c r="T305" s="24">
        <f>IF(S304&gt;0,ROUND(T304+ROUND(ROUND(T304*100,0)*ROUND(Q$7*10000,0)/12000000,0)/100+0.02,2),0)</f>
        <v>0</v>
      </c>
      <c r="U305" s="24">
        <f>IF(W304&gt;0,IF(AND(ROUND(W304+V305-ROUND(U$6+IF(U$5=$C305,$E$5+$E305,0),2),2)&gt;0,ROUND(W304+V305-ROUND(U$6+IF(U$5=$C305,$E$5+$E305,0),2),2)&lt;=X305,ROUND(W304+V305-ROUND(U$6+IF(U$5=$C305,$E$5+$E305,0),2),2)*10&lt;=ROUND(U$6+IF(U$5=$C305,$E$5+$E305,0),2)),ROUND(W304+V305,2),MIN(ROUND(U$6+IF(U$5=$C305,$E$5+$E305,0),2),ROUND(W304+V305,2))),0)</f>
        <v>0</v>
      </c>
      <c r="V305" s="24">
        <f>IF(W304&gt;0,ROUND(ROUND(W304*100,0)*ROUND(U$7*10000,0)/12000000,0)/100,0)</f>
        <v>0</v>
      </c>
      <c r="W305" s="24">
        <f>IF(W304&gt;0,ROUND(W304+V305-U305,2),0)</f>
        <v>0</v>
      </c>
      <c r="X305" s="24">
        <f>IF(W304&gt;0,ROUND(X304+ROUND(ROUND(X304*100,0)*ROUND(U$7*10000,0)/12000000,0)/100+0.02,2),0)</f>
        <v>0</v>
      </c>
      <c r="Y305" s="24">
        <f>IF(AA304&gt;0,IF(AND(ROUND(AA304+Z305-ROUND(Y$6+IF(Y$5=$C305,$E$5+$E305,0),2),2)&gt;0,ROUND(AA304+Z305-ROUND(Y$6+IF(Y$5=$C305,$E$5+$E305,0),2),2)&lt;=AB305,ROUND(AA304+Z305-ROUND(Y$6+IF(Y$5=$C305,$E$5+$E305,0),2),2)*10&lt;=ROUND(Y$6+IF(Y$5=$C305,$E$5+$E305,0),2)),ROUND(AA304+Z305,2),MIN(ROUND(Y$6+IF(Y$5=$C305,$E$5+$E305,0),2),ROUND(AA304+Z305,2))),0)</f>
        <v>0</v>
      </c>
      <c r="Z305" s="24">
        <f>IF(AA304&gt;0,ROUND(ROUND(AA304*100,0)*ROUND(Y$7*10000,0)/12000000,0)/100,0)</f>
        <v>0</v>
      </c>
      <c r="AA305" s="24">
        <f>IF(AA304&gt;0,ROUND(AA304+Z305-Y305,2),0)</f>
        <v>0</v>
      </c>
      <c r="AB305" s="24">
        <f>IF(AA304&gt;0,ROUND(AB304+ROUND(ROUND(AB304*100,0)*ROUND(Y$7*10000,0)/12000000,0)/100+0.02,2),0)</f>
        <v>0</v>
      </c>
      <c r="AC305" s="24">
        <f>IF(AE304&gt;0,IF(AND(ROUND(AE304+AD305-ROUND(AC$6+IF(AC$5=$C305,$E$5+$E305,0),2),2)&gt;0,ROUND(AE304+AD305-ROUND(AC$6+IF(AC$5=$C305,$E$5+$E305,0),2),2)&lt;=AF305,ROUND(AE304+AD305-ROUND(AC$6+IF(AC$5=$C305,$E$5+$E305,0),2),2)*10&lt;=ROUND(AC$6+IF(AC$5=$C305,$E$5+$E305,0),2)),ROUND(AE304+AD305,2),MIN(ROUND(AC$6+IF(AC$5=$C305,$E$5+$E305,0),2),ROUND(AE304+AD305,2))),0)</f>
        <v>0</v>
      </c>
      <c r="AD305" s="24">
        <f>IF(AE304&gt;0,ROUND(ROUND(AE304*100,0)*ROUND(AC$7*10000,0)/12000000,0)/100,0)</f>
        <v>0</v>
      </c>
      <c r="AE305" s="24">
        <f>IF(AE304&gt;0,ROUND(AE304+AD305-AC305,2),0)</f>
        <v>0</v>
      </c>
      <c r="AF305" s="24">
        <f>IF(AE304&gt;0,ROUND(AF304+ROUND(ROUND(AF304*100,0)*ROUND(AC$7*10000,0)/12000000,0)/100+0.02,2),0)</f>
        <v>0</v>
      </c>
      <c r="AG305" s="24">
        <f>IF(AI304&gt;0,IF(AND(ROUND(AI304+AH305-ROUND(AG$6+IF(AG$5=$C305,$E$5+$E305,0),2),2)&gt;0,ROUND(AI304+AH305-ROUND(AG$6+IF(AG$5=$C305,$E$5+$E305,0),2),2)&lt;=AJ305,ROUND(AI304+AH305-ROUND(AG$6+IF(AG$5=$C305,$E$5+$E305,0),2),2)*10&lt;=ROUND(AG$6+IF(AG$5=$C305,$E$5+$E305,0),2)),ROUND(AI304+AH305,2),MIN(ROUND(AG$6+IF(AG$5=$C305,$E$5+$E305,0),2),ROUND(AI304+AH305,2))),0)</f>
        <v>0</v>
      </c>
      <c r="AH305" s="24">
        <f>IF(AI304&gt;0,ROUND(ROUND(AI304*100,0)*ROUND(AG$7*10000,0)/12000000,0)/100,0)</f>
        <v>0</v>
      </c>
      <c r="AI305" s="24">
        <f>IF(AI304&gt;0,ROUND(AI304+AH305-AG305,2),0)</f>
        <v>0</v>
      </c>
      <c r="AJ305" s="24">
        <f>IF(AI304&gt;0,ROUND(AJ304+ROUND(ROUND(AJ304*100,0)*ROUND(AG$7*10000,0)/12000000,0)/100+0.02,2),0)</f>
        <v>0</v>
      </c>
      <c r="AK305" s="24">
        <f>IF(AM304&gt;0,IF(AND(ROUND(AM304+AL305-ROUND(AK$6+IF(AK$5=$C305,$E$5+$E305,0),2),2)&gt;0,ROUND(AM304+AL305-ROUND(AK$6+IF(AK$5=$C305,$E$5+$E305,0),2),2)&lt;=AN305,ROUND(AM304+AL305-ROUND(AK$6+IF(AK$5=$C305,$E$5+$E305,0),2),2)*10&lt;=ROUND(AK$6+IF(AK$5=$C305,$E$5+$E305,0),2)),ROUND(AM304+AL305,2),MIN(ROUND(AK$6+IF(AK$5=$C305,$E$5+$E305,0),2),ROUND(AM304+AL305,2))),0)</f>
        <v>0</v>
      </c>
      <c r="AL305" s="24">
        <f>IF(AM304&gt;0,ROUND(ROUND(AM304*100,0)*ROUND(AK$7*10000,0)/12000000,0)/100,0)</f>
        <v>0</v>
      </c>
      <c r="AM305" s="24">
        <f>IF(AM304&gt;0,ROUND(AM304+AL305-AK305,2),0)</f>
        <v>0</v>
      </c>
      <c r="AN305" s="24">
        <f>IF(AM304&gt;0,ROUND(AN304+ROUND(ROUND(AN304*100,0)*ROUND(AK$7*10000,0)/12000000,0)/100+0.02,2),0)</f>
        <v>0</v>
      </c>
      <c r="AO305" s="24">
        <f>IF(AQ304&gt;0,IF(AND(ROUND(AQ304+AP305-ROUND(AO$6+IF(AO$5=$C305,$E$5+$E305,0),2),2)&gt;0,ROUND(AQ304+AP305-ROUND(AO$6+IF(AO$5=$C305,$E$5+$E305,0),2),2)&lt;=AR305,ROUND(AQ304+AP305-ROUND(AO$6+IF(AO$5=$C305,$E$5+$E305,0),2),2)*10&lt;=ROUND(AO$6+IF(AO$5=$C305,$E$5+$E305,0),2)),ROUND(AQ304+AP305,2),MIN(ROUND(AO$6+IF(AO$5=$C305,$E$5+$E305,0),2),ROUND(AQ304+AP305,2))),0)</f>
        <v>0</v>
      </c>
      <c r="AP305" s="24">
        <f>IF(AQ304&gt;0,ROUND(ROUND(AQ304*100,0)*ROUND(AO$7*10000,0)/12000000,0)/100,0)</f>
        <v>0</v>
      </c>
      <c r="AQ305" s="24">
        <f>IF(AQ304&gt;0,ROUND(AQ304+AP305-AO305,2),0)</f>
        <v>0</v>
      </c>
      <c r="AR305" s="24">
        <f>IF(AQ304&gt;0,ROUND(AR304+ROUND(ROUND(AR304*100,0)*ROUND(AO$7*10000,0)/12000000,0)/100+0.02,2),0)</f>
        <v>0</v>
      </c>
      <c r="AS305" s="24">
        <f>IF(AU304&gt;0,IF(AND(ROUND(AU304+AT305-ROUND(AS$6+IF(AS$5=$C305,$E$5+$E305,0),2),2)&gt;0,ROUND(AU304+AT305-ROUND(AS$6+IF(AS$5=$C305,$E$5+$E305,0),2),2)&lt;=AV305,ROUND(AU304+AT305-ROUND(AS$6+IF(AS$5=$C305,$E$5+$E305,0),2),2)*10&lt;=ROUND(AS$6+IF(AS$5=$C305,$E$5+$E305,0),2)),ROUND(AU304+AT305,2),MIN(ROUND(AS$6+IF(AS$5=$C305,$E$5+$E305,0),2),ROUND(AU304+AT305,2))),0)</f>
        <v>0</v>
      </c>
      <c r="AT305" s="24">
        <f>IF(AU304&gt;0,ROUND(ROUND(AU304*100,0)*ROUND(AS$7*10000,0)/12000000,0)/100,0)</f>
        <v>0</v>
      </c>
      <c r="AU305" s="24">
        <f>IF(AU304&gt;0,ROUND(AU304+AT305-AS305,2),0)</f>
        <v>0</v>
      </c>
      <c r="AV305" s="24">
        <f>IF(AU304&gt;0,ROUND(AV304+ROUND(ROUND(AV304*100,0)*ROUND(AS$7*10000,0)/12000000,0)/100+0.02,2),0)</f>
        <v>0</v>
      </c>
    </row>
    <row r="306" spans="1:48" x14ac:dyDescent="0.25">
      <c r="A306" s="17" t="str">
        <f>IF(F306&gt;0,296,"")</f>
        <v/>
      </c>
      <c r="B306" s="18" t="str">
        <f>IF(F306&gt;0,EDATE($E$6,296),"")</f>
        <v/>
      </c>
      <c r="C306" s="21">
        <f>IF(H305&gt;0,MIN(IF(K305&gt;0,I$5,99),IF(O305&gt;0,M$5,99),IF(S305&gt;0,Q$5,99),IF(W305&gt;0,U$5,99),IF(AA305&gt;0,Y$5,99),IF(AE305&gt;0,AC$5,99),IF(AI305&gt;0,AG$5,99),IF(AM305&gt;0,AK$5,99),IF(AQ305&gt;0,AO$5,99),IF(AU305&gt;0,AS$5,99)),0)</f>
        <v>0</v>
      </c>
      <c r="D306" t="str">
        <f>IF(C306&gt;0,INDEX($I$4:$AV$4,1,MATCH(C306,$I$5:$AV$5,0)),"")</f>
        <v/>
      </c>
      <c r="E306" s="24">
        <f>ROUND(IF(AND(I$8&gt;0,K305=0),I$6,0)+IF(AND(M$8&gt;0,O305=0),M$6,0)+IF(AND(Q$8&gt;0,S305=0),Q$6,0)+IF(AND(U$8&gt;0,W305=0),U$6,0)+IF(AND(Y$8&gt;0,AA305=0),Y$6,0)+IF(AND(AC$8&gt;0,AE305=0),AC$6,0)+IF(AND(AG$8&gt;0,AI305=0),AG$6,0)+IF(AND(AK$8&gt;0,AM305=0),AK$6,0)+IF(AND(AO$8&gt;0,AQ305=0),AO$6,0)+IF(AND(AS$8&gt;0,AU305=0),AS$6,0),2)</f>
        <v>325</v>
      </c>
      <c r="F306" s="24">
        <f>ROUND(I306+M306+Q306+U306+Y306+AC306+AG306+AK306+AO306+AS306,2)</f>
        <v>0</v>
      </c>
      <c r="G306" s="24">
        <f>ROUND(J306+N306+R306+V306+Z306+AD306+AH306+AL306+AP306+AT306,2)</f>
        <v>0</v>
      </c>
      <c r="H306" s="24">
        <f>ROUND(K306+O306+S306+W306+AA306+AE306+AI306+AM306+AQ306+AU306,2)</f>
        <v>0</v>
      </c>
      <c r="I306" s="24">
        <f>IF(K305&gt;0,IF(AND(ROUND(K305+J306-ROUND(I$6+IF(I$5=$C306,$E$5+$E306,0),2),2)&gt;0,ROUND(K305+J306-ROUND(I$6+IF(I$5=$C306,$E$5+$E306,0),2),2)&lt;=L306,ROUND(K305+J306-ROUND(I$6+IF(I$5=$C306,$E$5+$E306,0),2),2)*10&lt;=ROUND(I$6+IF(I$5=$C306,$E$5+$E306,0),2)),ROUND(K305+J306,2),MIN(ROUND(I$6+IF(I$5=$C306,$E$5+$E306,0),2),ROUND(K305+J306,2))),0)</f>
        <v>0</v>
      </c>
      <c r="J306" s="24">
        <f>IF(K305&gt;0,ROUND(ROUND(K305*100,0)*ROUND(I$7*10000,0)/12000000,0)/100,0)</f>
        <v>0</v>
      </c>
      <c r="K306" s="24">
        <f>IF(K305&gt;0,ROUND(K305+J306-I306,2),0)</f>
        <v>0</v>
      </c>
      <c r="L306" s="24">
        <f>IF(K305&gt;0,ROUND(L305+ROUND(ROUND(L305*100,0)*ROUND(I$7*10000,0)/12000000,0)/100+0.02,2),0)</f>
        <v>0</v>
      </c>
      <c r="M306" s="24">
        <f>IF(O305&gt;0,IF(AND(ROUND(O305+N306-ROUND(M$6+IF(M$5=$C306,$E$5+$E306,0),2),2)&gt;0,ROUND(O305+N306-ROUND(M$6+IF(M$5=$C306,$E$5+$E306,0),2),2)&lt;=P306,ROUND(O305+N306-ROUND(M$6+IF(M$5=$C306,$E$5+$E306,0),2),2)*10&lt;=ROUND(M$6+IF(M$5=$C306,$E$5+$E306,0),2)),ROUND(O305+N306,2),MIN(ROUND(M$6+IF(M$5=$C306,$E$5+$E306,0),2),ROUND(O305+N306,2))),0)</f>
        <v>0</v>
      </c>
      <c r="N306" s="24">
        <f>IF(O305&gt;0,ROUND(ROUND(O305*100,0)*ROUND(M$7*10000,0)/12000000,0)/100,0)</f>
        <v>0</v>
      </c>
      <c r="O306" s="24">
        <f>IF(O305&gt;0,ROUND(O305+N306-M306,2),0)</f>
        <v>0</v>
      </c>
      <c r="P306" s="24">
        <f>IF(O305&gt;0,ROUND(P305+ROUND(ROUND(P305*100,0)*ROUND(M$7*10000,0)/12000000,0)/100+0.02,2),0)</f>
        <v>0</v>
      </c>
      <c r="Q306" s="24">
        <f>IF(S305&gt;0,IF(AND(ROUND(S305+R306-ROUND(Q$6+IF(Q$5=$C306,$E$5+$E306,0),2),2)&gt;0,ROUND(S305+R306-ROUND(Q$6+IF(Q$5=$C306,$E$5+$E306,0),2),2)&lt;=T306,ROUND(S305+R306-ROUND(Q$6+IF(Q$5=$C306,$E$5+$E306,0),2),2)*10&lt;=ROUND(Q$6+IF(Q$5=$C306,$E$5+$E306,0),2)),ROUND(S305+R306,2),MIN(ROUND(Q$6+IF(Q$5=$C306,$E$5+$E306,0),2),ROUND(S305+R306,2))),0)</f>
        <v>0</v>
      </c>
      <c r="R306" s="24">
        <f>IF(S305&gt;0,ROUND(ROUND(S305*100,0)*ROUND(Q$7*10000,0)/12000000,0)/100,0)</f>
        <v>0</v>
      </c>
      <c r="S306" s="24">
        <f>IF(S305&gt;0,ROUND(S305+R306-Q306,2),0)</f>
        <v>0</v>
      </c>
      <c r="T306" s="24">
        <f>IF(S305&gt;0,ROUND(T305+ROUND(ROUND(T305*100,0)*ROUND(Q$7*10000,0)/12000000,0)/100+0.02,2),0)</f>
        <v>0</v>
      </c>
      <c r="U306" s="24">
        <f>IF(W305&gt;0,IF(AND(ROUND(W305+V306-ROUND(U$6+IF(U$5=$C306,$E$5+$E306,0),2),2)&gt;0,ROUND(W305+V306-ROUND(U$6+IF(U$5=$C306,$E$5+$E306,0),2),2)&lt;=X306,ROUND(W305+V306-ROUND(U$6+IF(U$5=$C306,$E$5+$E306,0),2),2)*10&lt;=ROUND(U$6+IF(U$5=$C306,$E$5+$E306,0),2)),ROUND(W305+V306,2),MIN(ROUND(U$6+IF(U$5=$C306,$E$5+$E306,0),2),ROUND(W305+V306,2))),0)</f>
        <v>0</v>
      </c>
      <c r="V306" s="24">
        <f>IF(W305&gt;0,ROUND(ROUND(W305*100,0)*ROUND(U$7*10000,0)/12000000,0)/100,0)</f>
        <v>0</v>
      </c>
      <c r="W306" s="24">
        <f>IF(W305&gt;0,ROUND(W305+V306-U306,2),0)</f>
        <v>0</v>
      </c>
      <c r="X306" s="24">
        <f>IF(W305&gt;0,ROUND(X305+ROUND(ROUND(X305*100,0)*ROUND(U$7*10000,0)/12000000,0)/100+0.02,2),0)</f>
        <v>0</v>
      </c>
      <c r="Y306" s="24">
        <f>IF(AA305&gt;0,IF(AND(ROUND(AA305+Z306-ROUND(Y$6+IF(Y$5=$C306,$E$5+$E306,0),2),2)&gt;0,ROUND(AA305+Z306-ROUND(Y$6+IF(Y$5=$C306,$E$5+$E306,0),2),2)&lt;=AB306,ROUND(AA305+Z306-ROUND(Y$6+IF(Y$5=$C306,$E$5+$E306,0),2),2)*10&lt;=ROUND(Y$6+IF(Y$5=$C306,$E$5+$E306,0),2)),ROUND(AA305+Z306,2),MIN(ROUND(Y$6+IF(Y$5=$C306,$E$5+$E306,0),2),ROUND(AA305+Z306,2))),0)</f>
        <v>0</v>
      </c>
      <c r="Z306" s="24">
        <f>IF(AA305&gt;0,ROUND(ROUND(AA305*100,0)*ROUND(Y$7*10000,0)/12000000,0)/100,0)</f>
        <v>0</v>
      </c>
      <c r="AA306" s="24">
        <f>IF(AA305&gt;0,ROUND(AA305+Z306-Y306,2),0)</f>
        <v>0</v>
      </c>
      <c r="AB306" s="24">
        <f>IF(AA305&gt;0,ROUND(AB305+ROUND(ROUND(AB305*100,0)*ROUND(Y$7*10000,0)/12000000,0)/100+0.02,2),0)</f>
        <v>0</v>
      </c>
      <c r="AC306" s="24">
        <f>IF(AE305&gt;0,IF(AND(ROUND(AE305+AD306-ROUND(AC$6+IF(AC$5=$C306,$E$5+$E306,0),2),2)&gt;0,ROUND(AE305+AD306-ROUND(AC$6+IF(AC$5=$C306,$E$5+$E306,0),2),2)&lt;=AF306,ROUND(AE305+AD306-ROUND(AC$6+IF(AC$5=$C306,$E$5+$E306,0),2),2)*10&lt;=ROUND(AC$6+IF(AC$5=$C306,$E$5+$E306,0),2)),ROUND(AE305+AD306,2),MIN(ROUND(AC$6+IF(AC$5=$C306,$E$5+$E306,0),2),ROUND(AE305+AD306,2))),0)</f>
        <v>0</v>
      </c>
      <c r="AD306" s="24">
        <f>IF(AE305&gt;0,ROUND(ROUND(AE305*100,0)*ROUND(AC$7*10000,0)/12000000,0)/100,0)</f>
        <v>0</v>
      </c>
      <c r="AE306" s="24">
        <f>IF(AE305&gt;0,ROUND(AE305+AD306-AC306,2),0)</f>
        <v>0</v>
      </c>
      <c r="AF306" s="24">
        <f>IF(AE305&gt;0,ROUND(AF305+ROUND(ROUND(AF305*100,0)*ROUND(AC$7*10000,0)/12000000,0)/100+0.02,2),0)</f>
        <v>0</v>
      </c>
      <c r="AG306" s="24">
        <f>IF(AI305&gt;0,IF(AND(ROUND(AI305+AH306-ROUND(AG$6+IF(AG$5=$C306,$E$5+$E306,0),2),2)&gt;0,ROUND(AI305+AH306-ROUND(AG$6+IF(AG$5=$C306,$E$5+$E306,0),2),2)&lt;=AJ306,ROUND(AI305+AH306-ROUND(AG$6+IF(AG$5=$C306,$E$5+$E306,0),2),2)*10&lt;=ROUND(AG$6+IF(AG$5=$C306,$E$5+$E306,0),2)),ROUND(AI305+AH306,2),MIN(ROUND(AG$6+IF(AG$5=$C306,$E$5+$E306,0),2),ROUND(AI305+AH306,2))),0)</f>
        <v>0</v>
      </c>
      <c r="AH306" s="24">
        <f>IF(AI305&gt;0,ROUND(ROUND(AI305*100,0)*ROUND(AG$7*10000,0)/12000000,0)/100,0)</f>
        <v>0</v>
      </c>
      <c r="AI306" s="24">
        <f>IF(AI305&gt;0,ROUND(AI305+AH306-AG306,2),0)</f>
        <v>0</v>
      </c>
      <c r="AJ306" s="24">
        <f>IF(AI305&gt;0,ROUND(AJ305+ROUND(ROUND(AJ305*100,0)*ROUND(AG$7*10000,0)/12000000,0)/100+0.02,2),0)</f>
        <v>0</v>
      </c>
      <c r="AK306" s="24">
        <f>IF(AM305&gt;0,IF(AND(ROUND(AM305+AL306-ROUND(AK$6+IF(AK$5=$C306,$E$5+$E306,0),2),2)&gt;0,ROUND(AM305+AL306-ROUND(AK$6+IF(AK$5=$C306,$E$5+$E306,0),2),2)&lt;=AN306,ROUND(AM305+AL306-ROUND(AK$6+IF(AK$5=$C306,$E$5+$E306,0),2),2)*10&lt;=ROUND(AK$6+IF(AK$5=$C306,$E$5+$E306,0),2)),ROUND(AM305+AL306,2),MIN(ROUND(AK$6+IF(AK$5=$C306,$E$5+$E306,0),2),ROUND(AM305+AL306,2))),0)</f>
        <v>0</v>
      </c>
      <c r="AL306" s="24">
        <f>IF(AM305&gt;0,ROUND(ROUND(AM305*100,0)*ROUND(AK$7*10000,0)/12000000,0)/100,0)</f>
        <v>0</v>
      </c>
      <c r="AM306" s="24">
        <f>IF(AM305&gt;0,ROUND(AM305+AL306-AK306,2),0)</f>
        <v>0</v>
      </c>
      <c r="AN306" s="24">
        <f>IF(AM305&gt;0,ROUND(AN305+ROUND(ROUND(AN305*100,0)*ROUND(AK$7*10000,0)/12000000,0)/100+0.02,2),0)</f>
        <v>0</v>
      </c>
      <c r="AO306" s="24">
        <f>IF(AQ305&gt;0,IF(AND(ROUND(AQ305+AP306-ROUND(AO$6+IF(AO$5=$C306,$E$5+$E306,0),2),2)&gt;0,ROUND(AQ305+AP306-ROUND(AO$6+IF(AO$5=$C306,$E$5+$E306,0),2),2)&lt;=AR306,ROUND(AQ305+AP306-ROUND(AO$6+IF(AO$5=$C306,$E$5+$E306,0),2),2)*10&lt;=ROUND(AO$6+IF(AO$5=$C306,$E$5+$E306,0),2)),ROUND(AQ305+AP306,2),MIN(ROUND(AO$6+IF(AO$5=$C306,$E$5+$E306,0),2),ROUND(AQ305+AP306,2))),0)</f>
        <v>0</v>
      </c>
      <c r="AP306" s="24">
        <f>IF(AQ305&gt;0,ROUND(ROUND(AQ305*100,0)*ROUND(AO$7*10000,0)/12000000,0)/100,0)</f>
        <v>0</v>
      </c>
      <c r="AQ306" s="24">
        <f>IF(AQ305&gt;0,ROUND(AQ305+AP306-AO306,2),0)</f>
        <v>0</v>
      </c>
      <c r="AR306" s="24">
        <f>IF(AQ305&gt;0,ROUND(AR305+ROUND(ROUND(AR305*100,0)*ROUND(AO$7*10000,0)/12000000,0)/100+0.02,2),0)</f>
        <v>0</v>
      </c>
      <c r="AS306" s="24">
        <f>IF(AU305&gt;0,IF(AND(ROUND(AU305+AT306-ROUND(AS$6+IF(AS$5=$C306,$E$5+$E306,0),2),2)&gt;0,ROUND(AU305+AT306-ROUND(AS$6+IF(AS$5=$C306,$E$5+$E306,0),2),2)&lt;=AV306,ROUND(AU305+AT306-ROUND(AS$6+IF(AS$5=$C306,$E$5+$E306,0),2),2)*10&lt;=ROUND(AS$6+IF(AS$5=$C306,$E$5+$E306,0),2)),ROUND(AU305+AT306,2),MIN(ROUND(AS$6+IF(AS$5=$C306,$E$5+$E306,0),2),ROUND(AU305+AT306,2))),0)</f>
        <v>0</v>
      </c>
      <c r="AT306" s="24">
        <f>IF(AU305&gt;0,ROUND(ROUND(AU305*100,0)*ROUND(AS$7*10000,0)/12000000,0)/100,0)</f>
        <v>0</v>
      </c>
      <c r="AU306" s="24">
        <f>IF(AU305&gt;0,ROUND(AU305+AT306-AS306,2),0)</f>
        <v>0</v>
      </c>
      <c r="AV306" s="24">
        <f>IF(AU305&gt;0,ROUND(AV305+ROUND(ROUND(AV305*100,0)*ROUND(AS$7*10000,0)/12000000,0)/100+0.02,2),0)</f>
        <v>0</v>
      </c>
    </row>
    <row r="307" spans="1:48" x14ac:dyDescent="0.25">
      <c r="A307" s="17" t="str">
        <f>IF(F307&gt;0,297,"")</f>
        <v/>
      </c>
      <c r="B307" s="18" t="str">
        <f>IF(F307&gt;0,EDATE($E$6,297),"")</f>
        <v/>
      </c>
      <c r="C307" s="21">
        <f>IF(H306&gt;0,MIN(IF(K306&gt;0,I$5,99),IF(O306&gt;0,M$5,99),IF(S306&gt;0,Q$5,99),IF(W306&gt;0,U$5,99),IF(AA306&gt;0,Y$5,99),IF(AE306&gt;0,AC$5,99),IF(AI306&gt;0,AG$5,99),IF(AM306&gt;0,AK$5,99),IF(AQ306&gt;0,AO$5,99),IF(AU306&gt;0,AS$5,99)),0)</f>
        <v>0</v>
      </c>
      <c r="D307" t="str">
        <f>IF(C307&gt;0,INDEX($I$4:$AV$4,1,MATCH(C307,$I$5:$AV$5,0)),"")</f>
        <v/>
      </c>
      <c r="E307" s="24">
        <f>ROUND(IF(AND(I$8&gt;0,K306=0),I$6,0)+IF(AND(M$8&gt;0,O306=0),M$6,0)+IF(AND(Q$8&gt;0,S306=0),Q$6,0)+IF(AND(U$8&gt;0,W306=0),U$6,0)+IF(AND(Y$8&gt;0,AA306=0),Y$6,0)+IF(AND(AC$8&gt;0,AE306=0),AC$6,0)+IF(AND(AG$8&gt;0,AI306=0),AG$6,0)+IF(AND(AK$8&gt;0,AM306=0),AK$6,0)+IF(AND(AO$8&gt;0,AQ306=0),AO$6,0)+IF(AND(AS$8&gt;0,AU306=0),AS$6,0),2)</f>
        <v>325</v>
      </c>
      <c r="F307" s="24">
        <f>ROUND(I307+M307+Q307+U307+Y307+AC307+AG307+AK307+AO307+AS307,2)</f>
        <v>0</v>
      </c>
      <c r="G307" s="24">
        <f>ROUND(J307+N307+R307+V307+Z307+AD307+AH307+AL307+AP307+AT307,2)</f>
        <v>0</v>
      </c>
      <c r="H307" s="24">
        <f>ROUND(K307+O307+S307+W307+AA307+AE307+AI307+AM307+AQ307+AU307,2)</f>
        <v>0</v>
      </c>
      <c r="I307" s="24">
        <f>IF(K306&gt;0,IF(AND(ROUND(K306+J307-ROUND(I$6+IF(I$5=$C307,$E$5+$E307,0),2),2)&gt;0,ROUND(K306+J307-ROUND(I$6+IF(I$5=$C307,$E$5+$E307,0),2),2)&lt;=L307,ROUND(K306+J307-ROUND(I$6+IF(I$5=$C307,$E$5+$E307,0),2),2)*10&lt;=ROUND(I$6+IF(I$5=$C307,$E$5+$E307,0),2)),ROUND(K306+J307,2),MIN(ROUND(I$6+IF(I$5=$C307,$E$5+$E307,0),2),ROUND(K306+J307,2))),0)</f>
        <v>0</v>
      </c>
      <c r="J307" s="24">
        <f>IF(K306&gt;0,ROUND(ROUND(K306*100,0)*ROUND(I$7*10000,0)/12000000,0)/100,0)</f>
        <v>0</v>
      </c>
      <c r="K307" s="24">
        <f>IF(K306&gt;0,ROUND(K306+J307-I307,2),0)</f>
        <v>0</v>
      </c>
      <c r="L307" s="24">
        <f>IF(K306&gt;0,ROUND(L306+ROUND(ROUND(L306*100,0)*ROUND(I$7*10000,0)/12000000,0)/100+0.02,2),0)</f>
        <v>0</v>
      </c>
      <c r="M307" s="24">
        <f>IF(O306&gt;0,IF(AND(ROUND(O306+N307-ROUND(M$6+IF(M$5=$C307,$E$5+$E307,0),2),2)&gt;0,ROUND(O306+N307-ROUND(M$6+IF(M$5=$C307,$E$5+$E307,0),2),2)&lt;=P307,ROUND(O306+N307-ROUND(M$6+IF(M$5=$C307,$E$5+$E307,0),2),2)*10&lt;=ROUND(M$6+IF(M$5=$C307,$E$5+$E307,0),2)),ROUND(O306+N307,2),MIN(ROUND(M$6+IF(M$5=$C307,$E$5+$E307,0),2),ROUND(O306+N307,2))),0)</f>
        <v>0</v>
      </c>
      <c r="N307" s="24">
        <f>IF(O306&gt;0,ROUND(ROUND(O306*100,0)*ROUND(M$7*10000,0)/12000000,0)/100,0)</f>
        <v>0</v>
      </c>
      <c r="O307" s="24">
        <f>IF(O306&gt;0,ROUND(O306+N307-M307,2),0)</f>
        <v>0</v>
      </c>
      <c r="P307" s="24">
        <f>IF(O306&gt;0,ROUND(P306+ROUND(ROUND(P306*100,0)*ROUND(M$7*10000,0)/12000000,0)/100+0.02,2),0)</f>
        <v>0</v>
      </c>
      <c r="Q307" s="24">
        <f>IF(S306&gt;0,IF(AND(ROUND(S306+R307-ROUND(Q$6+IF(Q$5=$C307,$E$5+$E307,0),2),2)&gt;0,ROUND(S306+R307-ROUND(Q$6+IF(Q$5=$C307,$E$5+$E307,0),2),2)&lt;=T307,ROUND(S306+R307-ROUND(Q$6+IF(Q$5=$C307,$E$5+$E307,0),2),2)*10&lt;=ROUND(Q$6+IF(Q$5=$C307,$E$5+$E307,0),2)),ROUND(S306+R307,2),MIN(ROUND(Q$6+IF(Q$5=$C307,$E$5+$E307,0),2),ROUND(S306+R307,2))),0)</f>
        <v>0</v>
      </c>
      <c r="R307" s="24">
        <f>IF(S306&gt;0,ROUND(ROUND(S306*100,0)*ROUND(Q$7*10000,0)/12000000,0)/100,0)</f>
        <v>0</v>
      </c>
      <c r="S307" s="24">
        <f>IF(S306&gt;0,ROUND(S306+R307-Q307,2),0)</f>
        <v>0</v>
      </c>
      <c r="T307" s="24">
        <f>IF(S306&gt;0,ROUND(T306+ROUND(ROUND(T306*100,0)*ROUND(Q$7*10000,0)/12000000,0)/100+0.02,2),0)</f>
        <v>0</v>
      </c>
      <c r="U307" s="24">
        <f>IF(W306&gt;0,IF(AND(ROUND(W306+V307-ROUND(U$6+IF(U$5=$C307,$E$5+$E307,0),2),2)&gt;0,ROUND(W306+V307-ROUND(U$6+IF(U$5=$C307,$E$5+$E307,0),2),2)&lt;=X307,ROUND(W306+V307-ROUND(U$6+IF(U$5=$C307,$E$5+$E307,0),2),2)*10&lt;=ROUND(U$6+IF(U$5=$C307,$E$5+$E307,0),2)),ROUND(W306+V307,2),MIN(ROUND(U$6+IF(U$5=$C307,$E$5+$E307,0),2),ROUND(W306+V307,2))),0)</f>
        <v>0</v>
      </c>
      <c r="V307" s="24">
        <f>IF(W306&gt;0,ROUND(ROUND(W306*100,0)*ROUND(U$7*10000,0)/12000000,0)/100,0)</f>
        <v>0</v>
      </c>
      <c r="W307" s="24">
        <f>IF(W306&gt;0,ROUND(W306+V307-U307,2),0)</f>
        <v>0</v>
      </c>
      <c r="X307" s="24">
        <f>IF(W306&gt;0,ROUND(X306+ROUND(ROUND(X306*100,0)*ROUND(U$7*10000,0)/12000000,0)/100+0.02,2),0)</f>
        <v>0</v>
      </c>
      <c r="Y307" s="24">
        <f>IF(AA306&gt;0,IF(AND(ROUND(AA306+Z307-ROUND(Y$6+IF(Y$5=$C307,$E$5+$E307,0),2),2)&gt;0,ROUND(AA306+Z307-ROUND(Y$6+IF(Y$5=$C307,$E$5+$E307,0),2),2)&lt;=AB307,ROUND(AA306+Z307-ROUND(Y$6+IF(Y$5=$C307,$E$5+$E307,0),2),2)*10&lt;=ROUND(Y$6+IF(Y$5=$C307,$E$5+$E307,0),2)),ROUND(AA306+Z307,2),MIN(ROUND(Y$6+IF(Y$5=$C307,$E$5+$E307,0),2),ROUND(AA306+Z307,2))),0)</f>
        <v>0</v>
      </c>
      <c r="Z307" s="24">
        <f>IF(AA306&gt;0,ROUND(ROUND(AA306*100,0)*ROUND(Y$7*10000,0)/12000000,0)/100,0)</f>
        <v>0</v>
      </c>
      <c r="AA307" s="24">
        <f>IF(AA306&gt;0,ROUND(AA306+Z307-Y307,2),0)</f>
        <v>0</v>
      </c>
      <c r="AB307" s="24">
        <f>IF(AA306&gt;0,ROUND(AB306+ROUND(ROUND(AB306*100,0)*ROUND(Y$7*10000,0)/12000000,0)/100+0.02,2),0)</f>
        <v>0</v>
      </c>
      <c r="AC307" s="24">
        <f>IF(AE306&gt;0,IF(AND(ROUND(AE306+AD307-ROUND(AC$6+IF(AC$5=$C307,$E$5+$E307,0),2),2)&gt;0,ROUND(AE306+AD307-ROUND(AC$6+IF(AC$5=$C307,$E$5+$E307,0),2),2)&lt;=AF307,ROUND(AE306+AD307-ROUND(AC$6+IF(AC$5=$C307,$E$5+$E307,0),2),2)*10&lt;=ROUND(AC$6+IF(AC$5=$C307,$E$5+$E307,0),2)),ROUND(AE306+AD307,2),MIN(ROUND(AC$6+IF(AC$5=$C307,$E$5+$E307,0),2),ROUND(AE306+AD307,2))),0)</f>
        <v>0</v>
      </c>
      <c r="AD307" s="24">
        <f>IF(AE306&gt;0,ROUND(ROUND(AE306*100,0)*ROUND(AC$7*10000,0)/12000000,0)/100,0)</f>
        <v>0</v>
      </c>
      <c r="AE307" s="24">
        <f>IF(AE306&gt;0,ROUND(AE306+AD307-AC307,2),0)</f>
        <v>0</v>
      </c>
      <c r="AF307" s="24">
        <f>IF(AE306&gt;0,ROUND(AF306+ROUND(ROUND(AF306*100,0)*ROUND(AC$7*10000,0)/12000000,0)/100+0.02,2),0)</f>
        <v>0</v>
      </c>
      <c r="AG307" s="24">
        <f>IF(AI306&gt;0,IF(AND(ROUND(AI306+AH307-ROUND(AG$6+IF(AG$5=$C307,$E$5+$E307,0),2),2)&gt;0,ROUND(AI306+AH307-ROUND(AG$6+IF(AG$5=$C307,$E$5+$E307,0),2),2)&lt;=AJ307,ROUND(AI306+AH307-ROUND(AG$6+IF(AG$5=$C307,$E$5+$E307,0),2),2)*10&lt;=ROUND(AG$6+IF(AG$5=$C307,$E$5+$E307,0),2)),ROUND(AI306+AH307,2),MIN(ROUND(AG$6+IF(AG$5=$C307,$E$5+$E307,0),2),ROUND(AI306+AH307,2))),0)</f>
        <v>0</v>
      </c>
      <c r="AH307" s="24">
        <f>IF(AI306&gt;0,ROUND(ROUND(AI306*100,0)*ROUND(AG$7*10000,0)/12000000,0)/100,0)</f>
        <v>0</v>
      </c>
      <c r="AI307" s="24">
        <f>IF(AI306&gt;0,ROUND(AI306+AH307-AG307,2),0)</f>
        <v>0</v>
      </c>
      <c r="AJ307" s="24">
        <f>IF(AI306&gt;0,ROUND(AJ306+ROUND(ROUND(AJ306*100,0)*ROUND(AG$7*10000,0)/12000000,0)/100+0.02,2),0)</f>
        <v>0</v>
      </c>
      <c r="AK307" s="24">
        <f>IF(AM306&gt;0,IF(AND(ROUND(AM306+AL307-ROUND(AK$6+IF(AK$5=$C307,$E$5+$E307,0),2),2)&gt;0,ROUND(AM306+AL307-ROUND(AK$6+IF(AK$5=$C307,$E$5+$E307,0),2),2)&lt;=AN307,ROUND(AM306+AL307-ROUND(AK$6+IF(AK$5=$C307,$E$5+$E307,0),2),2)*10&lt;=ROUND(AK$6+IF(AK$5=$C307,$E$5+$E307,0),2)),ROUND(AM306+AL307,2),MIN(ROUND(AK$6+IF(AK$5=$C307,$E$5+$E307,0),2),ROUND(AM306+AL307,2))),0)</f>
        <v>0</v>
      </c>
      <c r="AL307" s="24">
        <f>IF(AM306&gt;0,ROUND(ROUND(AM306*100,0)*ROUND(AK$7*10000,0)/12000000,0)/100,0)</f>
        <v>0</v>
      </c>
      <c r="AM307" s="24">
        <f>IF(AM306&gt;0,ROUND(AM306+AL307-AK307,2),0)</f>
        <v>0</v>
      </c>
      <c r="AN307" s="24">
        <f>IF(AM306&gt;0,ROUND(AN306+ROUND(ROUND(AN306*100,0)*ROUND(AK$7*10000,0)/12000000,0)/100+0.02,2),0)</f>
        <v>0</v>
      </c>
      <c r="AO307" s="24">
        <f>IF(AQ306&gt;0,IF(AND(ROUND(AQ306+AP307-ROUND(AO$6+IF(AO$5=$C307,$E$5+$E307,0),2),2)&gt;0,ROUND(AQ306+AP307-ROUND(AO$6+IF(AO$5=$C307,$E$5+$E307,0),2),2)&lt;=AR307,ROUND(AQ306+AP307-ROUND(AO$6+IF(AO$5=$C307,$E$5+$E307,0),2),2)*10&lt;=ROUND(AO$6+IF(AO$5=$C307,$E$5+$E307,0),2)),ROUND(AQ306+AP307,2),MIN(ROUND(AO$6+IF(AO$5=$C307,$E$5+$E307,0),2),ROUND(AQ306+AP307,2))),0)</f>
        <v>0</v>
      </c>
      <c r="AP307" s="24">
        <f>IF(AQ306&gt;0,ROUND(ROUND(AQ306*100,0)*ROUND(AO$7*10000,0)/12000000,0)/100,0)</f>
        <v>0</v>
      </c>
      <c r="AQ307" s="24">
        <f>IF(AQ306&gt;0,ROUND(AQ306+AP307-AO307,2),0)</f>
        <v>0</v>
      </c>
      <c r="AR307" s="24">
        <f>IF(AQ306&gt;0,ROUND(AR306+ROUND(ROUND(AR306*100,0)*ROUND(AO$7*10000,0)/12000000,0)/100+0.02,2),0)</f>
        <v>0</v>
      </c>
      <c r="AS307" s="24">
        <f>IF(AU306&gt;0,IF(AND(ROUND(AU306+AT307-ROUND(AS$6+IF(AS$5=$C307,$E$5+$E307,0),2),2)&gt;0,ROUND(AU306+AT307-ROUND(AS$6+IF(AS$5=$C307,$E$5+$E307,0),2),2)&lt;=AV307,ROUND(AU306+AT307-ROUND(AS$6+IF(AS$5=$C307,$E$5+$E307,0),2),2)*10&lt;=ROUND(AS$6+IF(AS$5=$C307,$E$5+$E307,0),2)),ROUND(AU306+AT307,2),MIN(ROUND(AS$6+IF(AS$5=$C307,$E$5+$E307,0),2),ROUND(AU306+AT307,2))),0)</f>
        <v>0</v>
      </c>
      <c r="AT307" s="24">
        <f>IF(AU306&gt;0,ROUND(ROUND(AU306*100,0)*ROUND(AS$7*10000,0)/12000000,0)/100,0)</f>
        <v>0</v>
      </c>
      <c r="AU307" s="24">
        <f>IF(AU306&gt;0,ROUND(AU306+AT307-AS307,2),0)</f>
        <v>0</v>
      </c>
      <c r="AV307" s="24">
        <f>IF(AU306&gt;0,ROUND(AV306+ROUND(ROUND(AV306*100,0)*ROUND(AS$7*10000,0)/12000000,0)/100+0.02,2),0)</f>
        <v>0</v>
      </c>
    </row>
    <row r="308" spans="1:48" x14ac:dyDescent="0.25">
      <c r="A308" s="17" t="str">
        <f>IF(F308&gt;0,298,"")</f>
        <v/>
      </c>
      <c r="B308" s="18" t="str">
        <f>IF(F308&gt;0,EDATE($E$6,298),"")</f>
        <v/>
      </c>
      <c r="C308" s="21">
        <f>IF(H307&gt;0,MIN(IF(K307&gt;0,I$5,99),IF(O307&gt;0,M$5,99),IF(S307&gt;0,Q$5,99),IF(W307&gt;0,U$5,99),IF(AA307&gt;0,Y$5,99),IF(AE307&gt;0,AC$5,99),IF(AI307&gt;0,AG$5,99),IF(AM307&gt;0,AK$5,99),IF(AQ307&gt;0,AO$5,99),IF(AU307&gt;0,AS$5,99)),0)</f>
        <v>0</v>
      </c>
      <c r="D308" t="str">
        <f>IF(C308&gt;0,INDEX($I$4:$AV$4,1,MATCH(C308,$I$5:$AV$5,0)),"")</f>
        <v/>
      </c>
      <c r="E308" s="24">
        <f>ROUND(IF(AND(I$8&gt;0,K307=0),I$6,0)+IF(AND(M$8&gt;0,O307=0),M$6,0)+IF(AND(Q$8&gt;0,S307=0),Q$6,0)+IF(AND(U$8&gt;0,W307=0),U$6,0)+IF(AND(Y$8&gt;0,AA307=0),Y$6,0)+IF(AND(AC$8&gt;0,AE307=0),AC$6,0)+IF(AND(AG$8&gt;0,AI307=0),AG$6,0)+IF(AND(AK$8&gt;0,AM307=0),AK$6,0)+IF(AND(AO$8&gt;0,AQ307=0),AO$6,0)+IF(AND(AS$8&gt;0,AU307=0),AS$6,0),2)</f>
        <v>325</v>
      </c>
      <c r="F308" s="24">
        <f>ROUND(I308+M308+Q308+U308+Y308+AC308+AG308+AK308+AO308+AS308,2)</f>
        <v>0</v>
      </c>
      <c r="G308" s="24">
        <f>ROUND(J308+N308+R308+V308+Z308+AD308+AH308+AL308+AP308+AT308,2)</f>
        <v>0</v>
      </c>
      <c r="H308" s="24">
        <f>ROUND(K308+O308+S308+W308+AA308+AE308+AI308+AM308+AQ308+AU308,2)</f>
        <v>0</v>
      </c>
      <c r="I308" s="24">
        <f>IF(K307&gt;0,IF(AND(ROUND(K307+J308-ROUND(I$6+IF(I$5=$C308,$E$5+$E308,0),2),2)&gt;0,ROUND(K307+J308-ROUND(I$6+IF(I$5=$C308,$E$5+$E308,0),2),2)&lt;=L308,ROUND(K307+J308-ROUND(I$6+IF(I$5=$C308,$E$5+$E308,0),2),2)*10&lt;=ROUND(I$6+IF(I$5=$C308,$E$5+$E308,0),2)),ROUND(K307+J308,2),MIN(ROUND(I$6+IF(I$5=$C308,$E$5+$E308,0),2),ROUND(K307+J308,2))),0)</f>
        <v>0</v>
      </c>
      <c r="J308" s="24">
        <f>IF(K307&gt;0,ROUND(ROUND(K307*100,0)*ROUND(I$7*10000,0)/12000000,0)/100,0)</f>
        <v>0</v>
      </c>
      <c r="K308" s="24">
        <f>IF(K307&gt;0,ROUND(K307+J308-I308,2),0)</f>
        <v>0</v>
      </c>
      <c r="L308" s="24">
        <f>IF(K307&gt;0,ROUND(L307+ROUND(ROUND(L307*100,0)*ROUND(I$7*10000,0)/12000000,0)/100+0.02,2),0)</f>
        <v>0</v>
      </c>
      <c r="M308" s="24">
        <f>IF(O307&gt;0,IF(AND(ROUND(O307+N308-ROUND(M$6+IF(M$5=$C308,$E$5+$E308,0),2),2)&gt;0,ROUND(O307+N308-ROUND(M$6+IF(M$5=$C308,$E$5+$E308,0),2),2)&lt;=P308,ROUND(O307+N308-ROUND(M$6+IF(M$5=$C308,$E$5+$E308,0),2),2)*10&lt;=ROUND(M$6+IF(M$5=$C308,$E$5+$E308,0),2)),ROUND(O307+N308,2),MIN(ROUND(M$6+IF(M$5=$C308,$E$5+$E308,0),2),ROUND(O307+N308,2))),0)</f>
        <v>0</v>
      </c>
      <c r="N308" s="24">
        <f>IF(O307&gt;0,ROUND(ROUND(O307*100,0)*ROUND(M$7*10000,0)/12000000,0)/100,0)</f>
        <v>0</v>
      </c>
      <c r="O308" s="24">
        <f>IF(O307&gt;0,ROUND(O307+N308-M308,2),0)</f>
        <v>0</v>
      </c>
      <c r="P308" s="24">
        <f>IF(O307&gt;0,ROUND(P307+ROUND(ROUND(P307*100,0)*ROUND(M$7*10000,0)/12000000,0)/100+0.02,2),0)</f>
        <v>0</v>
      </c>
      <c r="Q308" s="24">
        <f>IF(S307&gt;0,IF(AND(ROUND(S307+R308-ROUND(Q$6+IF(Q$5=$C308,$E$5+$E308,0),2),2)&gt;0,ROUND(S307+R308-ROUND(Q$6+IF(Q$5=$C308,$E$5+$E308,0),2),2)&lt;=T308,ROUND(S307+R308-ROUND(Q$6+IF(Q$5=$C308,$E$5+$E308,0),2),2)*10&lt;=ROUND(Q$6+IF(Q$5=$C308,$E$5+$E308,0),2)),ROUND(S307+R308,2),MIN(ROUND(Q$6+IF(Q$5=$C308,$E$5+$E308,0),2),ROUND(S307+R308,2))),0)</f>
        <v>0</v>
      </c>
      <c r="R308" s="24">
        <f>IF(S307&gt;0,ROUND(ROUND(S307*100,0)*ROUND(Q$7*10000,0)/12000000,0)/100,0)</f>
        <v>0</v>
      </c>
      <c r="S308" s="24">
        <f>IF(S307&gt;0,ROUND(S307+R308-Q308,2),0)</f>
        <v>0</v>
      </c>
      <c r="T308" s="24">
        <f>IF(S307&gt;0,ROUND(T307+ROUND(ROUND(T307*100,0)*ROUND(Q$7*10000,0)/12000000,0)/100+0.02,2),0)</f>
        <v>0</v>
      </c>
      <c r="U308" s="24">
        <f>IF(W307&gt;0,IF(AND(ROUND(W307+V308-ROUND(U$6+IF(U$5=$C308,$E$5+$E308,0),2),2)&gt;0,ROUND(W307+V308-ROUND(U$6+IF(U$5=$C308,$E$5+$E308,0),2),2)&lt;=X308,ROUND(W307+V308-ROUND(U$6+IF(U$5=$C308,$E$5+$E308,0),2),2)*10&lt;=ROUND(U$6+IF(U$5=$C308,$E$5+$E308,0),2)),ROUND(W307+V308,2),MIN(ROUND(U$6+IF(U$5=$C308,$E$5+$E308,0),2),ROUND(W307+V308,2))),0)</f>
        <v>0</v>
      </c>
      <c r="V308" s="24">
        <f>IF(W307&gt;0,ROUND(ROUND(W307*100,0)*ROUND(U$7*10000,0)/12000000,0)/100,0)</f>
        <v>0</v>
      </c>
      <c r="W308" s="24">
        <f>IF(W307&gt;0,ROUND(W307+V308-U308,2),0)</f>
        <v>0</v>
      </c>
      <c r="X308" s="24">
        <f>IF(W307&gt;0,ROUND(X307+ROUND(ROUND(X307*100,0)*ROUND(U$7*10000,0)/12000000,0)/100+0.02,2),0)</f>
        <v>0</v>
      </c>
      <c r="Y308" s="24">
        <f>IF(AA307&gt;0,IF(AND(ROUND(AA307+Z308-ROUND(Y$6+IF(Y$5=$C308,$E$5+$E308,0),2),2)&gt;0,ROUND(AA307+Z308-ROUND(Y$6+IF(Y$5=$C308,$E$5+$E308,0),2),2)&lt;=AB308,ROUND(AA307+Z308-ROUND(Y$6+IF(Y$5=$C308,$E$5+$E308,0),2),2)*10&lt;=ROUND(Y$6+IF(Y$5=$C308,$E$5+$E308,0),2)),ROUND(AA307+Z308,2),MIN(ROUND(Y$6+IF(Y$5=$C308,$E$5+$E308,0),2),ROUND(AA307+Z308,2))),0)</f>
        <v>0</v>
      </c>
      <c r="Z308" s="24">
        <f>IF(AA307&gt;0,ROUND(ROUND(AA307*100,0)*ROUND(Y$7*10000,0)/12000000,0)/100,0)</f>
        <v>0</v>
      </c>
      <c r="AA308" s="24">
        <f>IF(AA307&gt;0,ROUND(AA307+Z308-Y308,2),0)</f>
        <v>0</v>
      </c>
      <c r="AB308" s="24">
        <f>IF(AA307&gt;0,ROUND(AB307+ROUND(ROUND(AB307*100,0)*ROUND(Y$7*10000,0)/12000000,0)/100+0.02,2),0)</f>
        <v>0</v>
      </c>
      <c r="AC308" s="24">
        <f>IF(AE307&gt;0,IF(AND(ROUND(AE307+AD308-ROUND(AC$6+IF(AC$5=$C308,$E$5+$E308,0),2),2)&gt;0,ROUND(AE307+AD308-ROUND(AC$6+IF(AC$5=$C308,$E$5+$E308,0),2),2)&lt;=AF308,ROUND(AE307+AD308-ROUND(AC$6+IF(AC$5=$C308,$E$5+$E308,0),2),2)*10&lt;=ROUND(AC$6+IF(AC$5=$C308,$E$5+$E308,0),2)),ROUND(AE307+AD308,2),MIN(ROUND(AC$6+IF(AC$5=$C308,$E$5+$E308,0),2),ROUND(AE307+AD308,2))),0)</f>
        <v>0</v>
      </c>
      <c r="AD308" s="24">
        <f>IF(AE307&gt;0,ROUND(ROUND(AE307*100,0)*ROUND(AC$7*10000,0)/12000000,0)/100,0)</f>
        <v>0</v>
      </c>
      <c r="AE308" s="24">
        <f>IF(AE307&gt;0,ROUND(AE307+AD308-AC308,2),0)</f>
        <v>0</v>
      </c>
      <c r="AF308" s="24">
        <f>IF(AE307&gt;0,ROUND(AF307+ROUND(ROUND(AF307*100,0)*ROUND(AC$7*10000,0)/12000000,0)/100+0.02,2),0)</f>
        <v>0</v>
      </c>
      <c r="AG308" s="24">
        <f>IF(AI307&gt;0,IF(AND(ROUND(AI307+AH308-ROUND(AG$6+IF(AG$5=$C308,$E$5+$E308,0),2),2)&gt;0,ROUND(AI307+AH308-ROUND(AG$6+IF(AG$5=$C308,$E$5+$E308,0),2),2)&lt;=AJ308,ROUND(AI307+AH308-ROUND(AG$6+IF(AG$5=$C308,$E$5+$E308,0),2),2)*10&lt;=ROUND(AG$6+IF(AG$5=$C308,$E$5+$E308,0),2)),ROUND(AI307+AH308,2),MIN(ROUND(AG$6+IF(AG$5=$C308,$E$5+$E308,0),2),ROUND(AI307+AH308,2))),0)</f>
        <v>0</v>
      </c>
      <c r="AH308" s="24">
        <f>IF(AI307&gt;0,ROUND(ROUND(AI307*100,0)*ROUND(AG$7*10000,0)/12000000,0)/100,0)</f>
        <v>0</v>
      </c>
      <c r="AI308" s="24">
        <f>IF(AI307&gt;0,ROUND(AI307+AH308-AG308,2),0)</f>
        <v>0</v>
      </c>
      <c r="AJ308" s="24">
        <f>IF(AI307&gt;0,ROUND(AJ307+ROUND(ROUND(AJ307*100,0)*ROUND(AG$7*10000,0)/12000000,0)/100+0.02,2),0)</f>
        <v>0</v>
      </c>
      <c r="AK308" s="24">
        <f>IF(AM307&gt;0,IF(AND(ROUND(AM307+AL308-ROUND(AK$6+IF(AK$5=$C308,$E$5+$E308,0),2),2)&gt;0,ROUND(AM307+AL308-ROUND(AK$6+IF(AK$5=$C308,$E$5+$E308,0),2),2)&lt;=AN308,ROUND(AM307+AL308-ROUND(AK$6+IF(AK$5=$C308,$E$5+$E308,0),2),2)*10&lt;=ROUND(AK$6+IF(AK$5=$C308,$E$5+$E308,0),2)),ROUND(AM307+AL308,2),MIN(ROUND(AK$6+IF(AK$5=$C308,$E$5+$E308,0),2),ROUND(AM307+AL308,2))),0)</f>
        <v>0</v>
      </c>
      <c r="AL308" s="24">
        <f>IF(AM307&gt;0,ROUND(ROUND(AM307*100,0)*ROUND(AK$7*10000,0)/12000000,0)/100,0)</f>
        <v>0</v>
      </c>
      <c r="AM308" s="24">
        <f>IF(AM307&gt;0,ROUND(AM307+AL308-AK308,2),0)</f>
        <v>0</v>
      </c>
      <c r="AN308" s="24">
        <f>IF(AM307&gt;0,ROUND(AN307+ROUND(ROUND(AN307*100,0)*ROUND(AK$7*10000,0)/12000000,0)/100+0.02,2),0)</f>
        <v>0</v>
      </c>
      <c r="AO308" s="24">
        <f>IF(AQ307&gt;0,IF(AND(ROUND(AQ307+AP308-ROUND(AO$6+IF(AO$5=$C308,$E$5+$E308,0),2),2)&gt;0,ROUND(AQ307+AP308-ROUND(AO$6+IF(AO$5=$C308,$E$5+$E308,0),2),2)&lt;=AR308,ROUND(AQ307+AP308-ROUND(AO$6+IF(AO$5=$C308,$E$5+$E308,0),2),2)*10&lt;=ROUND(AO$6+IF(AO$5=$C308,$E$5+$E308,0),2)),ROUND(AQ307+AP308,2),MIN(ROUND(AO$6+IF(AO$5=$C308,$E$5+$E308,0),2),ROUND(AQ307+AP308,2))),0)</f>
        <v>0</v>
      </c>
      <c r="AP308" s="24">
        <f>IF(AQ307&gt;0,ROUND(ROUND(AQ307*100,0)*ROUND(AO$7*10000,0)/12000000,0)/100,0)</f>
        <v>0</v>
      </c>
      <c r="AQ308" s="24">
        <f>IF(AQ307&gt;0,ROUND(AQ307+AP308-AO308,2),0)</f>
        <v>0</v>
      </c>
      <c r="AR308" s="24">
        <f>IF(AQ307&gt;0,ROUND(AR307+ROUND(ROUND(AR307*100,0)*ROUND(AO$7*10000,0)/12000000,0)/100+0.02,2),0)</f>
        <v>0</v>
      </c>
      <c r="AS308" s="24">
        <f>IF(AU307&gt;0,IF(AND(ROUND(AU307+AT308-ROUND(AS$6+IF(AS$5=$C308,$E$5+$E308,0),2),2)&gt;0,ROUND(AU307+AT308-ROUND(AS$6+IF(AS$5=$C308,$E$5+$E308,0),2),2)&lt;=AV308,ROUND(AU307+AT308-ROUND(AS$6+IF(AS$5=$C308,$E$5+$E308,0),2),2)*10&lt;=ROUND(AS$6+IF(AS$5=$C308,$E$5+$E308,0),2)),ROUND(AU307+AT308,2),MIN(ROUND(AS$6+IF(AS$5=$C308,$E$5+$E308,0),2),ROUND(AU307+AT308,2))),0)</f>
        <v>0</v>
      </c>
      <c r="AT308" s="24">
        <f>IF(AU307&gt;0,ROUND(ROUND(AU307*100,0)*ROUND(AS$7*10000,0)/12000000,0)/100,0)</f>
        <v>0</v>
      </c>
      <c r="AU308" s="24">
        <f>IF(AU307&gt;0,ROUND(AU307+AT308-AS308,2),0)</f>
        <v>0</v>
      </c>
      <c r="AV308" s="24">
        <f>IF(AU307&gt;0,ROUND(AV307+ROUND(ROUND(AV307*100,0)*ROUND(AS$7*10000,0)/12000000,0)/100+0.02,2),0)</f>
        <v>0</v>
      </c>
    </row>
    <row r="309" spans="1:48" x14ac:dyDescent="0.25">
      <c r="A309" s="17" t="str">
        <f>IF(F309&gt;0,299,"")</f>
        <v/>
      </c>
      <c r="B309" s="18" t="str">
        <f>IF(F309&gt;0,EDATE($E$6,299),"")</f>
        <v/>
      </c>
      <c r="C309" s="21">
        <f>IF(H308&gt;0,MIN(IF(K308&gt;0,I$5,99),IF(O308&gt;0,M$5,99),IF(S308&gt;0,Q$5,99),IF(W308&gt;0,U$5,99),IF(AA308&gt;0,Y$5,99),IF(AE308&gt;0,AC$5,99),IF(AI308&gt;0,AG$5,99),IF(AM308&gt;0,AK$5,99),IF(AQ308&gt;0,AO$5,99),IF(AU308&gt;0,AS$5,99)),0)</f>
        <v>0</v>
      </c>
      <c r="D309" t="str">
        <f>IF(C309&gt;0,INDEX($I$4:$AV$4,1,MATCH(C309,$I$5:$AV$5,0)),"")</f>
        <v/>
      </c>
      <c r="E309" s="24">
        <f>ROUND(IF(AND(I$8&gt;0,K308=0),I$6,0)+IF(AND(M$8&gt;0,O308=0),M$6,0)+IF(AND(Q$8&gt;0,S308=0),Q$6,0)+IF(AND(U$8&gt;0,W308=0),U$6,0)+IF(AND(Y$8&gt;0,AA308=0),Y$6,0)+IF(AND(AC$8&gt;0,AE308=0),AC$6,0)+IF(AND(AG$8&gt;0,AI308=0),AG$6,0)+IF(AND(AK$8&gt;0,AM308=0),AK$6,0)+IF(AND(AO$8&gt;0,AQ308=0),AO$6,0)+IF(AND(AS$8&gt;0,AU308=0),AS$6,0),2)</f>
        <v>325</v>
      </c>
      <c r="F309" s="24">
        <f>ROUND(I309+M309+Q309+U309+Y309+AC309+AG309+AK309+AO309+AS309,2)</f>
        <v>0</v>
      </c>
      <c r="G309" s="24">
        <f>ROUND(J309+N309+R309+V309+Z309+AD309+AH309+AL309+AP309+AT309,2)</f>
        <v>0</v>
      </c>
      <c r="H309" s="24">
        <f>ROUND(K309+O309+S309+W309+AA309+AE309+AI309+AM309+AQ309+AU309,2)</f>
        <v>0</v>
      </c>
      <c r="I309" s="24">
        <f>IF(K308&gt;0,IF(AND(ROUND(K308+J309-ROUND(I$6+IF(I$5=$C309,$E$5+$E309,0),2),2)&gt;0,ROUND(K308+J309-ROUND(I$6+IF(I$5=$C309,$E$5+$E309,0),2),2)&lt;=L309,ROUND(K308+J309-ROUND(I$6+IF(I$5=$C309,$E$5+$E309,0),2),2)*10&lt;=ROUND(I$6+IF(I$5=$C309,$E$5+$E309,0),2)),ROUND(K308+J309,2),MIN(ROUND(I$6+IF(I$5=$C309,$E$5+$E309,0),2),ROUND(K308+J309,2))),0)</f>
        <v>0</v>
      </c>
      <c r="J309" s="24">
        <f>IF(K308&gt;0,ROUND(ROUND(K308*100,0)*ROUND(I$7*10000,0)/12000000,0)/100,0)</f>
        <v>0</v>
      </c>
      <c r="K309" s="24">
        <f>IF(K308&gt;0,ROUND(K308+J309-I309,2),0)</f>
        <v>0</v>
      </c>
      <c r="L309" s="24">
        <f>IF(K308&gt;0,ROUND(L308+ROUND(ROUND(L308*100,0)*ROUND(I$7*10000,0)/12000000,0)/100+0.02,2),0)</f>
        <v>0</v>
      </c>
      <c r="M309" s="24">
        <f>IF(O308&gt;0,IF(AND(ROUND(O308+N309-ROUND(M$6+IF(M$5=$C309,$E$5+$E309,0),2),2)&gt;0,ROUND(O308+N309-ROUND(M$6+IF(M$5=$C309,$E$5+$E309,0),2),2)&lt;=P309,ROUND(O308+N309-ROUND(M$6+IF(M$5=$C309,$E$5+$E309,0),2),2)*10&lt;=ROUND(M$6+IF(M$5=$C309,$E$5+$E309,0),2)),ROUND(O308+N309,2),MIN(ROUND(M$6+IF(M$5=$C309,$E$5+$E309,0),2),ROUND(O308+N309,2))),0)</f>
        <v>0</v>
      </c>
      <c r="N309" s="24">
        <f>IF(O308&gt;0,ROUND(ROUND(O308*100,0)*ROUND(M$7*10000,0)/12000000,0)/100,0)</f>
        <v>0</v>
      </c>
      <c r="O309" s="24">
        <f>IF(O308&gt;0,ROUND(O308+N309-M309,2),0)</f>
        <v>0</v>
      </c>
      <c r="P309" s="24">
        <f>IF(O308&gt;0,ROUND(P308+ROUND(ROUND(P308*100,0)*ROUND(M$7*10000,0)/12000000,0)/100+0.02,2),0)</f>
        <v>0</v>
      </c>
      <c r="Q309" s="24">
        <f>IF(S308&gt;0,IF(AND(ROUND(S308+R309-ROUND(Q$6+IF(Q$5=$C309,$E$5+$E309,0),2),2)&gt;0,ROUND(S308+R309-ROUND(Q$6+IF(Q$5=$C309,$E$5+$E309,0),2),2)&lt;=T309,ROUND(S308+R309-ROUND(Q$6+IF(Q$5=$C309,$E$5+$E309,0),2),2)*10&lt;=ROUND(Q$6+IF(Q$5=$C309,$E$5+$E309,0),2)),ROUND(S308+R309,2),MIN(ROUND(Q$6+IF(Q$5=$C309,$E$5+$E309,0),2),ROUND(S308+R309,2))),0)</f>
        <v>0</v>
      </c>
      <c r="R309" s="24">
        <f>IF(S308&gt;0,ROUND(ROUND(S308*100,0)*ROUND(Q$7*10000,0)/12000000,0)/100,0)</f>
        <v>0</v>
      </c>
      <c r="S309" s="24">
        <f>IF(S308&gt;0,ROUND(S308+R309-Q309,2),0)</f>
        <v>0</v>
      </c>
      <c r="T309" s="24">
        <f>IF(S308&gt;0,ROUND(T308+ROUND(ROUND(T308*100,0)*ROUND(Q$7*10000,0)/12000000,0)/100+0.02,2),0)</f>
        <v>0</v>
      </c>
      <c r="U309" s="24">
        <f>IF(W308&gt;0,IF(AND(ROUND(W308+V309-ROUND(U$6+IF(U$5=$C309,$E$5+$E309,0),2),2)&gt;0,ROUND(W308+V309-ROUND(U$6+IF(U$5=$C309,$E$5+$E309,0),2),2)&lt;=X309,ROUND(W308+V309-ROUND(U$6+IF(U$5=$C309,$E$5+$E309,0),2),2)*10&lt;=ROUND(U$6+IF(U$5=$C309,$E$5+$E309,0),2)),ROUND(W308+V309,2),MIN(ROUND(U$6+IF(U$5=$C309,$E$5+$E309,0),2),ROUND(W308+V309,2))),0)</f>
        <v>0</v>
      </c>
      <c r="V309" s="24">
        <f>IF(W308&gt;0,ROUND(ROUND(W308*100,0)*ROUND(U$7*10000,0)/12000000,0)/100,0)</f>
        <v>0</v>
      </c>
      <c r="W309" s="24">
        <f>IF(W308&gt;0,ROUND(W308+V309-U309,2),0)</f>
        <v>0</v>
      </c>
      <c r="X309" s="24">
        <f>IF(W308&gt;0,ROUND(X308+ROUND(ROUND(X308*100,0)*ROUND(U$7*10000,0)/12000000,0)/100+0.02,2),0)</f>
        <v>0</v>
      </c>
      <c r="Y309" s="24">
        <f>IF(AA308&gt;0,IF(AND(ROUND(AA308+Z309-ROUND(Y$6+IF(Y$5=$C309,$E$5+$E309,0),2),2)&gt;0,ROUND(AA308+Z309-ROUND(Y$6+IF(Y$5=$C309,$E$5+$E309,0),2),2)&lt;=AB309,ROUND(AA308+Z309-ROUND(Y$6+IF(Y$5=$C309,$E$5+$E309,0),2),2)*10&lt;=ROUND(Y$6+IF(Y$5=$C309,$E$5+$E309,0),2)),ROUND(AA308+Z309,2),MIN(ROUND(Y$6+IF(Y$5=$C309,$E$5+$E309,0),2),ROUND(AA308+Z309,2))),0)</f>
        <v>0</v>
      </c>
      <c r="Z309" s="24">
        <f>IF(AA308&gt;0,ROUND(ROUND(AA308*100,0)*ROUND(Y$7*10000,0)/12000000,0)/100,0)</f>
        <v>0</v>
      </c>
      <c r="AA309" s="24">
        <f>IF(AA308&gt;0,ROUND(AA308+Z309-Y309,2),0)</f>
        <v>0</v>
      </c>
      <c r="AB309" s="24">
        <f>IF(AA308&gt;0,ROUND(AB308+ROUND(ROUND(AB308*100,0)*ROUND(Y$7*10000,0)/12000000,0)/100+0.02,2),0)</f>
        <v>0</v>
      </c>
      <c r="AC309" s="24">
        <f>IF(AE308&gt;0,IF(AND(ROUND(AE308+AD309-ROUND(AC$6+IF(AC$5=$C309,$E$5+$E309,0),2),2)&gt;0,ROUND(AE308+AD309-ROUND(AC$6+IF(AC$5=$C309,$E$5+$E309,0),2),2)&lt;=AF309,ROUND(AE308+AD309-ROUND(AC$6+IF(AC$5=$C309,$E$5+$E309,0),2),2)*10&lt;=ROUND(AC$6+IF(AC$5=$C309,$E$5+$E309,0),2)),ROUND(AE308+AD309,2),MIN(ROUND(AC$6+IF(AC$5=$C309,$E$5+$E309,0),2),ROUND(AE308+AD309,2))),0)</f>
        <v>0</v>
      </c>
      <c r="AD309" s="24">
        <f>IF(AE308&gt;0,ROUND(ROUND(AE308*100,0)*ROUND(AC$7*10000,0)/12000000,0)/100,0)</f>
        <v>0</v>
      </c>
      <c r="AE309" s="24">
        <f>IF(AE308&gt;0,ROUND(AE308+AD309-AC309,2),0)</f>
        <v>0</v>
      </c>
      <c r="AF309" s="24">
        <f>IF(AE308&gt;0,ROUND(AF308+ROUND(ROUND(AF308*100,0)*ROUND(AC$7*10000,0)/12000000,0)/100+0.02,2),0)</f>
        <v>0</v>
      </c>
      <c r="AG309" s="24">
        <f>IF(AI308&gt;0,IF(AND(ROUND(AI308+AH309-ROUND(AG$6+IF(AG$5=$C309,$E$5+$E309,0),2),2)&gt;0,ROUND(AI308+AH309-ROUND(AG$6+IF(AG$5=$C309,$E$5+$E309,0),2),2)&lt;=AJ309,ROUND(AI308+AH309-ROUND(AG$6+IF(AG$5=$C309,$E$5+$E309,0),2),2)*10&lt;=ROUND(AG$6+IF(AG$5=$C309,$E$5+$E309,0),2)),ROUND(AI308+AH309,2),MIN(ROUND(AG$6+IF(AG$5=$C309,$E$5+$E309,0),2),ROUND(AI308+AH309,2))),0)</f>
        <v>0</v>
      </c>
      <c r="AH309" s="24">
        <f>IF(AI308&gt;0,ROUND(ROUND(AI308*100,0)*ROUND(AG$7*10000,0)/12000000,0)/100,0)</f>
        <v>0</v>
      </c>
      <c r="AI309" s="24">
        <f>IF(AI308&gt;0,ROUND(AI308+AH309-AG309,2),0)</f>
        <v>0</v>
      </c>
      <c r="AJ309" s="24">
        <f>IF(AI308&gt;0,ROUND(AJ308+ROUND(ROUND(AJ308*100,0)*ROUND(AG$7*10000,0)/12000000,0)/100+0.02,2),0)</f>
        <v>0</v>
      </c>
      <c r="AK309" s="24">
        <f>IF(AM308&gt;0,IF(AND(ROUND(AM308+AL309-ROUND(AK$6+IF(AK$5=$C309,$E$5+$E309,0),2),2)&gt;0,ROUND(AM308+AL309-ROUND(AK$6+IF(AK$5=$C309,$E$5+$E309,0),2),2)&lt;=AN309,ROUND(AM308+AL309-ROUND(AK$6+IF(AK$5=$C309,$E$5+$E309,0),2),2)*10&lt;=ROUND(AK$6+IF(AK$5=$C309,$E$5+$E309,0),2)),ROUND(AM308+AL309,2),MIN(ROUND(AK$6+IF(AK$5=$C309,$E$5+$E309,0),2),ROUND(AM308+AL309,2))),0)</f>
        <v>0</v>
      </c>
      <c r="AL309" s="24">
        <f>IF(AM308&gt;0,ROUND(ROUND(AM308*100,0)*ROUND(AK$7*10000,0)/12000000,0)/100,0)</f>
        <v>0</v>
      </c>
      <c r="AM309" s="24">
        <f>IF(AM308&gt;0,ROUND(AM308+AL309-AK309,2),0)</f>
        <v>0</v>
      </c>
      <c r="AN309" s="24">
        <f>IF(AM308&gt;0,ROUND(AN308+ROUND(ROUND(AN308*100,0)*ROUND(AK$7*10000,0)/12000000,0)/100+0.02,2),0)</f>
        <v>0</v>
      </c>
      <c r="AO309" s="24">
        <f>IF(AQ308&gt;0,IF(AND(ROUND(AQ308+AP309-ROUND(AO$6+IF(AO$5=$C309,$E$5+$E309,0),2),2)&gt;0,ROUND(AQ308+AP309-ROUND(AO$6+IF(AO$5=$C309,$E$5+$E309,0),2),2)&lt;=AR309,ROUND(AQ308+AP309-ROUND(AO$6+IF(AO$5=$C309,$E$5+$E309,0),2),2)*10&lt;=ROUND(AO$6+IF(AO$5=$C309,$E$5+$E309,0),2)),ROUND(AQ308+AP309,2),MIN(ROUND(AO$6+IF(AO$5=$C309,$E$5+$E309,0),2),ROUND(AQ308+AP309,2))),0)</f>
        <v>0</v>
      </c>
      <c r="AP309" s="24">
        <f>IF(AQ308&gt;0,ROUND(ROUND(AQ308*100,0)*ROUND(AO$7*10000,0)/12000000,0)/100,0)</f>
        <v>0</v>
      </c>
      <c r="AQ309" s="24">
        <f>IF(AQ308&gt;0,ROUND(AQ308+AP309-AO309,2),0)</f>
        <v>0</v>
      </c>
      <c r="AR309" s="24">
        <f>IF(AQ308&gt;0,ROUND(AR308+ROUND(ROUND(AR308*100,0)*ROUND(AO$7*10000,0)/12000000,0)/100+0.02,2),0)</f>
        <v>0</v>
      </c>
      <c r="AS309" s="24">
        <f>IF(AU308&gt;0,IF(AND(ROUND(AU308+AT309-ROUND(AS$6+IF(AS$5=$C309,$E$5+$E309,0),2),2)&gt;0,ROUND(AU308+AT309-ROUND(AS$6+IF(AS$5=$C309,$E$5+$E309,0),2),2)&lt;=AV309,ROUND(AU308+AT309-ROUND(AS$6+IF(AS$5=$C309,$E$5+$E309,0),2),2)*10&lt;=ROUND(AS$6+IF(AS$5=$C309,$E$5+$E309,0),2)),ROUND(AU308+AT309,2),MIN(ROUND(AS$6+IF(AS$5=$C309,$E$5+$E309,0),2),ROUND(AU308+AT309,2))),0)</f>
        <v>0</v>
      </c>
      <c r="AT309" s="24">
        <f>IF(AU308&gt;0,ROUND(ROUND(AU308*100,0)*ROUND(AS$7*10000,0)/12000000,0)/100,0)</f>
        <v>0</v>
      </c>
      <c r="AU309" s="24">
        <f>IF(AU308&gt;0,ROUND(AU308+AT309-AS309,2),0)</f>
        <v>0</v>
      </c>
      <c r="AV309" s="24">
        <f>IF(AU308&gt;0,ROUND(AV308+ROUND(ROUND(AV308*100,0)*ROUND(AS$7*10000,0)/12000000,0)/100+0.02,2),0)</f>
        <v>0</v>
      </c>
    </row>
    <row r="310" spans="1:48" x14ac:dyDescent="0.25">
      <c r="A310" s="17" t="str">
        <f>IF(F310&gt;0,300,"")</f>
        <v/>
      </c>
      <c r="B310" s="18" t="str">
        <f>IF(F310&gt;0,EDATE($E$6,300),"")</f>
        <v/>
      </c>
      <c r="C310" s="21">
        <f>IF(H309&gt;0,MIN(IF(K309&gt;0,I$5,99),IF(O309&gt;0,M$5,99),IF(S309&gt;0,Q$5,99),IF(W309&gt;0,U$5,99),IF(AA309&gt;0,Y$5,99),IF(AE309&gt;0,AC$5,99),IF(AI309&gt;0,AG$5,99),IF(AM309&gt;0,AK$5,99),IF(AQ309&gt;0,AO$5,99),IF(AU309&gt;0,AS$5,99)),0)</f>
        <v>0</v>
      </c>
      <c r="D310" t="str">
        <f>IF(C310&gt;0,INDEX($I$4:$AV$4,1,MATCH(C310,$I$5:$AV$5,0)),"")</f>
        <v/>
      </c>
      <c r="E310" s="24">
        <f>ROUND(IF(AND(I$8&gt;0,K309=0),I$6,0)+IF(AND(M$8&gt;0,O309=0),M$6,0)+IF(AND(Q$8&gt;0,S309=0),Q$6,0)+IF(AND(U$8&gt;0,W309=0),U$6,0)+IF(AND(Y$8&gt;0,AA309=0),Y$6,0)+IF(AND(AC$8&gt;0,AE309=0),AC$6,0)+IF(AND(AG$8&gt;0,AI309=0),AG$6,0)+IF(AND(AK$8&gt;0,AM309=0),AK$6,0)+IF(AND(AO$8&gt;0,AQ309=0),AO$6,0)+IF(AND(AS$8&gt;0,AU309=0),AS$6,0),2)</f>
        <v>325</v>
      </c>
      <c r="F310" s="24">
        <f>ROUND(I310+M310+Q310+U310+Y310+AC310+AG310+AK310+AO310+AS310,2)</f>
        <v>0</v>
      </c>
      <c r="G310" s="24">
        <f>ROUND(J310+N310+R310+V310+Z310+AD310+AH310+AL310+AP310+AT310,2)</f>
        <v>0</v>
      </c>
      <c r="H310" s="24">
        <f>ROUND(K310+O310+S310+W310+AA310+AE310+AI310+AM310+AQ310+AU310,2)</f>
        <v>0</v>
      </c>
      <c r="I310" s="24">
        <f>IF(K309&gt;0,IF(AND(ROUND(K309+J310-ROUND(I$6+IF(I$5=$C310,$E$5+$E310,0),2),2)&gt;0,ROUND(K309+J310-ROUND(I$6+IF(I$5=$C310,$E$5+$E310,0),2),2)&lt;=L310,ROUND(K309+J310-ROUND(I$6+IF(I$5=$C310,$E$5+$E310,0),2),2)*10&lt;=ROUND(I$6+IF(I$5=$C310,$E$5+$E310,0),2)),ROUND(K309+J310,2),MIN(ROUND(I$6+IF(I$5=$C310,$E$5+$E310,0),2),ROUND(K309+J310,2))),0)</f>
        <v>0</v>
      </c>
      <c r="J310" s="24">
        <f>IF(K309&gt;0,ROUND(ROUND(K309*100,0)*ROUND(I$7*10000,0)/12000000,0)/100,0)</f>
        <v>0</v>
      </c>
      <c r="K310" s="24">
        <f>IF(K309&gt;0,ROUND(K309+J310-I310,2),0)</f>
        <v>0</v>
      </c>
      <c r="L310" s="24">
        <f>IF(K309&gt;0,ROUND(L309+ROUND(ROUND(L309*100,0)*ROUND(I$7*10000,0)/12000000,0)/100+0.02,2),0)</f>
        <v>0</v>
      </c>
      <c r="M310" s="24">
        <f>IF(O309&gt;0,IF(AND(ROUND(O309+N310-ROUND(M$6+IF(M$5=$C310,$E$5+$E310,0),2),2)&gt;0,ROUND(O309+N310-ROUND(M$6+IF(M$5=$C310,$E$5+$E310,0),2),2)&lt;=P310,ROUND(O309+N310-ROUND(M$6+IF(M$5=$C310,$E$5+$E310,0),2),2)*10&lt;=ROUND(M$6+IF(M$5=$C310,$E$5+$E310,0),2)),ROUND(O309+N310,2),MIN(ROUND(M$6+IF(M$5=$C310,$E$5+$E310,0),2),ROUND(O309+N310,2))),0)</f>
        <v>0</v>
      </c>
      <c r="N310" s="24">
        <f>IF(O309&gt;0,ROUND(ROUND(O309*100,0)*ROUND(M$7*10000,0)/12000000,0)/100,0)</f>
        <v>0</v>
      </c>
      <c r="O310" s="24">
        <f>IF(O309&gt;0,ROUND(O309+N310-M310,2),0)</f>
        <v>0</v>
      </c>
      <c r="P310" s="24">
        <f>IF(O309&gt;0,ROUND(P309+ROUND(ROUND(P309*100,0)*ROUND(M$7*10000,0)/12000000,0)/100+0.02,2),0)</f>
        <v>0</v>
      </c>
      <c r="Q310" s="24">
        <f>IF(S309&gt;0,IF(AND(ROUND(S309+R310-ROUND(Q$6+IF(Q$5=$C310,$E$5+$E310,0),2),2)&gt;0,ROUND(S309+R310-ROUND(Q$6+IF(Q$5=$C310,$E$5+$E310,0),2),2)&lt;=T310,ROUND(S309+R310-ROUND(Q$6+IF(Q$5=$C310,$E$5+$E310,0),2),2)*10&lt;=ROUND(Q$6+IF(Q$5=$C310,$E$5+$E310,0),2)),ROUND(S309+R310,2),MIN(ROUND(Q$6+IF(Q$5=$C310,$E$5+$E310,0),2),ROUND(S309+R310,2))),0)</f>
        <v>0</v>
      </c>
      <c r="R310" s="24">
        <f>IF(S309&gt;0,ROUND(ROUND(S309*100,0)*ROUND(Q$7*10000,0)/12000000,0)/100,0)</f>
        <v>0</v>
      </c>
      <c r="S310" s="24">
        <f>IF(S309&gt;0,ROUND(S309+R310-Q310,2),0)</f>
        <v>0</v>
      </c>
      <c r="T310" s="24">
        <f>IF(S309&gt;0,ROUND(T309+ROUND(ROUND(T309*100,0)*ROUND(Q$7*10000,0)/12000000,0)/100+0.02,2),0)</f>
        <v>0</v>
      </c>
      <c r="U310" s="24">
        <f>IF(W309&gt;0,IF(AND(ROUND(W309+V310-ROUND(U$6+IF(U$5=$C310,$E$5+$E310,0),2),2)&gt;0,ROUND(W309+V310-ROUND(U$6+IF(U$5=$C310,$E$5+$E310,0),2),2)&lt;=X310,ROUND(W309+V310-ROUND(U$6+IF(U$5=$C310,$E$5+$E310,0),2),2)*10&lt;=ROUND(U$6+IF(U$5=$C310,$E$5+$E310,0),2)),ROUND(W309+V310,2),MIN(ROUND(U$6+IF(U$5=$C310,$E$5+$E310,0),2),ROUND(W309+V310,2))),0)</f>
        <v>0</v>
      </c>
      <c r="V310" s="24">
        <f>IF(W309&gt;0,ROUND(ROUND(W309*100,0)*ROUND(U$7*10000,0)/12000000,0)/100,0)</f>
        <v>0</v>
      </c>
      <c r="W310" s="24">
        <f>IF(W309&gt;0,ROUND(W309+V310-U310,2),0)</f>
        <v>0</v>
      </c>
      <c r="X310" s="24">
        <f>IF(W309&gt;0,ROUND(X309+ROUND(ROUND(X309*100,0)*ROUND(U$7*10000,0)/12000000,0)/100+0.02,2),0)</f>
        <v>0</v>
      </c>
      <c r="Y310" s="24">
        <f>IF(AA309&gt;0,IF(AND(ROUND(AA309+Z310-ROUND(Y$6+IF(Y$5=$C310,$E$5+$E310,0),2),2)&gt;0,ROUND(AA309+Z310-ROUND(Y$6+IF(Y$5=$C310,$E$5+$E310,0),2),2)&lt;=AB310,ROUND(AA309+Z310-ROUND(Y$6+IF(Y$5=$C310,$E$5+$E310,0),2),2)*10&lt;=ROUND(Y$6+IF(Y$5=$C310,$E$5+$E310,0),2)),ROUND(AA309+Z310,2),MIN(ROUND(Y$6+IF(Y$5=$C310,$E$5+$E310,0),2),ROUND(AA309+Z310,2))),0)</f>
        <v>0</v>
      </c>
      <c r="Z310" s="24">
        <f>IF(AA309&gt;0,ROUND(ROUND(AA309*100,0)*ROUND(Y$7*10000,0)/12000000,0)/100,0)</f>
        <v>0</v>
      </c>
      <c r="AA310" s="24">
        <f>IF(AA309&gt;0,ROUND(AA309+Z310-Y310,2),0)</f>
        <v>0</v>
      </c>
      <c r="AB310" s="24">
        <f>IF(AA309&gt;0,ROUND(AB309+ROUND(ROUND(AB309*100,0)*ROUND(Y$7*10000,0)/12000000,0)/100+0.02,2),0)</f>
        <v>0</v>
      </c>
      <c r="AC310" s="24">
        <f>IF(AE309&gt;0,IF(AND(ROUND(AE309+AD310-ROUND(AC$6+IF(AC$5=$C310,$E$5+$E310,0),2),2)&gt;0,ROUND(AE309+AD310-ROUND(AC$6+IF(AC$5=$C310,$E$5+$E310,0),2),2)&lt;=AF310,ROUND(AE309+AD310-ROUND(AC$6+IF(AC$5=$C310,$E$5+$E310,0),2),2)*10&lt;=ROUND(AC$6+IF(AC$5=$C310,$E$5+$E310,0),2)),ROUND(AE309+AD310,2),MIN(ROUND(AC$6+IF(AC$5=$C310,$E$5+$E310,0),2),ROUND(AE309+AD310,2))),0)</f>
        <v>0</v>
      </c>
      <c r="AD310" s="24">
        <f>IF(AE309&gt;0,ROUND(ROUND(AE309*100,0)*ROUND(AC$7*10000,0)/12000000,0)/100,0)</f>
        <v>0</v>
      </c>
      <c r="AE310" s="24">
        <f>IF(AE309&gt;0,ROUND(AE309+AD310-AC310,2),0)</f>
        <v>0</v>
      </c>
      <c r="AF310" s="24">
        <f>IF(AE309&gt;0,ROUND(AF309+ROUND(ROUND(AF309*100,0)*ROUND(AC$7*10000,0)/12000000,0)/100+0.02,2),0)</f>
        <v>0</v>
      </c>
      <c r="AG310" s="24">
        <f>IF(AI309&gt;0,IF(AND(ROUND(AI309+AH310-ROUND(AG$6+IF(AG$5=$C310,$E$5+$E310,0),2),2)&gt;0,ROUND(AI309+AH310-ROUND(AG$6+IF(AG$5=$C310,$E$5+$E310,0),2),2)&lt;=AJ310,ROUND(AI309+AH310-ROUND(AG$6+IF(AG$5=$C310,$E$5+$E310,0),2),2)*10&lt;=ROUND(AG$6+IF(AG$5=$C310,$E$5+$E310,0),2)),ROUND(AI309+AH310,2),MIN(ROUND(AG$6+IF(AG$5=$C310,$E$5+$E310,0),2),ROUND(AI309+AH310,2))),0)</f>
        <v>0</v>
      </c>
      <c r="AH310" s="24">
        <f>IF(AI309&gt;0,ROUND(ROUND(AI309*100,0)*ROUND(AG$7*10000,0)/12000000,0)/100,0)</f>
        <v>0</v>
      </c>
      <c r="AI310" s="24">
        <f>IF(AI309&gt;0,ROUND(AI309+AH310-AG310,2),0)</f>
        <v>0</v>
      </c>
      <c r="AJ310" s="24">
        <f>IF(AI309&gt;0,ROUND(AJ309+ROUND(ROUND(AJ309*100,0)*ROUND(AG$7*10000,0)/12000000,0)/100+0.02,2),0)</f>
        <v>0</v>
      </c>
      <c r="AK310" s="24">
        <f>IF(AM309&gt;0,IF(AND(ROUND(AM309+AL310-ROUND(AK$6+IF(AK$5=$C310,$E$5+$E310,0),2),2)&gt;0,ROUND(AM309+AL310-ROUND(AK$6+IF(AK$5=$C310,$E$5+$E310,0),2),2)&lt;=AN310,ROUND(AM309+AL310-ROUND(AK$6+IF(AK$5=$C310,$E$5+$E310,0),2),2)*10&lt;=ROUND(AK$6+IF(AK$5=$C310,$E$5+$E310,0),2)),ROUND(AM309+AL310,2),MIN(ROUND(AK$6+IF(AK$5=$C310,$E$5+$E310,0),2),ROUND(AM309+AL310,2))),0)</f>
        <v>0</v>
      </c>
      <c r="AL310" s="24">
        <f>IF(AM309&gt;0,ROUND(ROUND(AM309*100,0)*ROUND(AK$7*10000,0)/12000000,0)/100,0)</f>
        <v>0</v>
      </c>
      <c r="AM310" s="24">
        <f>IF(AM309&gt;0,ROUND(AM309+AL310-AK310,2),0)</f>
        <v>0</v>
      </c>
      <c r="AN310" s="24">
        <f>IF(AM309&gt;0,ROUND(AN309+ROUND(ROUND(AN309*100,0)*ROUND(AK$7*10000,0)/12000000,0)/100+0.02,2),0)</f>
        <v>0</v>
      </c>
      <c r="AO310" s="24">
        <f>IF(AQ309&gt;0,IF(AND(ROUND(AQ309+AP310-ROUND(AO$6+IF(AO$5=$C310,$E$5+$E310,0),2),2)&gt;0,ROUND(AQ309+AP310-ROUND(AO$6+IF(AO$5=$C310,$E$5+$E310,0),2),2)&lt;=AR310,ROUND(AQ309+AP310-ROUND(AO$6+IF(AO$5=$C310,$E$5+$E310,0),2),2)*10&lt;=ROUND(AO$6+IF(AO$5=$C310,$E$5+$E310,0),2)),ROUND(AQ309+AP310,2),MIN(ROUND(AO$6+IF(AO$5=$C310,$E$5+$E310,0),2),ROUND(AQ309+AP310,2))),0)</f>
        <v>0</v>
      </c>
      <c r="AP310" s="24">
        <f>IF(AQ309&gt;0,ROUND(ROUND(AQ309*100,0)*ROUND(AO$7*10000,0)/12000000,0)/100,0)</f>
        <v>0</v>
      </c>
      <c r="AQ310" s="24">
        <f>IF(AQ309&gt;0,ROUND(AQ309+AP310-AO310,2),0)</f>
        <v>0</v>
      </c>
      <c r="AR310" s="24">
        <f>IF(AQ309&gt;0,ROUND(AR309+ROUND(ROUND(AR309*100,0)*ROUND(AO$7*10000,0)/12000000,0)/100+0.02,2),0)</f>
        <v>0</v>
      </c>
      <c r="AS310" s="24">
        <f>IF(AU309&gt;0,IF(AND(ROUND(AU309+AT310-ROUND(AS$6+IF(AS$5=$C310,$E$5+$E310,0),2),2)&gt;0,ROUND(AU309+AT310-ROUND(AS$6+IF(AS$5=$C310,$E$5+$E310,0),2),2)&lt;=AV310,ROUND(AU309+AT310-ROUND(AS$6+IF(AS$5=$C310,$E$5+$E310,0),2),2)*10&lt;=ROUND(AS$6+IF(AS$5=$C310,$E$5+$E310,0),2)),ROUND(AU309+AT310,2),MIN(ROUND(AS$6+IF(AS$5=$C310,$E$5+$E310,0),2),ROUND(AU309+AT310,2))),0)</f>
        <v>0</v>
      </c>
      <c r="AT310" s="24">
        <f>IF(AU309&gt;0,ROUND(ROUND(AU309*100,0)*ROUND(AS$7*10000,0)/12000000,0)/100,0)</f>
        <v>0</v>
      </c>
      <c r="AU310" s="24">
        <f>IF(AU309&gt;0,ROUND(AU309+AT310-AS310,2),0)</f>
        <v>0</v>
      </c>
      <c r="AV310" s="24">
        <f>IF(AU309&gt;0,ROUND(AV309+ROUND(ROUND(AV309*100,0)*ROUND(AS$7*10000,0)/12000000,0)/100+0.02,2),0)</f>
        <v>0</v>
      </c>
    </row>
    <row r="311" spans="1:48" x14ac:dyDescent="0.25">
      <c r="A311" s="17" t="str">
        <f>IF(F311&gt;0,301,"")</f>
        <v/>
      </c>
      <c r="B311" s="18" t="str">
        <f>IF(F311&gt;0,EDATE($E$6,301),"")</f>
        <v/>
      </c>
      <c r="C311" s="21">
        <f>IF(H310&gt;0,MIN(IF(K310&gt;0,I$5,99),IF(O310&gt;0,M$5,99),IF(S310&gt;0,Q$5,99),IF(W310&gt;0,U$5,99),IF(AA310&gt;0,Y$5,99),IF(AE310&gt;0,AC$5,99),IF(AI310&gt;0,AG$5,99),IF(AM310&gt;0,AK$5,99),IF(AQ310&gt;0,AO$5,99),IF(AU310&gt;0,AS$5,99)),0)</f>
        <v>0</v>
      </c>
      <c r="D311" t="str">
        <f>IF(C311&gt;0,INDEX($I$4:$AV$4,1,MATCH(C311,$I$5:$AV$5,0)),"")</f>
        <v/>
      </c>
      <c r="E311" s="24">
        <f>ROUND(IF(AND(I$8&gt;0,K310=0),I$6,0)+IF(AND(M$8&gt;0,O310=0),M$6,0)+IF(AND(Q$8&gt;0,S310=0),Q$6,0)+IF(AND(U$8&gt;0,W310=0),U$6,0)+IF(AND(Y$8&gt;0,AA310=0),Y$6,0)+IF(AND(AC$8&gt;0,AE310=0),AC$6,0)+IF(AND(AG$8&gt;0,AI310=0),AG$6,0)+IF(AND(AK$8&gt;0,AM310=0),AK$6,0)+IF(AND(AO$8&gt;0,AQ310=0),AO$6,0)+IF(AND(AS$8&gt;0,AU310=0),AS$6,0),2)</f>
        <v>325</v>
      </c>
      <c r="F311" s="24">
        <f>ROUND(I311+M311+Q311+U311+Y311+AC311+AG311+AK311+AO311+AS311,2)</f>
        <v>0</v>
      </c>
      <c r="G311" s="24">
        <f>ROUND(J311+N311+R311+V311+Z311+AD311+AH311+AL311+AP311+AT311,2)</f>
        <v>0</v>
      </c>
      <c r="H311" s="24">
        <f>ROUND(K311+O311+S311+W311+AA311+AE311+AI311+AM311+AQ311+AU311,2)</f>
        <v>0</v>
      </c>
      <c r="I311" s="24">
        <f>IF(K310&gt;0,IF(AND(ROUND(K310+J311-ROUND(I$6+IF(I$5=$C311,$E$5+$E311,0),2),2)&gt;0,ROUND(K310+J311-ROUND(I$6+IF(I$5=$C311,$E$5+$E311,0),2),2)&lt;=L311,ROUND(K310+J311-ROUND(I$6+IF(I$5=$C311,$E$5+$E311,0),2),2)*10&lt;=ROUND(I$6+IF(I$5=$C311,$E$5+$E311,0),2)),ROUND(K310+J311,2),MIN(ROUND(I$6+IF(I$5=$C311,$E$5+$E311,0),2),ROUND(K310+J311,2))),0)</f>
        <v>0</v>
      </c>
      <c r="J311" s="24">
        <f>IF(K310&gt;0,ROUND(ROUND(K310*100,0)*ROUND(I$7*10000,0)/12000000,0)/100,0)</f>
        <v>0</v>
      </c>
      <c r="K311" s="24">
        <f>IF(K310&gt;0,ROUND(K310+J311-I311,2),0)</f>
        <v>0</v>
      </c>
      <c r="L311" s="24">
        <f>IF(K310&gt;0,ROUND(L310+ROUND(ROUND(L310*100,0)*ROUND(I$7*10000,0)/12000000,0)/100+0.02,2),0)</f>
        <v>0</v>
      </c>
      <c r="M311" s="24">
        <f>IF(O310&gt;0,IF(AND(ROUND(O310+N311-ROUND(M$6+IF(M$5=$C311,$E$5+$E311,0),2),2)&gt;0,ROUND(O310+N311-ROUND(M$6+IF(M$5=$C311,$E$5+$E311,0),2),2)&lt;=P311,ROUND(O310+N311-ROUND(M$6+IF(M$5=$C311,$E$5+$E311,0),2),2)*10&lt;=ROUND(M$6+IF(M$5=$C311,$E$5+$E311,0),2)),ROUND(O310+N311,2),MIN(ROUND(M$6+IF(M$5=$C311,$E$5+$E311,0),2),ROUND(O310+N311,2))),0)</f>
        <v>0</v>
      </c>
      <c r="N311" s="24">
        <f>IF(O310&gt;0,ROUND(ROUND(O310*100,0)*ROUND(M$7*10000,0)/12000000,0)/100,0)</f>
        <v>0</v>
      </c>
      <c r="O311" s="24">
        <f>IF(O310&gt;0,ROUND(O310+N311-M311,2),0)</f>
        <v>0</v>
      </c>
      <c r="P311" s="24">
        <f>IF(O310&gt;0,ROUND(P310+ROUND(ROUND(P310*100,0)*ROUND(M$7*10000,0)/12000000,0)/100+0.02,2),0)</f>
        <v>0</v>
      </c>
      <c r="Q311" s="24">
        <f>IF(S310&gt;0,IF(AND(ROUND(S310+R311-ROUND(Q$6+IF(Q$5=$C311,$E$5+$E311,0),2),2)&gt;0,ROUND(S310+R311-ROUND(Q$6+IF(Q$5=$C311,$E$5+$E311,0),2),2)&lt;=T311,ROUND(S310+R311-ROUND(Q$6+IF(Q$5=$C311,$E$5+$E311,0),2),2)*10&lt;=ROUND(Q$6+IF(Q$5=$C311,$E$5+$E311,0),2)),ROUND(S310+R311,2),MIN(ROUND(Q$6+IF(Q$5=$C311,$E$5+$E311,0),2),ROUND(S310+R311,2))),0)</f>
        <v>0</v>
      </c>
      <c r="R311" s="24">
        <f>IF(S310&gt;0,ROUND(ROUND(S310*100,0)*ROUND(Q$7*10000,0)/12000000,0)/100,0)</f>
        <v>0</v>
      </c>
      <c r="S311" s="24">
        <f>IF(S310&gt;0,ROUND(S310+R311-Q311,2),0)</f>
        <v>0</v>
      </c>
      <c r="T311" s="24">
        <f>IF(S310&gt;0,ROUND(T310+ROUND(ROUND(T310*100,0)*ROUND(Q$7*10000,0)/12000000,0)/100+0.02,2),0)</f>
        <v>0</v>
      </c>
      <c r="U311" s="24">
        <f>IF(W310&gt;0,IF(AND(ROUND(W310+V311-ROUND(U$6+IF(U$5=$C311,$E$5+$E311,0),2),2)&gt;0,ROUND(W310+V311-ROUND(U$6+IF(U$5=$C311,$E$5+$E311,0),2),2)&lt;=X311,ROUND(W310+V311-ROUND(U$6+IF(U$5=$C311,$E$5+$E311,0),2),2)*10&lt;=ROUND(U$6+IF(U$5=$C311,$E$5+$E311,0),2)),ROUND(W310+V311,2),MIN(ROUND(U$6+IF(U$5=$C311,$E$5+$E311,0),2),ROUND(W310+V311,2))),0)</f>
        <v>0</v>
      </c>
      <c r="V311" s="24">
        <f>IF(W310&gt;0,ROUND(ROUND(W310*100,0)*ROUND(U$7*10000,0)/12000000,0)/100,0)</f>
        <v>0</v>
      </c>
      <c r="W311" s="24">
        <f>IF(W310&gt;0,ROUND(W310+V311-U311,2),0)</f>
        <v>0</v>
      </c>
      <c r="X311" s="24">
        <f>IF(W310&gt;0,ROUND(X310+ROUND(ROUND(X310*100,0)*ROUND(U$7*10000,0)/12000000,0)/100+0.02,2),0)</f>
        <v>0</v>
      </c>
      <c r="Y311" s="24">
        <f>IF(AA310&gt;0,IF(AND(ROUND(AA310+Z311-ROUND(Y$6+IF(Y$5=$C311,$E$5+$E311,0),2),2)&gt;0,ROUND(AA310+Z311-ROUND(Y$6+IF(Y$5=$C311,$E$5+$E311,0),2),2)&lt;=AB311,ROUND(AA310+Z311-ROUND(Y$6+IF(Y$5=$C311,$E$5+$E311,0),2),2)*10&lt;=ROUND(Y$6+IF(Y$5=$C311,$E$5+$E311,0),2)),ROUND(AA310+Z311,2),MIN(ROUND(Y$6+IF(Y$5=$C311,$E$5+$E311,0),2),ROUND(AA310+Z311,2))),0)</f>
        <v>0</v>
      </c>
      <c r="Z311" s="24">
        <f>IF(AA310&gt;0,ROUND(ROUND(AA310*100,0)*ROUND(Y$7*10000,0)/12000000,0)/100,0)</f>
        <v>0</v>
      </c>
      <c r="AA311" s="24">
        <f>IF(AA310&gt;0,ROUND(AA310+Z311-Y311,2),0)</f>
        <v>0</v>
      </c>
      <c r="AB311" s="24">
        <f>IF(AA310&gt;0,ROUND(AB310+ROUND(ROUND(AB310*100,0)*ROUND(Y$7*10000,0)/12000000,0)/100+0.02,2),0)</f>
        <v>0</v>
      </c>
      <c r="AC311" s="24">
        <f>IF(AE310&gt;0,IF(AND(ROUND(AE310+AD311-ROUND(AC$6+IF(AC$5=$C311,$E$5+$E311,0),2),2)&gt;0,ROUND(AE310+AD311-ROUND(AC$6+IF(AC$5=$C311,$E$5+$E311,0),2),2)&lt;=AF311,ROUND(AE310+AD311-ROUND(AC$6+IF(AC$5=$C311,$E$5+$E311,0),2),2)*10&lt;=ROUND(AC$6+IF(AC$5=$C311,$E$5+$E311,0),2)),ROUND(AE310+AD311,2),MIN(ROUND(AC$6+IF(AC$5=$C311,$E$5+$E311,0),2),ROUND(AE310+AD311,2))),0)</f>
        <v>0</v>
      </c>
      <c r="AD311" s="24">
        <f>IF(AE310&gt;0,ROUND(ROUND(AE310*100,0)*ROUND(AC$7*10000,0)/12000000,0)/100,0)</f>
        <v>0</v>
      </c>
      <c r="AE311" s="24">
        <f>IF(AE310&gt;0,ROUND(AE310+AD311-AC311,2),0)</f>
        <v>0</v>
      </c>
      <c r="AF311" s="24">
        <f>IF(AE310&gt;0,ROUND(AF310+ROUND(ROUND(AF310*100,0)*ROUND(AC$7*10000,0)/12000000,0)/100+0.02,2),0)</f>
        <v>0</v>
      </c>
      <c r="AG311" s="24">
        <f>IF(AI310&gt;0,IF(AND(ROUND(AI310+AH311-ROUND(AG$6+IF(AG$5=$C311,$E$5+$E311,0),2),2)&gt;0,ROUND(AI310+AH311-ROUND(AG$6+IF(AG$5=$C311,$E$5+$E311,0),2),2)&lt;=AJ311,ROUND(AI310+AH311-ROUND(AG$6+IF(AG$5=$C311,$E$5+$E311,0),2),2)*10&lt;=ROUND(AG$6+IF(AG$5=$C311,$E$5+$E311,0),2)),ROUND(AI310+AH311,2),MIN(ROUND(AG$6+IF(AG$5=$C311,$E$5+$E311,0),2),ROUND(AI310+AH311,2))),0)</f>
        <v>0</v>
      </c>
      <c r="AH311" s="24">
        <f>IF(AI310&gt;0,ROUND(ROUND(AI310*100,0)*ROUND(AG$7*10000,0)/12000000,0)/100,0)</f>
        <v>0</v>
      </c>
      <c r="AI311" s="24">
        <f>IF(AI310&gt;0,ROUND(AI310+AH311-AG311,2),0)</f>
        <v>0</v>
      </c>
      <c r="AJ311" s="24">
        <f>IF(AI310&gt;0,ROUND(AJ310+ROUND(ROUND(AJ310*100,0)*ROUND(AG$7*10000,0)/12000000,0)/100+0.02,2),0)</f>
        <v>0</v>
      </c>
      <c r="AK311" s="24">
        <f>IF(AM310&gt;0,IF(AND(ROUND(AM310+AL311-ROUND(AK$6+IF(AK$5=$C311,$E$5+$E311,0),2),2)&gt;0,ROUND(AM310+AL311-ROUND(AK$6+IF(AK$5=$C311,$E$5+$E311,0),2),2)&lt;=AN311,ROUND(AM310+AL311-ROUND(AK$6+IF(AK$5=$C311,$E$5+$E311,0),2),2)*10&lt;=ROUND(AK$6+IF(AK$5=$C311,$E$5+$E311,0),2)),ROUND(AM310+AL311,2),MIN(ROUND(AK$6+IF(AK$5=$C311,$E$5+$E311,0),2),ROUND(AM310+AL311,2))),0)</f>
        <v>0</v>
      </c>
      <c r="AL311" s="24">
        <f>IF(AM310&gt;0,ROUND(ROUND(AM310*100,0)*ROUND(AK$7*10000,0)/12000000,0)/100,0)</f>
        <v>0</v>
      </c>
      <c r="AM311" s="24">
        <f>IF(AM310&gt;0,ROUND(AM310+AL311-AK311,2),0)</f>
        <v>0</v>
      </c>
      <c r="AN311" s="24">
        <f>IF(AM310&gt;0,ROUND(AN310+ROUND(ROUND(AN310*100,0)*ROUND(AK$7*10000,0)/12000000,0)/100+0.02,2),0)</f>
        <v>0</v>
      </c>
      <c r="AO311" s="24">
        <f>IF(AQ310&gt;0,IF(AND(ROUND(AQ310+AP311-ROUND(AO$6+IF(AO$5=$C311,$E$5+$E311,0),2),2)&gt;0,ROUND(AQ310+AP311-ROUND(AO$6+IF(AO$5=$C311,$E$5+$E311,0),2),2)&lt;=AR311,ROUND(AQ310+AP311-ROUND(AO$6+IF(AO$5=$C311,$E$5+$E311,0),2),2)*10&lt;=ROUND(AO$6+IF(AO$5=$C311,$E$5+$E311,0),2)),ROUND(AQ310+AP311,2),MIN(ROUND(AO$6+IF(AO$5=$C311,$E$5+$E311,0),2),ROUND(AQ310+AP311,2))),0)</f>
        <v>0</v>
      </c>
      <c r="AP311" s="24">
        <f>IF(AQ310&gt;0,ROUND(ROUND(AQ310*100,0)*ROUND(AO$7*10000,0)/12000000,0)/100,0)</f>
        <v>0</v>
      </c>
      <c r="AQ311" s="24">
        <f>IF(AQ310&gt;0,ROUND(AQ310+AP311-AO311,2),0)</f>
        <v>0</v>
      </c>
      <c r="AR311" s="24">
        <f>IF(AQ310&gt;0,ROUND(AR310+ROUND(ROUND(AR310*100,0)*ROUND(AO$7*10000,0)/12000000,0)/100+0.02,2),0)</f>
        <v>0</v>
      </c>
      <c r="AS311" s="24">
        <f>IF(AU310&gt;0,IF(AND(ROUND(AU310+AT311-ROUND(AS$6+IF(AS$5=$C311,$E$5+$E311,0),2),2)&gt;0,ROUND(AU310+AT311-ROUND(AS$6+IF(AS$5=$C311,$E$5+$E311,0),2),2)&lt;=AV311,ROUND(AU310+AT311-ROUND(AS$6+IF(AS$5=$C311,$E$5+$E311,0),2),2)*10&lt;=ROUND(AS$6+IF(AS$5=$C311,$E$5+$E311,0),2)),ROUND(AU310+AT311,2),MIN(ROUND(AS$6+IF(AS$5=$C311,$E$5+$E311,0),2),ROUND(AU310+AT311,2))),0)</f>
        <v>0</v>
      </c>
      <c r="AT311" s="24">
        <f>IF(AU310&gt;0,ROUND(ROUND(AU310*100,0)*ROUND(AS$7*10000,0)/12000000,0)/100,0)</f>
        <v>0</v>
      </c>
      <c r="AU311" s="24">
        <f>IF(AU310&gt;0,ROUND(AU310+AT311-AS311,2),0)</f>
        <v>0</v>
      </c>
      <c r="AV311" s="24">
        <f>IF(AU310&gt;0,ROUND(AV310+ROUND(ROUND(AV310*100,0)*ROUND(AS$7*10000,0)/12000000,0)/100+0.02,2),0)</f>
        <v>0</v>
      </c>
    </row>
    <row r="312" spans="1:48" x14ac:dyDescent="0.25">
      <c r="A312" s="17" t="str">
        <f>IF(F312&gt;0,302,"")</f>
        <v/>
      </c>
      <c r="B312" s="18" t="str">
        <f>IF(F312&gt;0,EDATE($E$6,302),"")</f>
        <v/>
      </c>
      <c r="C312" s="21">
        <f>IF(H311&gt;0,MIN(IF(K311&gt;0,I$5,99),IF(O311&gt;0,M$5,99),IF(S311&gt;0,Q$5,99),IF(W311&gt;0,U$5,99),IF(AA311&gt;0,Y$5,99),IF(AE311&gt;0,AC$5,99),IF(AI311&gt;0,AG$5,99),IF(AM311&gt;0,AK$5,99),IF(AQ311&gt;0,AO$5,99),IF(AU311&gt;0,AS$5,99)),0)</f>
        <v>0</v>
      </c>
      <c r="D312" t="str">
        <f>IF(C312&gt;0,INDEX($I$4:$AV$4,1,MATCH(C312,$I$5:$AV$5,0)),"")</f>
        <v/>
      </c>
      <c r="E312" s="24">
        <f>ROUND(IF(AND(I$8&gt;0,K311=0),I$6,0)+IF(AND(M$8&gt;0,O311=0),M$6,0)+IF(AND(Q$8&gt;0,S311=0),Q$6,0)+IF(AND(U$8&gt;0,W311=0),U$6,0)+IF(AND(Y$8&gt;0,AA311=0),Y$6,0)+IF(AND(AC$8&gt;0,AE311=0),AC$6,0)+IF(AND(AG$8&gt;0,AI311=0),AG$6,0)+IF(AND(AK$8&gt;0,AM311=0),AK$6,0)+IF(AND(AO$8&gt;0,AQ311=0),AO$6,0)+IF(AND(AS$8&gt;0,AU311=0),AS$6,0),2)</f>
        <v>325</v>
      </c>
      <c r="F312" s="24">
        <f>ROUND(I312+M312+Q312+U312+Y312+AC312+AG312+AK312+AO312+AS312,2)</f>
        <v>0</v>
      </c>
      <c r="G312" s="24">
        <f>ROUND(J312+N312+R312+V312+Z312+AD312+AH312+AL312+AP312+AT312,2)</f>
        <v>0</v>
      </c>
      <c r="H312" s="24">
        <f>ROUND(K312+O312+S312+W312+AA312+AE312+AI312+AM312+AQ312+AU312,2)</f>
        <v>0</v>
      </c>
      <c r="I312" s="24">
        <f>IF(K311&gt;0,IF(AND(ROUND(K311+J312-ROUND(I$6+IF(I$5=$C312,$E$5+$E312,0),2),2)&gt;0,ROUND(K311+J312-ROUND(I$6+IF(I$5=$C312,$E$5+$E312,0),2),2)&lt;=L312,ROUND(K311+J312-ROUND(I$6+IF(I$5=$C312,$E$5+$E312,0),2),2)*10&lt;=ROUND(I$6+IF(I$5=$C312,$E$5+$E312,0),2)),ROUND(K311+J312,2),MIN(ROUND(I$6+IF(I$5=$C312,$E$5+$E312,0),2),ROUND(K311+J312,2))),0)</f>
        <v>0</v>
      </c>
      <c r="J312" s="24">
        <f>IF(K311&gt;0,ROUND(ROUND(K311*100,0)*ROUND(I$7*10000,0)/12000000,0)/100,0)</f>
        <v>0</v>
      </c>
      <c r="K312" s="24">
        <f>IF(K311&gt;0,ROUND(K311+J312-I312,2),0)</f>
        <v>0</v>
      </c>
      <c r="L312" s="24">
        <f>IF(K311&gt;0,ROUND(L311+ROUND(ROUND(L311*100,0)*ROUND(I$7*10000,0)/12000000,0)/100+0.02,2),0)</f>
        <v>0</v>
      </c>
      <c r="M312" s="24">
        <f>IF(O311&gt;0,IF(AND(ROUND(O311+N312-ROUND(M$6+IF(M$5=$C312,$E$5+$E312,0),2),2)&gt;0,ROUND(O311+N312-ROUND(M$6+IF(M$5=$C312,$E$5+$E312,0),2),2)&lt;=P312,ROUND(O311+N312-ROUND(M$6+IF(M$5=$C312,$E$5+$E312,0),2),2)*10&lt;=ROUND(M$6+IF(M$5=$C312,$E$5+$E312,0),2)),ROUND(O311+N312,2),MIN(ROUND(M$6+IF(M$5=$C312,$E$5+$E312,0),2),ROUND(O311+N312,2))),0)</f>
        <v>0</v>
      </c>
      <c r="N312" s="24">
        <f>IF(O311&gt;0,ROUND(ROUND(O311*100,0)*ROUND(M$7*10000,0)/12000000,0)/100,0)</f>
        <v>0</v>
      </c>
      <c r="O312" s="24">
        <f>IF(O311&gt;0,ROUND(O311+N312-M312,2),0)</f>
        <v>0</v>
      </c>
      <c r="P312" s="24">
        <f>IF(O311&gt;0,ROUND(P311+ROUND(ROUND(P311*100,0)*ROUND(M$7*10000,0)/12000000,0)/100+0.02,2),0)</f>
        <v>0</v>
      </c>
      <c r="Q312" s="24">
        <f>IF(S311&gt;0,IF(AND(ROUND(S311+R312-ROUND(Q$6+IF(Q$5=$C312,$E$5+$E312,0),2),2)&gt;0,ROUND(S311+R312-ROUND(Q$6+IF(Q$5=$C312,$E$5+$E312,0),2),2)&lt;=T312,ROUND(S311+R312-ROUND(Q$6+IF(Q$5=$C312,$E$5+$E312,0),2),2)*10&lt;=ROUND(Q$6+IF(Q$5=$C312,$E$5+$E312,0),2)),ROUND(S311+R312,2),MIN(ROUND(Q$6+IF(Q$5=$C312,$E$5+$E312,0),2),ROUND(S311+R312,2))),0)</f>
        <v>0</v>
      </c>
      <c r="R312" s="24">
        <f>IF(S311&gt;0,ROUND(ROUND(S311*100,0)*ROUND(Q$7*10000,0)/12000000,0)/100,0)</f>
        <v>0</v>
      </c>
      <c r="S312" s="24">
        <f>IF(S311&gt;0,ROUND(S311+R312-Q312,2),0)</f>
        <v>0</v>
      </c>
      <c r="T312" s="24">
        <f>IF(S311&gt;0,ROUND(T311+ROUND(ROUND(T311*100,0)*ROUND(Q$7*10000,0)/12000000,0)/100+0.02,2),0)</f>
        <v>0</v>
      </c>
      <c r="U312" s="24">
        <f>IF(W311&gt;0,IF(AND(ROUND(W311+V312-ROUND(U$6+IF(U$5=$C312,$E$5+$E312,0),2),2)&gt;0,ROUND(W311+V312-ROUND(U$6+IF(U$5=$C312,$E$5+$E312,0),2),2)&lt;=X312,ROUND(W311+V312-ROUND(U$6+IF(U$5=$C312,$E$5+$E312,0),2),2)*10&lt;=ROUND(U$6+IF(U$5=$C312,$E$5+$E312,0),2)),ROUND(W311+V312,2),MIN(ROUND(U$6+IF(U$5=$C312,$E$5+$E312,0),2),ROUND(W311+V312,2))),0)</f>
        <v>0</v>
      </c>
      <c r="V312" s="24">
        <f>IF(W311&gt;0,ROUND(ROUND(W311*100,0)*ROUND(U$7*10000,0)/12000000,0)/100,0)</f>
        <v>0</v>
      </c>
      <c r="W312" s="24">
        <f>IF(W311&gt;0,ROUND(W311+V312-U312,2),0)</f>
        <v>0</v>
      </c>
      <c r="X312" s="24">
        <f>IF(W311&gt;0,ROUND(X311+ROUND(ROUND(X311*100,0)*ROUND(U$7*10000,0)/12000000,0)/100+0.02,2),0)</f>
        <v>0</v>
      </c>
      <c r="Y312" s="24">
        <f>IF(AA311&gt;0,IF(AND(ROUND(AA311+Z312-ROUND(Y$6+IF(Y$5=$C312,$E$5+$E312,0),2),2)&gt;0,ROUND(AA311+Z312-ROUND(Y$6+IF(Y$5=$C312,$E$5+$E312,0),2),2)&lt;=AB312,ROUND(AA311+Z312-ROUND(Y$6+IF(Y$5=$C312,$E$5+$E312,0),2),2)*10&lt;=ROUND(Y$6+IF(Y$5=$C312,$E$5+$E312,0),2)),ROUND(AA311+Z312,2),MIN(ROUND(Y$6+IF(Y$5=$C312,$E$5+$E312,0),2),ROUND(AA311+Z312,2))),0)</f>
        <v>0</v>
      </c>
      <c r="Z312" s="24">
        <f>IF(AA311&gt;0,ROUND(ROUND(AA311*100,0)*ROUND(Y$7*10000,0)/12000000,0)/100,0)</f>
        <v>0</v>
      </c>
      <c r="AA312" s="24">
        <f>IF(AA311&gt;0,ROUND(AA311+Z312-Y312,2),0)</f>
        <v>0</v>
      </c>
      <c r="AB312" s="24">
        <f>IF(AA311&gt;0,ROUND(AB311+ROUND(ROUND(AB311*100,0)*ROUND(Y$7*10000,0)/12000000,0)/100+0.02,2),0)</f>
        <v>0</v>
      </c>
      <c r="AC312" s="24">
        <f>IF(AE311&gt;0,IF(AND(ROUND(AE311+AD312-ROUND(AC$6+IF(AC$5=$C312,$E$5+$E312,0),2),2)&gt;0,ROUND(AE311+AD312-ROUND(AC$6+IF(AC$5=$C312,$E$5+$E312,0),2),2)&lt;=AF312,ROUND(AE311+AD312-ROUND(AC$6+IF(AC$5=$C312,$E$5+$E312,0),2),2)*10&lt;=ROUND(AC$6+IF(AC$5=$C312,$E$5+$E312,0),2)),ROUND(AE311+AD312,2),MIN(ROUND(AC$6+IF(AC$5=$C312,$E$5+$E312,0),2),ROUND(AE311+AD312,2))),0)</f>
        <v>0</v>
      </c>
      <c r="AD312" s="24">
        <f>IF(AE311&gt;0,ROUND(ROUND(AE311*100,0)*ROUND(AC$7*10000,0)/12000000,0)/100,0)</f>
        <v>0</v>
      </c>
      <c r="AE312" s="24">
        <f>IF(AE311&gt;0,ROUND(AE311+AD312-AC312,2),0)</f>
        <v>0</v>
      </c>
      <c r="AF312" s="24">
        <f>IF(AE311&gt;0,ROUND(AF311+ROUND(ROUND(AF311*100,0)*ROUND(AC$7*10000,0)/12000000,0)/100+0.02,2),0)</f>
        <v>0</v>
      </c>
      <c r="AG312" s="24">
        <f>IF(AI311&gt;0,IF(AND(ROUND(AI311+AH312-ROUND(AG$6+IF(AG$5=$C312,$E$5+$E312,0),2),2)&gt;0,ROUND(AI311+AH312-ROUND(AG$6+IF(AG$5=$C312,$E$5+$E312,0),2),2)&lt;=AJ312,ROUND(AI311+AH312-ROUND(AG$6+IF(AG$5=$C312,$E$5+$E312,0),2),2)*10&lt;=ROUND(AG$6+IF(AG$5=$C312,$E$5+$E312,0),2)),ROUND(AI311+AH312,2),MIN(ROUND(AG$6+IF(AG$5=$C312,$E$5+$E312,0),2),ROUND(AI311+AH312,2))),0)</f>
        <v>0</v>
      </c>
      <c r="AH312" s="24">
        <f>IF(AI311&gt;0,ROUND(ROUND(AI311*100,0)*ROUND(AG$7*10000,0)/12000000,0)/100,0)</f>
        <v>0</v>
      </c>
      <c r="AI312" s="24">
        <f>IF(AI311&gt;0,ROUND(AI311+AH312-AG312,2),0)</f>
        <v>0</v>
      </c>
      <c r="AJ312" s="24">
        <f>IF(AI311&gt;0,ROUND(AJ311+ROUND(ROUND(AJ311*100,0)*ROUND(AG$7*10000,0)/12000000,0)/100+0.02,2),0)</f>
        <v>0</v>
      </c>
      <c r="AK312" s="24">
        <f>IF(AM311&gt;0,IF(AND(ROUND(AM311+AL312-ROUND(AK$6+IF(AK$5=$C312,$E$5+$E312,0),2),2)&gt;0,ROUND(AM311+AL312-ROUND(AK$6+IF(AK$5=$C312,$E$5+$E312,0),2),2)&lt;=AN312,ROUND(AM311+AL312-ROUND(AK$6+IF(AK$5=$C312,$E$5+$E312,0),2),2)*10&lt;=ROUND(AK$6+IF(AK$5=$C312,$E$5+$E312,0),2)),ROUND(AM311+AL312,2),MIN(ROUND(AK$6+IF(AK$5=$C312,$E$5+$E312,0),2),ROUND(AM311+AL312,2))),0)</f>
        <v>0</v>
      </c>
      <c r="AL312" s="24">
        <f>IF(AM311&gt;0,ROUND(ROUND(AM311*100,0)*ROUND(AK$7*10000,0)/12000000,0)/100,0)</f>
        <v>0</v>
      </c>
      <c r="AM312" s="24">
        <f>IF(AM311&gt;0,ROUND(AM311+AL312-AK312,2),0)</f>
        <v>0</v>
      </c>
      <c r="AN312" s="24">
        <f>IF(AM311&gt;0,ROUND(AN311+ROUND(ROUND(AN311*100,0)*ROUND(AK$7*10000,0)/12000000,0)/100+0.02,2),0)</f>
        <v>0</v>
      </c>
      <c r="AO312" s="24">
        <f>IF(AQ311&gt;0,IF(AND(ROUND(AQ311+AP312-ROUND(AO$6+IF(AO$5=$C312,$E$5+$E312,0),2),2)&gt;0,ROUND(AQ311+AP312-ROUND(AO$6+IF(AO$5=$C312,$E$5+$E312,0),2),2)&lt;=AR312,ROUND(AQ311+AP312-ROUND(AO$6+IF(AO$5=$C312,$E$5+$E312,0),2),2)*10&lt;=ROUND(AO$6+IF(AO$5=$C312,$E$5+$E312,0),2)),ROUND(AQ311+AP312,2),MIN(ROUND(AO$6+IF(AO$5=$C312,$E$5+$E312,0),2),ROUND(AQ311+AP312,2))),0)</f>
        <v>0</v>
      </c>
      <c r="AP312" s="24">
        <f>IF(AQ311&gt;0,ROUND(ROUND(AQ311*100,0)*ROUND(AO$7*10000,0)/12000000,0)/100,0)</f>
        <v>0</v>
      </c>
      <c r="AQ312" s="24">
        <f>IF(AQ311&gt;0,ROUND(AQ311+AP312-AO312,2),0)</f>
        <v>0</v>
      </c>
      <c r="AR312" s="24">
        <f>IF(AQ311&gt;0,ROUND(AR311+ROUND(ROUND(AR311*100,0)*ROUND(AO$7*10000,0)/12000000,0)/100+0.02,2),0)</f>
        <v>0</v>
      </c>
      <c r="AS312" s="24">
        <f>IF(AU311&gt;0,IF(AND(ROUND(AU311+AT312-ROUND(AS$6+IF(AS$5=$C312,$E$5+$E312,0),2),2)&gt;0,ROUND(AU311+AT312-ROUND(AS$6+IF(AS$5=$C312,$E$5+$E312,0),2),2)&lt;=AV312,ROUND(AU311+AT312-ROUND(AS$6+IF(AS$5=$C312,$E$5+$E312,0),2),2)*10&lt;=ROUND(AS$6+IF(AS$5=$C312,$E$5+$E312,0),2)),ROUND(AU311+AT312,2),MIN(ROUND(AS$6+IF(AS$5=$C312,$E$5+$E312,0),2),ROUND(AU311+AT312,2))),0)</f>
        <v>0</v>
      </c>
      <c r="AT312" s="24">
        <f>IF(AU311&gt;0,ROUND(ROUND(AU311*100,0)*ROUND(AS$7*10000,0)/12000000,0)/100,0)</f>
        <v>0</v>
      </c>
      <c r="AU312" s="24">
        <f>IF(AU311&gt;0,ROUND(AU311+AT312-AS312,2),0)</f>
        <v>0</v>
      </c>
      <c r="AV312" s="24">
        <f>IF(AU311&gt;0,ROUND(AV311+ROUND(ROUND(AV311*100,0)*ROUND(AS$7*10000,0)/12000000,0)/100+0.02,2),0)</f>
        <v>0</v>
      </c>
    </row>
    <row r="313" spans="1:48" x14ac:dyDescent="0.25">
      <c r="A313" s="17" t="str">
        <f>IF(F313&gt;0,303,"")</f>
        <v/>
      </c>
      <c r="B313" s="18" t="str">
        <f>IF(F313&gt;0,EDATE($E$6,303),"")</f>
        <v/>
      </c>
      <c r="C313" s="21">
        <f>IF(H312&gt;0,MIN(IF(K312&gt;0,I$5,99),IF(O312&gt;0,M$5,99),IF(S312&gt;0,Q$5,99),IF(W312&gt;0,U$5,99),IF(AA312&gt;0,Y$5,99),IF(AE312&gt;0,AC$5,99),IF(AI312&gt;0,AG$5,99),IF(AM312&gt;0,AK$5,99),IF(AQ312&gt;0,AO$5,99),IF(AU312&gt;0,AS$5,99)),0)</f>
        <v>0</v>
      </c>
      <c r="D313" t="str">
        <f>IF(C313&gt;0,INDEX($I$4:$AV$4,1,MATCH(C313,$I$5:$AV$5,0)),"")</f>
        <v/>
      </c>
      <c r="E313" s="24">
        <f>ROUND(IF(AND(I$8&gt;0,K312=0),I$6,0)+IF(AND(M$8&gt;0,O312=0),M$6,0)+IF(AND(Q$8&gt;0,S312=0),Q$6,0)+IF(AND(U$8&gt;0,W312=0),U$6,0)+IF(AND(Y$8&gt;0,AA312=0),Y$6,0)+IF(AND(AC$8&gt;0,AE312=0),AC$6,0)+IF(AND(AG$8&gt;0,AI312=0),AG$6,0)+IF(AND(AK$8&gt;0,AM312=0),AK$6,0)+IF(AND(AO$8&gt;0,AQ312=0),AO$6,0)+IF(AND(AS$8&gt;0,AU312=0),AS$6,0),2)</f>
        <v>325</v>
      </c>
      <c r="F313" s="24">
        <f>ROUND(I313+M313+Q313+U313+Y313+AC313+AG313+AK313+AO313+AS313,2)</f>
        <v>0</v>
      </c>
      <c r="G313" s="24">
        <f>ROUND(J313+N313+R313+V313+Z313+AD313+AH313+AL313+AP313+AT313,2)</f>
        <v>0</v>
      </c>
      <c r="H313" s="24">
        <f>ROUND(K313+O313+S313+W313+AA313+AE313+AI313+AM313+AQ313+AU313,2)</f>
        <v>0</v>
      </c>
      <c r="I313" s="24">
        <f>IF(K312&gt;0,IF(AND(ROUND(K312+J313-ROUND(I$6+IF(I$5=$C313,$E$5+$E313,0),2),2)&gt;0,ROUND(K312+J313-ROUND(I$6+IF(I$5=$C313,$E$5+$E313,0),2),2)&lt;=L313,ROUND(K312+J313-ROUND(I$6+IF(I$5=$C313,$E$5+$E313,0),2),2)*10&lt;=ROUND(I$6+IF(I$5=$C313,$E$5+$E313,0),2)),ROUND(K312+J313,2),MIN(ROUND(I$6+IF(I$5=$C313,$E$5+$E313,0),2),ROUND(K312+J313,2))),0)</f>
        <v>0</v>
      </c>
      <c r="J313" s="24">
        <f>IF(K312&gt;0,ROUND(ROUND(K312*100,0)*ROUND(I$7*10000,0)/12000000,0)/100,0)</f>
        <v>0</v>
      </c>
      <c r="K313" s="24">
        <f>IF(K312&gt;0,ROUND(K312+J313-I313,2),0)</f>
        <v>0</v>
      </c>
      <c r="L313" s="24">
        <f>IF(K312&gt;0,ROUND(L312+ROUND(ROUND(L312*100,0)*ROUND(I$7*10000,0)/12000000,0)/100+0.02,2),0)</f>
        <v>0</v>
      </c>
      <c r="M313" s="24">
        <f>IF(O312&gt;0,IF(AND(ROUND(O312+N313-ROUND(M$6+IF(M$5=$C313,$E$5+$E313,0),2),2)&gt;0,ROUND(O312+N313-ROUND(M$6+IF(M$5=$C313,$E$5+$E313,0),2),2)&lt;=P313,ROUND(O312+N313-ROUND(M$6+IF(M$5=$C313,$E$5+$E313,0),2),2)*10&lt;=ROUND(M$6+IF(M$5=$C313,$E$5+$E313,0),2)),ROUND(O312+N313,2),MIN(ROUND(M$6+IF(M$5=$C313,$E$5+$E313,0),2),ROUND(O312+N313,2))),0)</f>
        <v>0</v>
      </c>
      <c r="N313" s="24">
        <f>IF(O312&gt;0,ROUND(ROUND(O312*100,0)*ROUND(M$7*10000,0)/12000000,0)/100,0)</f>
        <v>0</v>
      </c>
      <c r="O313" s="24">
        <f>IF(O312&gt;0,ROUND(O312+N313-M313,2),0)</f>
        <v>0</v>
      </c>
      <c r="P313" s="24">
        <f>IF(O312&gt;0,ROUND(P312+ROUND(ROUND(P312*100,0)*ROUND(M$7*10000,0)/12000000,0)/100+0.02,2),0)</f>
        <v>0</v>
      </c>
      <c r="Q313" s="24">
        <f>IF(S312&gt;0,IF(AND(ROUND(S312+R313-ROUND(Q$6+IF(Q$5=$C313,$E$5+$E313,0),2),2)&gt;0,ROUND(S312+R313-ROUND(Q$6+IF(Q$5=$C313,$E$5+$E313,0),2),2)&lt;=T313,ROUND(S312+R313-ROUND(Q$6+IF(Q$5=$C313,$E$5+$E313,0),2),2)*10&lt;=ROUND(Q$6+IF(Q$5=$C313,$E$5+$E313,0),2)),ROUND(S312+R313,2),MIN(ROUND(Q$6+IF(Q$5=$C313,$E$5+$E313,0),2),ROUND(S312+R313,2))),0)</f>
        <v>0</v>
      </c>
      <c r="R313" s="24">
        <f>IF(S312&gt;0,ROUND(ROUND(S312*100,0)*ROUND(Q$7*10000,0)/12000000,0)/100,0)</f>
        <v>0</v>
      </c>
      <c r="S313" s="24">
        <f>IF(S312&gt;0,ROUND(S312+R313-Q313,2),0)</f>
        <v>0</v>
      </c>
      <c r="T313" s="24">
        <f>IF(S312&gt;0,ROUND(T312+ROUND(ROUND(T312*100,0)*ROUND(Q$7*10000,0)/12000000,0)/100+0.02,2),0)</f>
        <v>0</v>
      </c>
      <c r="U313" s="24">
        <f>IF(W312&gt;0,IF(AND(ROUND(W312+V313-ROUND(U$6+IF(U$5=$C313,$E$5+$E313,0),2),2)&gt;0,ROUND(W312+V313-ROUND(U$6+IF(U$5=$C313,$E$5+$E313,0),2),2)&lt;=X313,ROUND(W312+V313-ROUND(U$6+IF(U$5=$C313,$E$5+$E313,0),2),2)*10&lt;=ROUND(U$6+IF(U$5=$C313,$E$5+$E313,0),2)),ROUND(W312+V313,2),MIN(ROUND(U$6+IF(U$5=$C313,$E$5+$E313,0),2),ROUND(W312+V313,2))),0)</f>
        <v>0</v>
      </c>
      <c r="V313" s="24">
        <f>IF(W312&gt;0,ROUND(ROUND(W312*100,0)*ROUND(U$7*10000,0)/12000000,0)/100,0)</f>
        <v>0</v>
      </c>
      <c r="W313" s="24">
        <f>IF(W312&gt;0,ROUND(W312+V313-U313,2),0)</f>
        <v>0</v>
      </c>
      <c r="X313" s="24">
        <f>IF(W312&gt;0,ROUND(X312+ROUND(ROUND(X312*100,0)*ROUND(U$7*10000,0)/12000000,0)/100+0.02,2),0)</f>
        <v>0</v>
      </c>
      <c r="Y313" s="24">
        <f>IF(AA312&gt;0,IF(AND(ROUND(AA312+Z313-ROUND(Y$6+IF(Y$5=$C313,$E$5+$E313,0),2),2)&gt;0,ROUND(AA312+Z313-ROUND(Y$6+IF(Y$5=$C313,$E$5+$E313,0),2),2)&lt;=AB313,ROUND(AA312+Z313-ROUND(Y$6+IF(Y$5=$C313,$E$5+$E313,0),2),2)*10&lt;=ROUND(Y$6+IF(Y$5=$C313,$E$5+$E313,0),2)),ROUND(AA312+Z313,2),MIN(ROUND(Y$6+IF(Y$5=$C313,$E$5+$E313,0),2),ROUND(AA312+Z313,2))),0)</f>
        <v>0</v>
      </c>
      <c r="Z313" s="24">
        <f>IF(AA312&gt;0,ROUND(ROUND(AA312*100,0)*ROUND(Y$7*10000,0)/12000000,0)/100,0)</f>
        <v>0</v>
      </c>
      <c r="AA313" s="24">
        <f>IF(AA312&gt;0,ROUND(AA312+Z313-Y313,2),0)</f>
        <v>0</v>
      </c>
      <c r="AB313" s="24">
        <f>IF(AA312&gt;0,ROUND(AB312+ROUND(ROUND(AB312*100,0)*ROUND(Y$7*10000,0)/12000000,0)/100+0.02,2),0)</f>
        <v>0</v>
      </c>
      <c r="AC313" s="24">
        <f>IF(AE312&gt;0,IF(AND(ROUND(AE312+AD313-ROUND(AC$6+IF(AC$5=$C313,$E$5+$E313,0),2),2)&gt;0,ROUND(AE312+AD313-ROUND(AC$6+IF(AC$5=$C313,$E$5+$E313,0),2),2)&lt;=AF313,ROUND(AE312+AD313-ROUND(AC$6+IF(AC$5=$C313,$E$5+$E313,0),2),2)*10&lt;=ROUND(AC$6+IF(AC$5=$C313,$E$5+$E313,0),2)),ROUND(AE312+AD313,2),MIN(ROUND(AC$6+IF(AC$5=$C313,$E$5+$E313,0),2),ROUND(AE312+AD313,2))),0)</f>
        <v>0</v>
      </c>
      <c r="AD313" s="24">
        <f>IF(AE312&gt;0,ROUND(ROUND(AE312*100,0)*ROUND(AC$7*10000,0)/12000000,0)/100,0)</f>
        <v>0</v>
      </c>
      <c r="AE313" s="24">
        <f>IF(AE312&gt;0,ROUND(AE312+AD313-AC313,2),0)</f>
        <v>0</v>
      </c>
      <c r="AF313" s="24">
        <f>IF(AE312&gt;0,ROUND(AF312+ROUND(ROUND(AF312*100,0)*ROUND(AC$7*10000,0)/12000000,0)/100+0.02,2),0)</f>
        <v>0</v>
      </c>
      <c r="AG313" s="24">
        <f>IF(AI312&gt;0,IF(AND(ROUND(AI312+AH313-ROUND(AG$6+IF(AG$5=$C313,$E$5+$E313,0),2),2)&gt;0,ROUND(AI312+AH313-ROUND(AG$6+IF(AG$5=$C313,$E$5+$E313,0),2),2)&lt;=AJ313,ROUND(AI312+AH313-ROUND(AG$6+IF(AG$5=$C313,$E$5+$E313,0),2),2)*10&lt;=ROUND(AG$6+IF(AG$5=$C313,$E$5+$E313,0),2)),ROUND(AI312+AH313,2),MIN(ROUND(AG$6+IF(AG$5=$C313,$E$5+$E313,0),2),ROUND(AI312+AH313,2))),0)</f>
        <v>0</v>
      </c>
      <c r="AH313" s="24">
        <f>IF(AI312&gt;0,ROUND(ROUND(AI312*100,0)*ROUND(AG$7*10000,0)/12000000,0)/100,0)</f>
        <v>0</v>
      </c>
      <c r="AI313" s="24">
        <f>IF(AI312&gt;0,ROUND(AI312+AH313-AG313,2),0)</f>
        <v>0</v>
      </c>
      <c r="AJ313" s="24">
        <f>IF(AI312&gt;0,ROUND(AJ312+ROUND(ROUND(AJ312*100,0)*ROUND(AG$7*10000,0)/12000000,0)/100+0.02,2),0)</f>
        <v>0</v>
      </c>
      <c r="AK313" s="24">
        <f>IF(AM312&gt;0,IF(AND(ROUND(AM312+AL313-ROUND(AK$6+IF(AK$5=$C313,$E$5+$E313,0),2),2)&gt;0,ROUND(AM312+AL313-ROUND(AK$6+IF(AK$5=$C313,$E$5+$E313,0),2),2)&lt;=AN313,ROUND(AM312+AL313-ROUND(AK$6+IF(AK$5=$C313,$E$5+$E313,0),2),2)*10&lt;=ROUND(AK$6+IF(AK$5=$C313,$E$5+$E313,0),2)),ROUND(AM312+AL313,2),MIN(ROUND(AK$6+IF(AK$5=$C313,$E$5+$E313,0),2),ROUND(AM312+AL313,2))),0)</f>
        <v>0</v>
      </c>
      <c r="AL313" s="24">
        <f>IF(AM312&gt;0,ROUND(ROUND(AM312*100,0)*ROUND(AK$7*10000,0)/12000000,0)/100,0)</f>
        <v>0</v>
      </c>
      <c r="AM313" s="24">
        <f>IF(AM312&gt;0,ROUND(AM312+AL313-AK313,2),0)</f>
        <v>0</v>
      </c>
      <c r="AN313" s="24">
        <f>IF(AM312&gt;0,ROUND(AN312+ROUND(ROUND(AN312*100,0)*ROUND(AK$7*10000,0)/12000000,0)/100+0.02,2),0)</f>
        <v>0</v>
      </c>
      <c r="AO313" s="24">
        <f>IF(AQ312&gt;0,IF(AND(ROUND(AQ312+AP313-ROUND(AO$6+IF(AO$5=$C313,$E$5+$E313,0),2),2)&gt;0,ROUND(AQ312+AP313-ROUND(AO$6+IF(AO$5=$C313,$E$5+$E313,0),2),2)&lt;=AR313,ROUND(AQ312+AP313-ROUND(AO$6+IF(AO$5=$C313,$E$5+$E313,0),2),2)*10&lt;=ROUND(AO$6+IF(AO$5=$C313,$E$5+$E313,0),2)),ROUND(AQ312+AP313,2),MIN(ROUND(AO$6+IF(AO$5=$C313,$E$5+$E313,0),2),ROUND(AQ312+AP313,2))),0)</f>
        <v>0</v>
      </c>
      <c r="AP313" s="24">
        <f>IF(AQ312&gt;0,ROUND(ROUND(AQ312*100,0)*ROUND(AO$7*10000,0)/12000000,0)/100,0)</f>
        <v>0</v>
      </c>
      <c r="AQ313" s="24">
        <f>IF(AQ312&gt;0,ROUND(AQ312+AP313-AO313,2),0)</f>
        <v>0</v>
      </c>
      <c r="AR313" s="24">
        <f>IF(AQ312&gt;0,ROUND(AR312+ROUND(ROUND(AR312*100,0)*ROUND(AO$7*10000,0)/12000000,0)/100+0.02,2),0)</f>
        <v>0</v>
      </c>
      <c r="AS313" s="24">
        <f>IF(AU312&gt;0,IF(AND(ROUND(AU312+AT313-ROUND(AS$6+IF(AS$5=$C313,$E$5+$E313,0),2),2)&gt;0,ROUND(AU312+AT313-ROUND(AS$6+IF(AS$5=$C313,$E$5+$E313,0),2),2)&lt;=AV313,ROUND(AU312+AT313-ROUND(AS$6+IF(AS$5=$C313,$E$5+$E313,0),2),2)*10&lt;=ROUND(AS$6+IF(AS$5=$C313,$E$5+$E313,0),2)),ROUND(AU312+AT313,2),MIN(ROUND(AS$6+IF(AS$5=$C313,$E$5+$E313,0),2),ROUND(AU312+AT313,2))),0)</f>
        <v>0</v>
      </c>
      <c r="AT313" s="24">
        <f>IF(AU312&gt;0,ROUND(ROUND(AU312*100,0)*ROUND(AS$7*10000,0)/12000000,0)/100,0)</f>
        <v>0</v>
      </c>
      <c r="AU313" s="24">
        <f>IF(AU312&gt;0,ROUND(AU312+AT313-AS313,2),0)</f>
        <v>0</v>
      </c>
      <c r="AV313" s="24">
        <f>IF(AU312&gt;0,ROUND(AV312+ROUND(ROUND(AV312*100,0)*ROUND(AS$7*10000,0)/12000000,0)/100+0.02,2),0)</f>
        <v>0</v>
      </c>
    </row>
    <row r="314" spans="1:48" x14ac:dyDescent="0.25">
      <c r="A314" s="17" t="str">
        <f>IF(F314&gt;0,304,"")</f>
        <v/>
      </c>
      <c r="B314" s="18" t="str">
        <f>IF(F314&gt;0,EDATE($E$6,304),"")</f>
        <v/>
      </c>
      <c r="C314" s="21">
        <f>IF(H313&gt;0,MIN(IF(K313&gt;0,I$5,99),IF(O313&gt;0,M$5,99),IF(S313&gt;0,Q$5,99),IF(W313&gt;0,U$5,99),IF(AA313&gt;0,Y$5,99),IF(AE313&gt;0,AC$5,99),IF(AI313&gt;0,AG$5,99),IF(AM313&gt;0,AK$5,99),IF(AQ313&gt;0,AO$5,99),IF(AU313&gt;0,AS$5,99)),0)</f>
        <v>0</v>
      </c>
      <c r="D314" t="str">
        <f>IF(C314&gt;0,INDEX($I$4:$AV$4,1,MATCH(C314,$I$5:$AV$5,0)),"")</f>
        <v/>
      </c>
      <c r="E314" s="24">
        <f>ROUND(IF(AND(I$8&gt;0,K313=0),I$6,0)+IF(AND(M$8&gt;0,O313=0),M$6,0)+IF(AND(Q$8&gt;0,S313=0),Q$6,0)+IF(AND(U$8&gt;0,W313=0),U$6,0)+IF(AND(Y$8&gt;0,AA313=0),Y$6,0)+IF(AND(AC$8&gt;0,AE313=0),AC$6,0)+IF(AND(AG$8&gt;0,AI313=0),AG$6,0)+IF(AND(AK$8&gt;0,AM313=0),AK$6,0)+IF(AND(AO$8&gt;0,AQ313=0),AO$6,0)+IF(AND(AS$8&gt;0,AU313=0),AS$6,0),2)</f>
        <v>325</v>
      </c>
      <c r="F314" s="24">
        <f>ROUND(I314+M314+Q314+U314+Y314+AC314+AG314+AK314+AO314+AS314,2)</f>
        <v>0</v>
      </c>
      <c r="G314" s="24">
        <f>ROUND(J314+N314+R314+V314+Z314+AD314+AH314+AL314+AP314+AT314,2)</f>
        <v>0</v>
      </c>
      <c r="H314" s="24">
        <f>ROUND(K314+O314+S314+W314+AA314+AE314+AI314+AM314+AQ314+AU314,2)</f>
        <v>0</v>
      </c>
      <c r="I314" s="24">
        <f>IF(K313&gt;0,IF(AND(ROUND(K313+J314-ROUND(I$6+IF(I$5=$C314,$E$5+$E314,0),2),2)&gt;0,ROUND(K313+J314-ROUND(I$6+IF(I$5=$C314,$E$5+$E314,0),2),2)&lt;=L314,ROUND(K313+J314-ROUND(I$6+IF(I$5=$C314,$E$5+$E314,0),2),2)*10&lt;=ROUND(I$6+IF(I$5=$C314,$E$5+$E314,0),2)),ROUND(K313+J314,2),MIN(ROUND(I$6+IF(I$5=$C314,$E$5+$E314,0),2),ROUND(K313+J314,2))),0)</f>
        <v>0</v>
      </c>
      <c r="J314" s="24">
        <f>IF(K313&gt;0,ROUND(ROUND(K313*100,0)*ROUND(I$7*10000,0)/12000000,0)/100,0)</f>
        <v>0</v>
      </c>
      <c r="K314" s="24">
        <f>IF(K313&gt;0,ROUND(K313+J314-I314,2),0)</f>
        <v>0</v>
      </c>
      <c r="L314" s="24">
        <f>IF(K313&gt;0,ROUND(L313+ROUND(ROUND(L313*100,0)*ROUND(I$7*10000,0)/12000000,0)/100+0.02,2),0)</f>
        <v>0</v>
      </c>
      <c r="M314" s="24">
        <f>IF(O313&gt;0,IF(AND(ROUND(O313+N314-ROUND(M$6+IF(M$5=$C314,$E$5+$E314,0),2),2)&gt;0,ROUND(O313+N314-ROUND(M$6+IF(M$5=$C314,$E$5+$E314,0),2),2)&lt;=P314,ROUND(O313+N314-ROUND(M$6+IF(M$5=$C314,$E$5+$E314,0),2),2)*10&lt;=ROUND(M$6+IF(M$5=$C314,$E$5+$E314,0),2)),ROUND(O313+N314,2),MIN(ROUND(M$6+IF(M$5=$C314,$E$5+$E314,0),2),ROUND(O313+N314,2))),0)</f>
        <v>0</v>
      </c>
      <c r="N314" s="24">
        <f>IF(O313&gt;0,ROUND(ROUND(O313*100,0)*ROUND(M$7*10000,0)/12000000,0)/100,0)</f>
        <v>0</v>
      </c>
      <c r="O314" s="24">
        <f>IF(O313&gt;0,ROUND(O313+N314-M314,2),0)</f>
        <v>0</v>
      </c>
      <c r="P314" s="24">
        <f>IF(O313&gt;0,ROUND(P313+ROUND(ROUND(P313*100,0)*ROUND(M$7*10000,0)/12000000,0)/100+0.02,2),0)</f>
        <v>0</v>
      </c>
      <c r="Q314" s="24">
        <f>IF(S313&gt;0,IF(AND(ROUND(S313+R314-ROUND(Q$6+IF(Q$5=$C314,$E$5+$E314,0),2),2)&gt;0,ROUND(S313+R314-ROUND(Q$6+IF(Q$5=$C314,$E$5+$E314,0),2),2)&lt;=T314,ROUND(S313+R314-ROUND(Q$6+IF(Q$5=$C314,$E$5+$E314,0),2),2)*10&lt;=ROUND(Q$6+IF(Q$5=$C314,$E$5+$E314,0),2)),ROUND(S313+R314,2),MIN(ROUND(Q$6+IF(Q$5=$C314,$E$5+$E314,0),2),ROUND(S313+R314,2))),0)</f>
        <v>0</v>
      </c>
      <c r="R314" s="24">
        <f>IF(S313&gt;0,ROUND(ROUND(S313*100,0)*ROUND(Q$7*10000,0)/12000000,0)/100,0)</f>
        <v>0</v>
      </c>
      <c r="S314" s="24">
        <f>IF(S313&gt;0,ROUND(S313+R314-Q314,2),0)</f>
        <v>0</v>
      </c>
      <c r="T314" s="24">
        <f>IF(S313&gt;0,ROUND(T313+ROUND(ROUND(T313*100,0)*ROUND(Q$7*10000,0)/12000000,0)/100+0.02,2),0)</f>
        <v>0</v>
      </c>
      <c r="U314" s="24">
        <f>IF(W313&gt;0,IF(AND(ROUND(W313+V314-ROUND(U$6+IF(U$5=$C314,$E$5+$E314,0),2),2)&gt;0,ROUND(W313+V314-ROUND(U$6+IF(U$5=$C314,$E$5+$E314,0),2),2)&lt;=X314,ROUND(W313+V314-ROUND(U$6+IF(U$5=$C314,$E$5+$E314,0),2),2)*10&lt;=ROUND(U$6+IF(U$5=$C314,$E$5+$E314,0),2)),ROUND(W313+V314,2),MIN(ROUND(U$6+IF(U$5=$C314,$E$5+$E314,0),2),ROUND(W313+V314,2))),0)</f>
        <v>0</v>
      </c>
      <c r="V314" s="24">
        <f>IF(W313&gt;0,ROUND(ROUND(W313*100,0)*ROUND(U$7*10000,0)/12000000,0)/100,0)</f>
        <v>0</v>
      </c>
      <c r="W314" s="24">
        <f>IF(W313&gt;0,ROUND(W313+V314-U314,2),0)</f>
        <v>0</v>
      </c>
      <c r="X314" s="24">
        <f>IF(W313&gt;0,ROUND(X313+ROUND(ROUND(X313*100,0)*ROUND(U$7*10000,0)/12000000,0)/100+0.02,2),0)</f>
        <v>0</v>
      </c>
      <c r="Y314" s="24">
        <f>IF(AA313&gt;0,IF(AND(ROUND(AA313+Z314-ROUND(Y$6+IF(Y$5=$C314,$E$5+$E314,0),2),2)&gt;0,ROUND(AA313+Z314-ROUND(Y$6+IF(Y$5=$C314,$E$5+$E314,0),2),2)&lt;=AB314,ROUND(AA313+Z314-ROUND(Y$6+IF(Y$5=$C314,$E$5+$E314,0),2),2)*10&lt;=ROUND(Y$6+IF(Y$5=$C314,$E$5+$E314,0),2)),ROUND(AA313+Z314,2),MIN(ROUND(Y$6+IF(Y$5=$C314,$E$5+$E314,0),2),ROUND(AA313+Z314,2))),0)</f>
        <v>0</v>
      </c>
      <c r="Z314" s="24">
        <f>IF(AA313&gt;0,ROUND(ROUND(AA313*100,0)*ROUND(Y$7*10000,0)/12000000,0)/100,0)</f>
        <v>0</v>
      </c>
      <c r="AA314" s="24">
        <f>IF(AA313&gt;0,ROUND(AA313+Z314-Y314,2),0)</f>
        <v>0</v>
      </c>
      <c r="AB314" s="24">
        <f>IF(AA313&gt;0,ROUND(AB313+ROUND(ROUND(AB313*100,0)*ROUND(Y$7*10000,0)/12000000,0)/100+0.02,2),0)</f>
        <v>0</v>
      </c>
      <c r="AC314" s="24">
        <f>IF(AE313&gt;0,IF(AND(ROUND(AE313+AD314-ROUND(AC$6+IF(AC$5=$C314,$E$5+$E314,0),2),2)&gt;0,ROUND(AE313+AD314-ROUND(AC$6+IF(AC$5=$C314,$E$5+$E314,0),2),2)&lt;=AF314,ROUND(AE313+AD314-ROUND(AC$6+IF(AC$5=$C314,$E$5+$E314,0),2),2)*10&lt;=ROUND(AC$6+IF(AC$5=$C314,$E$5+$E314,0),2)),ROUND(AE313+AD314,2),MIN(ROUND(AC$6+IF(AC$5=$C314,$E$5+$E314,0),2),ROUND(AE313+AD314,2))),0)</f>
        <v>0</v>
      </c>
      <c r="AD314" s="24">
        <f>IF(AE313&gt;0,ROUND(ROUND(AE313*100,0)*ROUND(AC$7*10000,0)/12000000,0)/100,0)</f>
        <v>0</v>
      </c>
      <c r="AE314" s="24">
        <f>IF(AE313&gt;0,ROUND(AE313+AD314-AC314,2),0)</f>
        <v>0</v>
      </c>
      <c r="AF314" s="24">
        <f>IF(AE313&gt;0,ROUND(AF313+ROUND(ROUND(AF313*100,0)*ROUND(AC$7*10000,0)/12000000,0)/100+0.02,2),0)</f>
        <v>0</v>
      </c>
      <c r="AG314" s="24">
        <f>IF(AI313&gt;0,IF(AND(ROUND(AI313+AH314-ROUND(AG$6+IF(AG$5=$C314,$E$5+$E314,0),2),2)&gt;0,ROUND(AI313+AH314-ROUND(AG$6+IF(AG$5=$C314,$E$5+$E314,0),2),2)&lt;=AJ314,ROUND(AI313+AH314-ROUND(AG$6+IF(AG$5=$C314,$E$5+$E314,0),2),2)*10&lt;=ROUND(AG$6+IF(AG$5=$C314,$E$5+$E314,0),2)),ROUND(AI313+AH314,2),MIN(ROUND(AG$6+IF(AG$5=$C314,$E$5+$E314,0),2),ROUND(AI313+AH314,2))),0)</f>
        <v>0</v>
      </c>
      <c r="AH314" s="24">
        <f>IF(AI313&gt;0,ROUND(ROUND(AI313*100,0)*ROUND(AG$7*10000,0)/12000000,0)/100,0)</f>
        <v>0</v>
      </c>
      <c r="AI314" s="24">
        <f>IF(AI313&gt;0,ROUND(AI313+AH314-AG314,2),0)</f>
        <v>0</v>
      </c>
      <c r="AJ314" s="24">
        <f>IF(AI313&gt;0,ROUND(AJ313+ROUND(ROUND(AJ313*100,0)*ROUND(AG$7*10000,0)/12000000,0)/100+0.02,2),0)</f>
        <v>0</v>
      </c>
      <c r="AK314" s="24">
        <f>IF(AM313&gt;0,IF(AND(ROUND(AM313+AL314-ROUND(AK$6+IF(AK$5=$C314,$E$5+$E314,0),2),2)&gt;0,ROUND(AM313+AL314-ROUND(AK$6+IF(AK$5=$C314,$E$5+$E314,0),2),2)&lt;=AN314,ROUND(AM313+AL314-ROUND(AK$6+IF(AK$5=$C314,$E$5+$E314,0),2),2)*10&lt;=ROUND(AK$6+IF(AK$5=$C314,$E$5+$E314,0),2)),ROUND(AM313+AL314,2),MIN(ROUND(AK$6+IF(AK$5=$C314,$E$5+$E314,0),2),ROUND(AM313+AL314,2))),0)</f>
        <v>0</v>
      </c>
      <c r="AL314" s="24">
        <f>IF(AM313&gt;0,ROUND(ROUND(AM313*100,0)*ROUND(AK$7*10000,0)/12000000,0)/100,0)</f>
        <v>0</v>
      </c>
      <c r="AM314" s="24">
        <f>IF(AM313&gt;0,ROUND(AM313+AL314-AK314,2),0)</f>
        <v>0</v>
      </c>
      <c r="AN314" s="24">
        <f>IF(AM313&gt;0,ROUND(AN313+ROUND(ROUND(AN313*100,0)*ROUND(AK$7*10000,0)/12000000,0)/100+0.02,2),0)</f>
        <v>0</v>
      </c>
      <c r="AO314" s="24">
        <f>IF(AQ313&gt;0,IF(AND(ROUND(AQ313+AP314-ROUND(AO$6+IF(AO$5=$C314,$E$5+$E314,0),2),2)&gt;0,ROUND(AQ313+AP314-ROUND(AO$6+IF(AO$5=$C314,$E$5+$E314,0),2),2)&lt;=AR314,ROUND(AQ313+AP314-ROUND(AO$6+IF(AO$5=$C314,$E$5+$E314,0),2),2)*10&lt;=ROUND(AO$6+IF(AO$5=$C314,$E$5+$E314,0),2)),ROUND(AQ313+AP314,2),MIN(ROUND(AO$6+IF(AO$5=$C314,$E$5+$E314,0),2),ROUND(AQ313+AP314,2))),0)</f>
        <v>0</v>
      </c>
      <c r="AP314" s="24">
        <f>IF(AQ313&gt;0,ROUND(ROUND(AQ313*100,0)*ROUND(AO$7*10000,0)/12000000,0)/100,0)</f>
        <v>0</v>
      </c>
      <c r="AQ314" s="24">
        <f>IF(AQ313&gt;0,ROUND(AQ313+AP314-AO314,2),0)</f>
        <v>0</v>
      </c>
      <c r="AR314" s="24">
        <f>IF(AQ313&gt;0,ROUND(AR313+ROUND(ROUND(AR313*100,0)*ROUND(AO$7*10000,0)/12000000,0)/100+0.02,2),0)</f>
        <v>0</v>
      </c>
      <c r="AS314" s="24">
        <f>IF(AU313&gt;0,IF(AND(ROUND(AU313+AT314-ROUND(AS$6+IF(AS$5=$C314,$E$5+$E314,0),2),2)&gt;0,ROUND(AU313+AT314-ROUND(AS$6+IF(AS$5=$C314,$E$5+$E314,0),2),2)&lt;=AV314,ROUND(AU313+AT314-ROUND(AS$6+IF(AS$5=$C314,$E$5+$E314,0),2),2)*10&lt;=ROUND(AS$6+IF(AS$5=$C314,$E$5+$E314,0),2)),ROUND(AU313+AT314,2),MIN(ROUND(AS$6+IF(AS$5=$C314,$E$5+$E314,0),2),ROUND(AU313+AT314,2))),0)</f>
        <v>0</v>
      </c>
      <c r="AT314" s="24">
        <f>IF(AU313&gt;0,ROUND(ROUND(AU313*100,0)*ROUND(AS$7*10000,0)/12000000,0)/100,0)</f>
        <v>0</v>
      </c>
      <c r="AU314" s="24">
        <f>IF(AU313&gt;0,ROUND(AU313+AT314-AS314,2),0)</f>
        <v>0</v>
      </c>
      <c r="AV314" s="24">
        <f>IF(AU313&gt;0,ROUND(AV313+ROUND(ROUND(AV313*100,0)*ROUND(AS$7*10000,0)/12000000,0)/100+0.02,2),0)</f>
        <v>0</v>
      </c>
    </row>
    <row r="315" spans="1:48" x14ac:dyDescent="0.25">
      <c r="A315" s="17" t="str">
        <f>IF(F315&gt;0,305,"")</f>
        <v/>
      </c>
      <c r="B315" s="18" t="str">
        <f>IF(F315&gt;0,EDATE($E$6,305),"")</f>
        <v/>
      </c>
      <c r="C315" s="21">
        <f>IF(H314&gt;0,MIN(IF(K314&gt;0,I$5,99),IF(O314&gt;0,M$5,99),IF(S314&gt;0,Q$5,99),IF(W314&gt;0,U$5,99),IF(AA314&gt;0,Y$5,99),IF(AE314&gt;0,AC$5,99),IF(AI314&gt;0,AG$5,99),IF(AM314&gt;0,AK$5,99),IF(AQ314&gt;0,AO$5,99),IF(AU314&gt;0,AS$5,99)),0)</f>
        <v>0</v>
      </c>
      <c r="D315" t="str">
        <f>IF(C315&gt;0,INDEX($I$4:$AV$4,1,MATCH(C315,$I$5:$AV$5,0)),"")</f>
        <v/>
      </c>
      <c r="E315" s="24">
        <f>ROUND(IF(AND(I$8&gt;0,K314=0),I$6,0)+IF(AND(M$8&gt;0,O314=0),M$6,0)+IF(AND(Q$8&gt;0,S314=0),Q$6,0)+IF(AND(U$8&gt;0,W314=0),U$6,0)+IF(AND(Y$8&gt;0,AA314=0),Y$6,0)+IF(AND(AC$8&gt;0,AE314=0),AC$6,0)+IF(AND(AG$8&gt;0,AI314=0),AG$6,0)+IF(AND(AK$8&gt;0,AM314=0),AK$6,0)+IF(AND(AO$8&gt;0,AQ314=0),AO$6,0)+IF(AND(AS$8&gt;0,AU314=0),AS$6,0),2)</f>
        <v>325</v>
      </c>
      <c r="F315" s="24">
        <f>ROUND(I315+M315+Q315+U315+Y315+AC315+AG315+AK315+AO315+AS315,2)</f>
        <v>0</v>
      </c>
      <c r="G315" s="24">
        <f>ROUND(J315+N315+R315+V315+Z315+AD315+AH315+AL315+AP315+AT315,2)</f>
        <v>0</v>
      </c>
      <c r="H315" s="24">
        <f>ROUND(K315+O315+S315+W315+AA315+AE315+AI315+AM315+AQ315+AU315,2)</f>
        <v>0</v>
      </c>
      <c r="I315" s="24">
        <f>IF(K314&gt;0,IF(AND(ROUND(K314+J315-ROUND(I$6+IF(I$5=$C315,$E$5+$E315,0),2),2)&gt;0,ROUND(K314+J315-ROUND(I$6+IF(I$5=$C315,$E$5+$E315,0),2),2)&lt;=L315,ROUND(K314+J315-ROUND(I$6+IF(I$5=$C315,$E$5+$E315,0),2),2)*10&lt;=ROUND(I$6+IF(I$5=$C315,$E$5+$E315,0),2)),ROUND(K314+J315,2),MIN(ROUND(I$6+IF(I$5=$C315,$E$5+$E315,0),2),ROUND(K314+J315,2))),0)</f>
        <v>0</v>
      </c>
      <c r="J315" s="24">
        <f>IF(K314&gt;0,ROUND(ROUND(K314*100,0)*ROUND(I$7*10000,0)/12000000,0)/100,0)</f>
        <v>0</v>
      </c>
      <c r="K315" s="24">
        <f>IF(K314&gt;0,ROUND(K314+J315-I315,2),0)</f>
        <v>0</v>
      </c>
      <c r="L315" s="24">
        <f>IF(K314&gt;0,ROUND(L314+ROUND(ROUND(L314*100,0)*ROUND(I$7*10000,0)/12000000,0)/100+0.02,2),0)</f>
        <v>0</v>
      </c>
      <c r="M315" s="24">
        <f>IF(O314&gt;0,IF(AND(ROUND(O314+N315-ROUND(M$6+IF(M$5=$C315,$E$5+$E315,0),2),2)&gt;0,ROUND(O314+N315-ROUND(M$6+IF(M$5=$C315,$E$5+$E315,0),2),2)&lt;=P315,ROUND(O314+N315-ROUND(M$6+IF(M$5=$C315,$E$5+$E315,0),2),2)*10&lt;=ROUND(M$6+IF(M$5=$C315,$E$5+$E315,0),2)),ROUND(O314+N315,2),MIN(ROUND(M$6+IF(M$5=$C315,$E$5+$E315,0),2),ROUND(O314+N315,2))),0)</f>
        <v>0</v>
      </c>
      <c r="N315" s="24">
        <f>IF(O314&gt;0,ROUND(ROUND(O314*100,0)*ROUND(M$7*10000,0)/12000000,0)/100,0)</f>
        <v>0</v>
      </c>
      <c r="O315" s="24">
        <f>IF(O314&gt;0,ROUND(O314+N315-M315,2),0)</f>
        <v>0</v>
      </c>
      <c r="P315" s="24">
        <f>IF(O314&gt;0,ROUND(P314+ROUND(ROUND(P314*100,0)*ROUND(M$7*10000,0)/12000000,0)/100+0.02,2),0)</f>
        <v>0</v>
      </c>
      <c r="Q315" s="24">
        <f>IF(S314&gt;0,IF(AND(ROUND(S314+R315-ROUND(Q$6+IF(Q$5=$C315,$E$5+$E315,0),2),2)&gt;0,ROUND(S314+R315-ROUND(Q$6+IF(Q$5=$C315,$E$5+$E315,0),2),2)&lt;=T315,ROUND(S314+R315-ROUND(Q$6+IF(Q$5=$C315,$E$5+$E315,0),2),2)*10&lt;=ROUND(Q$6+IF(Q$5=$C315,$E$5+$E315,0),2)),ROUND(S314+R315,2),MIN(ROUND(Q$6+IF(Q$5=$C315,$E$5+$E315,0),2),ROUND(S314+R315,2))),0)</f>
        <v>0</v>
      </c>
      <c r="R315" s="24">
        <f>IF(S314&gt;0,ROUND(ROUND(S314*100,0)*ROUND(Q$7*10000,0)/12000000,0)/100,0)</f>
        <v>0</v>
      </c>
      <c r="S315" s="24">
        <f>IF(S314&gt;0,ROUND(S314+R315-Q315,2),0)</f>
        <v>0</v>
      </c>
      <c r="T315" s="24">
        <f>IF(S314&gt;0,ROUND(T314+ROUND(ROUND(T314*100,0)*ROUND(Q$7*10000,0)/12000000,0)/100+0.02,2),0)</f>
        <v>0</v>
      </c>
      <c r="U315" s="24">
        <f>IF(W314&gt;0,IF(AND(ROUND(W314+V315-ROUND(U$6+IF(U$5=$C315,$E$5+$E315,0),2),2)&gt;0,ROUND(W314+V315-ROUND(U$6+IF(U$5=$C315,$E$5+$E315,0),2),2)&lt;=X315,ROUND(W314+V315-ROUND(U$6+IF(U$5=$C315,$E$5+$E315,0),2),2)*10&lt;=ROUND(U$6+IF(U$5=$C315,$E$5+$E315,0),2)),ROUND(W314+V315,2),MIN(ROUND(U$6+IF(U$5=$C315,$E$5+$E315,0),2),ROUND(W314+V315,2))),0)</f>
        <v>0</v>
      </c>
      <c r="V315" s="24">
        <f>IF(W314&gt;0,ROUND(ROUND(W314*100,0)*ROUND(U$7*10000,0)/12000000,0)/100,0)</f>
        <v>0</v>
      </c>
      <c r="W315" s="24">
        <f>IF(W314&gt;0,ROUND(W314+V315-U315,2),0)</f>
        <v>0</v>
      </c>
      <c r="X315" s="24">
        <f>IF(W314&gt;0,ROUND(X314+ROUND(ROUND(X314*100,0)*ROUND(U$7*10000,0)/12000000,0)/100+0.02,2),0)</f>
        <v>0</v>
      </c>
      <c r="Y315" s="24">
        <f>IF(AA314&gt;0,IF(AND(ROUND(AA314+Z315-ROUND(Y$6+IF(Y$5=$C315,$E$5+$E315,0),2),2)&gt;0,ROUND(AA314+Z315-ROUND(Y$6+IF(Y$5=$C315,$E$5+$E315,0),2),2)&lt;=AB315,ROUND(AA314+Z315-ROUND(Y$6+IF(Y$5=$C315,$E$5+$E315,0),2),2)*10&lt;=ROUND(Y$6+IF(Y$5=$C315,$E$5+$E315,0),2)),ROUND(AA314+Z315,2),MIN(ROUND(Y$6+IF(Y$5=$C315,$E$5+$E315,0),2),ROUND(AA314+Z315,2))),0)</f>
        <v>0</v>
      </c>
      <c r="Z315" s="24">
        <f>IF(AA314&gt;0,ROUND(ROUND(AA314*100,0)*ROUND(Y$7*10000,0)/12000000,0)/100,0)</f>
        <v>0</v>
      </c>
      <c r="AA315" s="24">
        <f>IF(AA314&gt;0,ROUND(AA314+Z315-Y315,2),0)</f>
        <v>0</v>
      </c>
      <c r="AB315" s="24">
        <f>IF(AA314&gt;0,ROUND(AB314+ROUND(ROUND(AB314*100,0)*ROUND(Y$7*10000,0)/12000000,0)/100+0.02,2),0)</f>
        <v>0</v>
      </c>
      <c r="AC315" s="24">
        <f>IF(AE314&gt;0,IF(AND(ROUND(AE314+AD315-ROUND(AC$6+IF(AC$5=$C315,$E$5+$E315,0),2),2)&gt;0,ROUND(AE314+AD315-ROUND(AC$6+IF(AC$5=$C315,$E$5+$E315,0),2),2)&lt;=AF315,ROUND(AE314+AD315-ROUND(AC$6+IF(AC$5=$C315,$E$5+$E315,0),2),2)*10&lt;=ROUND(AC$6+IF(AC$5=$C315,$E$5+$E315,0),2)),ROUND(AE314+AD315,2),MIN(ROUND(AC$6+IF(AC$5=$C315,$E$5+$E315,0),2),ROUND(AE314+AD315,2))),0)</f>
        <v>0</v>
      </c>
      <c r="AD315" s="24">
        <f>IF(AE314&gt;0,ROUND(ROUND(AE314*100,0)*ROUND(AC$7*10000,0)/12000000,0)/100,0)</f>
        <v>0</v>
      </c>
      <c r="AE315" s="24">
        <f>IF(AE314&gt;0,ROUND(AE314+AD315-AC315,2),0)</f>
        <v>0</v>
      </c>
      <c r="AF315" s="24">
        <f>IF(AE314&gt;0,ROUND(AF314+ROUND(ROUND(AF314*100,0)*ROUND(AC$7*10000,0)/12000000,0)/100+0.02,2),0)</f>
        <v>0</v>
      </c>
      <c r="AG315" s="24">
        <f>IF(AI314&gt;0,IF(AND(ROUND(AI314+AH315-ROUND(AG$6+IF(AG$5=$C315,$E$5+$E315,0),2),2)&gt;0,ROUND(AI314+AH315-ROUND(AG$6+IF(AG$5=$C315,$E$5+$E315,0),2),2)&lt;=AJ315,ROUND(AI314+AH315-ROUND(AG$6+IF(AG$5=$C315,$E$5+$E315,0),2),2)*10&lt;=ROUND(AG$6+IF(AG$5=$C315,$E$5+$E315,0),2)),ROUND(AI314+AH315,2),MIN(ROUND(AG$6+IF(AG$5=$C315,$E$5+$E315,0),2),ROUND(AI314+AH315,2))),0)</f>
        <v>0</v>
      </c>
      <c r="AH315" s="24">
        <f>IF(AI314&gt;0,ROUND(ROUND(AI314*100,0)*ROUND(AG$7*10000,0)/12000000,0)/100,0)</f>
        <v>0</v>
      </c>
      <c r="AI315" s="24">
        <f>IF(AI314&gt;0,ROUND(AI314+AH315-AG315,2),0)</f>
        <v>0</v>
      </c>
      <c r="AJ315" s="24">
        <f>IF(AI314&gt;0,ROUND(AJ314+ROUND(ROUND(AJ314*100,0)*ROUND(AG$7*10000,0)/12000000,0)/100+0.02,2),0)</f>
        <v>0</v>
      </c>
      <c r="AK315" s="24">
        <f>IF(AM314&gt;0,IF(AND(ROUND(AM314+AL315-ROUND(AK$6+IF(AK$5=$C315,$E$5+$E315,0),2),2)&gt;0,ROUND(AM314+AL315-ROUND(AK$6+IF(AK$5=$C315,$E$5+$E315,0),2),2)&lt;=AN315,ROUND(AM314+AL315-ROUND(AK$6+IF(AK$5=$C315,$E$5+$E315,0),2),2)*10&lt;=ROUND(AK$6+IF(AK$5=$C315,$E$5+$E315,0),2)),ROUND(AM314+AL315,2),MIN(ROUND(AK$6+IF(AK$5=$C315,$E$5+$E315,0),2),ROUND(AM314+AL315,2))),0)</f>
        <v>0</v>
      </c>
      <c r="AL315" s="24">
        <f>IF(AM314&gt;0,ROUND(ROUND(AM314*100,0)*ROUND(AK$7*10000,0)/12000000,0)/100,0)</f>
        <v>0</v>
      </c>
      <c r="AM315" s="24">
        <f>IF(AM314&gt;0,ROUND(AM314+AL315-AK315,2),0)</f>
        <v>0</v>
      </c>
      <c r="AN315" s="24">
        <f>IF(AM314&gt;0,ROUND(AN314+ROUND(ROUND(AN314*100,0)*ROUND(AK$7*10000,0)/12000000,0)/100+0.02,2),0)</f>
        <v>0</v>
      </c>
      <c r="AO315" s="24">
        <f>IF(AQ314&gt;0,IF(AND(ROUND(AQ314+AP315-ROUND(AO$6+IF(AO$5=$C315,$E$5+$E315,0),2),2)&gt;0,ROUND(AQ314+AP315-ROUND(AO$6+IF(AO$5=$C315,$E$5+$E315,0),2),2)&lt;=AR315,ROUND(AQ314+AP315-ROUND(AO$6+IF(AO$5=$C315,$E$5+$E315,0),2),2)*10&lt;=ROUND(AO$6+IF(AO$5=$C315,$E$5+$E315,0),2)),ROUND(AQ314+AP315,2),MIN(ROUND(AO$6+IF(AO$5=$C315,$E$5+$E315,0),2),ROUND(AQ314+AP315,2))),0)</f>
        <v>0</v>
      </c>
      <c r="AP315" s="24">
        <f>IF(AQ314&gt;0,ROUND(ROUND(AQ314*100,0)*ROUND(AO$7*10000,0)/12000000,0)/100,0)</f>
        <v>0</v>
      </c>
      <c r="AQ315" s="24">
        <f>IF(AQ314&gt;0,ROUND(AQ314+AP315-AO315,2),0)</f>
        <v>0</v>
      </c>
      <c r="AR315" s="24">
        <f>IF(AQ314&gt;0,ROUND(AR314+ROUND(ROUND(AR314*100,0)*ROUND(AO$7*10000,0)/12000000,0)/100+0.02,2),0)</f>
        <v>0</v>
      </c>
      <c r="AS315" s="24">
        <f>IF(AU314&gt;0,IF(AND(ROUND(AU314+AT315-ROUND(AS$6+IF(AS$5=$C315,$E$5+$E315,0),2),2)&gt;0,ROUND(AU314+AT315-ROUND(AS$6+IF(AS$5=$C315,$E$5+$E315,0),2),2)&lt;=AV315,ROUND(AU314+AT315-ROUND(AS$6+IF(AS$5=$C315,$E$5+$E315,0),2),2)*10&lt;=ROUND(AS$6+IF(AS$5=$C315,$E$5+$E315,0),2)),ROUND(AU314+AT315,2),MIN(ROUND(AS$6+IF(AS$5=$C315,$E$5+$E315,0),2),ROUND(AU314+AT315,2))),0)</f>
        <v>0</v>
      </c>
      <c r="AT315" s="24">
        <f>IF(AU314&gt;0,ROUND(ROUND(AU314*100,0)*ROUND(AS$7*10000,0)/12000000,0)/100,0)</f>
        <v>0</v>
      </c>
      <c r="AU315" s="24">
        <f>IF(AU314&gt;0,ROUND(AU314+AT315-AS315,2),0)</f>
        <v>0</v>
      </c>
      <c r="AV315" s="24">
        <f>IF(AU314&gt;0,ROUND(AV314+ROUND(ROUND(AV314*100,0)*ROUND(AS$7*10000,0)/12000000,0)/100+0.02,2),0)</f>
        <v>0</v>
      </c>
    </row>
    <row r="316" spans="1:48" x14ac:dyDescent="0.25">
      <c r="A316" s="17" t="str">
        <f>IF(F316&gt;0,306,"")</f>
        <v/>
      </c>
      <c r="B316" s="18" t="str">
        <f>IF(F316&gt;0,EDATE($E$6,306),"")</f>
        <v/>
      </c>
      <c r="C316" s="21">
        <f>IF(H315&gt;0,MIN(IF(K315&gt;0,I$5,99),IF(O315&gt;0,M$5,99),IF(S315&gt;0,Q$5,99),IF(W315&gt;0,U$5,99),IF(AA315&gt;0,Y$5,99),IF(AE315&gt;0,AC$5,99),IF(AI315&gt;0,AG$5,99),IF(AM315&gt;0,AK$5,99),IF(AQ315&gt;0,AO$5,99),IF(AU315&gt;0,AS$5,99)),0)</f>
        <v>0</v>
      </c>
      <c r="D316" t="str">
        <f>IF(C316&gt;0,INDEX($I$4:$AV$4,1,MATCH(C316,$I$5:$AV$5,0)),"")</f>
        <v/>
      </c>
      <c r="E316" s="24">
        <f>ROUND(IF(AND(I$8&gt;0,K315=0),I$6,0)+IF(AND(M$8&gt;0,O315=0),M$6,0)+IF(AND(Q$8&gt;0,S315=0),Q$6,0)+IF(AND(U$8&gt;0,W315=0),U$6,0)+IF(AND(Y$8&gt;0,AA315=0),Y$6,0)+IF(AND(AC$8&gt;0,AE315=0),AC$6,0)+IF(AND(AG$8&gt;0,AI315=0),AG$6,0)+IF(AND(AK$8&gt;0,AM315=0),AK$6,0)+IF(AND(AO$8&gt;0,AQ315=0),AO$6,0)+IF(AND(AS$8&gt;0,AU315=0),AS$6,0),2)</f>
        <v>325</v>
      </c>
      <c r="F316" s="24">
        <f>ROUND(I316+M316+Q316+U316+Y316+AC316+AG316+AK316+AO316+AS316,2)</f>
        <v>0</v>
      </c>
      <c r="G316" s="24">
        <f>ROUND(J316+N316+R316+V316+Z316+AD316+AH316+AL316+AP316+AT316,2)</f>
        <v>0</v>
      </c>
      <c r="H316" s="24">
        <f>ROUND(K316+O316+S316+W316+AA316+AE316+AI316+AM316+AQ316+AU316,2)</f>
        <v>0</v>
      </c>
      <c r="I316" s="24">
        <f>IF(K315&gt;0,IF(AND(ROUND(K315+J316-ROUND(I$6+IF(I$5=$C316,$E$5+$E316,0),2),2)&gt;0,ROUND(K315+J316-ROUND(I$6+IF(I$5=$C316,$E$5+$E316,0),2),2)&lt;=L316,ROUND(K315+J316-ROUND(I$6+IF(I$5=$C316,$E$5+$E316,0),2),2)*10&lt;=ROUND(I$6+IF(I$5=$C316,$E$5+$E316,0),2)),ROUND(K315+J316,2),MIN(ROUND(I$6+IF(I$5=$C316,$E$5+$E316,0),2),ROUND(K315+J316,2))),0)</f>
        <v>0</v>
      </c>
      <c r="J316" s="24">
        <f>IF(K315&gt;0,ROUND(ROUND(K315*100,0)*ROUND(I$7*10000,0)/12000000,0)/100,0)</f>
        <v>0</v>
      </c>
      <c r="K316" s="24">
        <f>IF(K315&gt;0,ROUND(K315+J316-I316,2),0)</f>
        <v>0</v>
      </c>
      <c r="L316" s="24">
        <f>IF(K315&gt;0,ROUND(L315+ROUND(ROUND(L315*100,0)*ROUND(I$7*10000,0)/12000000,0)/100+0.02,2),0)</f>
        <v>0</v>
      </c>
      <c r="M316" s="24">
        <f>IF(O315&gt;0,IF(AND(ROUND(O315+N316-ROUND(M$6+IF(M$5=$C316,$E$5+$E316,0),2),2)&gt;0,ROUND(O315+N316-ROUND(M$6+IF(M$5=$C316,$E$5+$E316,0),2),2)&lt;=P316,ROUND(O315+N316-ROUND(M$6+IF(M$5=$C316,$E$5+$E316,0),2),2)*10&lt;=ROUND(M$6+IF(M$5=$C316,$E$5+$E316,0),2)),ROUND(O315+N316,2),MIN(ROUND(M$6+IF(M$5=$C316,$E$5+$E316,0),2),ROUND(O315+N316,2))),0)</f>
        <v>0</v>
      </c>
      <c r="N316" s="24">
        <f>IF(O315&gt;0,ROUND(ROUND(O315*100,0)*ROUND(M$7*10000,0)/12000000,0)/100,0)</f>
        <v>0</v>
      </c>
      <c r="O316" s="24">
        <f>IF(O315&gt;0,ROUND(O315+N316-M316,2),0)</f>
        <v>0</v>
      </c>
      <c r="P316" s="24">
        <f>IF(O315&gt;0,ROUND(P315+ROUND(ROUND(P315*100,0)*ROUND(M$7*10000,0)/12000000,0)/100+0.02,2),0)</f>
        <v>0</v>
      </c>
      <c r="Q316" s="24">
        <f>IF(S315&gt;0,IF(AND(ROUND(S315+R316-ROUND(Q$6+IF(Q$5=$C316,$E$5+$E316,0),2),2)&gt;0,ROUND(S315+R316-ROUND(Q$6+IF(Q$5=$C316,$E$5+$E316,0),2),2)&lt;=T316,ROUND(S315+R316-ROUND(Q$6+IF(Q$5=$C316,$E$5+$E316,0),2),2)*10&lt;=ROUND(Q$6+IF(Q$5=$C316,$E$5+$E316,0),2)),ROUND(S315+R316,2),MIN(ROUND(Q$6+IF(Q$5=$C316,$E$5+$E316,0),2),ROUND(S315+R316,2))),0)</f>
        <v>0</v>
      </c>
      <c r="R316" s="24">
        <f>IF(S315&gt;0,ROUND(ROUND(S315*100,0)*ROUND(Q$7*10000,0)/12000000,0)/100,0)</f>
        <v>0</v>
      </c>
      <c r="S316" s="24">
        <f>IF(S315&gt;0,ROUND(S315+R316-Q316,2),0)</f>
        <v>0</v>
      </c>
      <c r="T316" s="24">
        <f>IF(S315&gt;0,ROUND(T315+ROUND(ROUND(T315*100,0)*ROUND(Q$7*10000,0)/12000000,0)/100+0.02,2),0)</f>
        <v>0</v>
      </c>
      <c r="U316" s="24">
        <f>IF(W315&gt;0,IF(AND(ROUND(W315+V316-ROUND(U$6+IF(U$5=$C316,$E$5+$E316,0),2),2)&gt;0,ROUND(W315+V316-ROUND(U$6+IF(U$5=$C316,$E$5+$E316,0),2),2)&lt;=X316,ROUND(W315+V316-ROUND(U$6+IF(U$5=$C316,$E$5+$E316,0),2),2)*10&lt;=ROUND(U$6+IF(U$5=$C316,$E$5+$E316,0),2)),ROUND(W315+V316,2),MIN(ROUND(U$6+IF(U$5=$C316,$E$5+$E316,0),2),ROUND(W315+V316,2))),0)</f>
        <v>0</v>
      </c>
      <c r="V316" s="24">
        <f>IF(W315&gt;0,ROUND(ROUND(W315*100,0)*ROUND(U$7*10000,0)/12000000,0)/100,0)</f>
        <v>0</v>
      </c>
      <c r="W316" s="24">
        <f>IF(W315&gt;0,ROUND(W315+V316-U316,2),0)</f>
        <v>0</v>
      </c>
      <c r="X316" s="24">
        <f>IF(W315&gt;0,ROUND(X315+ROUND(ROUND(X315*100,0)*ROUND(U$7*10000,0)/12000000,0)/100+0.02,2),0)</f>
        <v>0</v>
      </c>
      <c r="Y316" s="24">
        <f>IF(AA315&gt;0,IF(AND(ROUND(AA315+Z316-ROUND(Y$6+IF(Y$5=$C316,$E$5+$E316,0),2),2)&gt;0,ROUND(AA315+Z316-ROUND(Y$6+IF(Y$5=$C316,$E$5+$E316,0),2),2)&lt;=AB316,ROUND(AA315+Z316-ROUND(Y$6+IF(Y$5=$C316,$E$5+$E316,0),2),2)*10&lt;=ROUND(Y$6+IF(Y$5=$C316,$E$5+$E316,0),2)),ROUND(AA315+Z316,2),MIN(ROUND(Y$6+IF(Y$5=$C316,$E$5+$E316,0),2),ROUND(AA315+Z316,2))),0)</f>
        <v>0</v>
      </c>
      <c r="Z316" s="24">
        <f>IF(AA315&gt;0,ROUND(ROUND(AA315*100,0)*ROUND(Y$7*10000,0)/12000000,0)/100,0)</f>
        <v>0</v>
      </c>
      <c r="AA316" s="24">
        <f>IF(AA315&gt;0,ROUND(AA315+Z316-Y316,2),0)</f>
        <v>0</v>
      </c>
      <c r="AB316" s="24">
        <f>IF(AA315&gt;0,ROUND(AB315+ROUND(ROUND(AB315*100,0)*ROUND(Y$7*10000,0)/12000000,0)/100+0.02,2),0)</f>
        <v>0</v>
      </c>
      <c r="AC316" s="24">
        <f>IF(AE315&gt;0,IF(AND(ROUND(AE315+AD316-ROUND(AC$6+IF(AC$5=$C316,$E$5+$E316,0),2),2)&gt;0,ROUND(AE315+AD316-ROUND(AC$6+IF(AC$5=$C316,$E$5+$E316,0),2),2)&lt;=AF316,ROUND(AE315+AD316-ROUND(AC$6+IF(AC$5=$C316,$E$5+$E316,0),2),2)*10&lt;=ROUND(AC$6+IF(AC$5=$C316,$E$5+$E316,0),2)),ROUND(AE315+AD316,2),MIN(ROUND(AC$6+IF(AC$5=$C316,$E$5+$E316,0),2),ROUND(AE315+AD316,2))),0)</f>
        <v>0</v>
      </c>
      <c r="AD316" s="24">
        <f>IF(AE315&gt;0,ROUND(ROUND(AE315*100,0)*ROUND(AC$7*10000,0)/12000000,0)/100,0)</f>
        <v>0</v>
      </c>
      <c r="AE316" s="24">
        <f>IF(AE315&gt;0,ROUND(AE315+AD316-AC316,2),0)</f>
        <v>0</v>
      </c>
      <c r="AF316" s="24">
        <f>IF(AE315&gt;0,ROUND(AF315+ROUND(ROUND(AF315*100,0)*ROUND(AC$7*10000,0)/12000000,0)/100+0.02,2),0)</f>
        <v>0</v>
      </c>
      <c r="AG316" s="24">
        <f>IF(AI315&gt;0,IF(AND(ROUND(AI315+AH316-ROUND(AG$6+IF(AG$5=$C316,$E$5+$E316,0),2),2)&gt;0,ROUND(AI315+AH316-ROUND(AG$6+IF(AG$5=$C316,$E$5+$E316,0),2),2)&lt;=AJ316,ROUND(AI315+AH316-ROUND(AG$6+IF(AG$5=$C316,$E$5+$E316,0),2),2)*10&lt;=ROUND(AG$6+IF(AG$5=$C316,$E$5+$E316,0),2)),ROUND(AI315+AH316,2),MIN(ROUND(AG$6+IF(AG$5=$C316,$E$5+$E316,0),2),ROUND(AI315+AH316,2))),0)</f>
        <v>0</v>
      </c>
      <c r="AH316" s="24">
        <f>IF(AI315&gt;0,ROUND(ROUND(AI315*100,0)*ROUND(AG$7*10000,0)/12000000,0)/100,0)</f>
        <v>0</v>
      </c>
      <c r="AI316" s="24">
        <f>IF(AI315&gt;0,ROUND(AI315+AH316-AG316,2),0)</f>
        <v>0</v>
      </c>
      <c r="AJ316" s="24">
        <f>IF(AI315&gt;0,ROUND(AJ315+ROUND(ROUND(AJ315*100,0)*ROUND(AG$7*10000,0)/12000000,0)/100+0.02,2),0)</f>
        <v>0</v>
      </c>
      <c r="AK316" s="24">
        <f>IF(AM315&gt;0,IF(AND(ROUND(AM315+AL316-ROUND(AK$6+IF(AK$5=$C316,$E$5+$E316,0),2),2)&gt;0,ROUND(AM315+AL316-ROUND(AK$6+IF(AK$5=$C316,$E$5+$E316,0),2),2)&lt;=AN316,ROUND(AM315+AL316-ROUND(AK$6+IF(AK$5=$C316,$E$5+$E316,0),2),2)*10&lt;=ROUND(AK$6+IF(AK$5=$C316,$E$5+$E316,0),2)),ROUND(AM315+AL316,2),MIN(ROUND(AK$6+IF(AK$5=$C316,$E$5+$E316,0),2),ROUND(AM315+AL316,2))),0)</f>
        <v>0</v>
      </c>
      <c r="AL316" s="24">
        <f>IF(AM315&gt;0,ROUND(ROUND(AM315*100,0)*ROUND(AK$7*10000,0)/12000000,0)/100,0)</f>
        <v>0</v>
      </c>
      <c r="AM316" s="24">
        <f>IF(AM315&gt;0,ROUND(AM315+AL316-AK316,2),0)</f>
        <v>0</v>
      </c>
      <c r="AN316" s="24">
        <f>IF(AM315&gt;0,ROUND(AN315+ROUND(ROUND(AN315*100,0)*ROUND(AK$7*10000,0)/12000000,0)/100+0.02,2),0)</f>
        <v>0</v>
      </c>
      <c r="AO316" s="24">
        <f>IF(AQ315&gt;0,IF(AND(ROUND(AQ315+AP316-ROUND(AO$6+IF(AO$5=$C316,$E$5+$E316,0),2),2)&gt;0,ROUND(AQ315+AP316-ROUND(AO$6+IF(AO$5=$C316,$E$5+$E316,0),2),2)&lt;=AR316,ROUND(AQ315+AP316-ROUND(AO$6+IF(AO$5=$C316,$E$5+$E316,0),2),2)*10&lt;=ROUND(AO$6+IF(AO$5=$C316,$E$5+$E316,0),2)),ROUND(AQ315+AP316,2),MIN(ROUND(AO$6+IF(AO$5=$C316,$E$5+$E316,0),2),ROUND(AQ315+AP316,2))),0)</f>
        <v>0</v>
      </c>
      <c r="AP316" s="24">
        <f>IF(AQ315&gt;0,ROUND(ROUND(AQ315*100,0)*ROUND(AO$7*10000,0)/12000000,0)/100,0)</f>
        <v>0</v>
      </c>
      <c r="AQ316" s="24">
        <f>IF(AQ315&gt;0,ROUND(AQ315+AP316-AO316,2),0)</f>
        <v>0</v>
      </c>
      <c r="AR316" s="24">
        <f>IF(AQ315&gt;0,ROUND(AR315+ROUND(ROUND(AR315*100,0)*ROUND(AO$7*10000,0)/12000000,0)/100+0.02,2),0)</f>
        <v>0</v>
      </c>
      <c r="AS316" s="24">
        <f>IF(AU315&gt;0,IF(AND(ROUND(AU315+AT316-ROUND(AS$6+IF(AS$5=$C316,$E$5+$E316,0),2),2)&gt;0,ROUND(AU315+AT316-ROUND(AS$6+IF(AS$5=$C316,$E$5+$E316,0),2),2)&lt;=AV316,ROUND(AU315+AT316-ROUND(AS$6+IF(AS$5=$C316,$E$5+$E316,0),2),2)*10&lt;=ROUND(AS$6+IF(AS$5=$C316,$E$5+$E316,0),2)),ROUND(AU315+AT316,2),MIN(ROUND(AS$6+IF(AS$5=$C316,$E$5+$E316,0),2),ROUND(AU315+AT316,2))),0)</f>
        <v>0</v>
      </c>
      <c r="AT316" s="24">
        <f>IF(AU315&gt;0,ROUND(ROUND(AU315*100,0)*ROUND(AS$7*10000,0)/12000000,0)/100,0)</f>
        <v>0</v>
      </c>
      <c r="AU316" s="24">
        <f>IF(AU315&gt;0,ROUND(AU315+AT316-AS316,2),0)</f>
        <v>0</v>
      </c>
      <c r="AV316" s="24">
        <f>IF(AU315&gt;0,ROUND(AV315+ROUND(ROUND(AV315*100,0)*ROUND(AS$7*10000,0)/12000000,0)/100+0.02,2),0)</f>
        <v>0</v>
      </c>
    </row>
    <row r="317" spans="1:48" x14ac:dyDescent="0.25">
      <c r="A317" s="17" t="str">
        <f>IF(F317&gt;0,307,"")</f>
        <v/>
      </c>
      <c r="B317" s="18" t="str">
        <f>IF(F317&gt;0,EDATE($E$6,307),"")</f>
        <v/>
      </c>
      <c r="C317" s="21">
        <f>IF(H316&gt;0,MIN(IF(K316&gt;0,I$5,99),IF(O316&gt;0,M$5,99),IF(S316&gt;0,Q$5,99),IF(W316&gt;0,U$5,99),IF(AA316&gt;0,Y$5,99),IF(AE316&gt;0,AC$5,99),IF(AI316&gt;0,AG$5,99),IF(AM316&gt;0,AK$5,99),IF(AQ316&gt;0,AO$5,99),IF(AU316&gt;0,AS$5,99)),0)</f>
        <v>0</v>
      </c>
      <c r="D317" t="str">
        <f>IF(C317&gt;0,INDEX($I$4:$AV$4,1,MATCH(C317,$I$5:$AV$5,0)),"")</f>
        <v/>
      </c>
      <c r="E317" s="24">
        <f>ROUND(IF(AND(I$8&gt;0,K316=0),I$6,0)+IF(AND(M$8&gt;0,O316=0),M$6,0)+IF(AND(Q$8&gt;0,S316=0),Q$6,0)+IF(AND(U$8&gt;0,W316=0),U$6,0)+IF(AND(Y$8&gt;0,AA316=0),Y$6,0)+IF(AND(AC$8&gt;0,AE316=0),AC$6,0)+IF(AND(AG$8&gt;0,AI316=0),AG$6,0)+IF(AND(AK$8&gt;0,AM316=0),AK$6,0)+IF(AND(AO$8&gt;0,AQ316=0),AO$6,0)+IF(AND(AS$8&gt;0,AU316=0),AS$6,0),2)</f>
        <v>325</v>
      </c>
      <c r="F317" s="24">
        <f>ROUND(I317+M317+Q317+U317+Y317+AC317+AG317+AK317+AO317+AS317,2)</f>
        <v>0</v>
      </c>
      <c r="G317" s="24">
        <f>ROUND(J317+N317+R317+V317+Z317+AD317+AH317+AL317+AP317+AT317,2)</f>
        <v>0</v>
      </c>
      <c r="H317" s="24">
        <f>ROUND(K317+O317+S317+W317+AA317+AE317+AI317+AM317+AQ317+AU317,2)</f>
        <v>0</v>
      </c>
      <c r="I317" s="24">
        <f>IF(K316&gt;0,IF(AND(ROUND(K316+J317-ROUND(I$6+IF(I$5=$C317,$E$5+$E317,0),2),2)&gt;0,ROUND(K316+J317-ROUND(I$6+IF(I$5=$C317,$E$5+$E317,0),2),2)&lt;=L317,ROUND(K316+J317-ROUND(I$6+IF(I$5=$C317,$E$5+$E317,0),2),2)*10&lt;=ROUND(I$6+IF(I$5=$C317,$E$5+$E317,0),2)),ROUND(K316+J317,2),MIN(ROUND(I$6+IF(I$5=$C317,$E$5+$E317,0),2),ROUND(K316+J317,2))),0)</f>
        <v>0</v>
      </c>
      <c r="J317" s="24">
        <f>IF(K316&gt;0,ROUND(ROUND(K316*100,0)*ROUND(I$7*10000,0)/12000000,0)/100,0)</f>
        <v>0</v>
      </c>
      <c r="K317" s="24">
        <f>IF(K316&gt;0,ROUND(K316+J317-I317,2),0)</f>
        <v>0</v>
      </c>
      <c r="L317" s="24">
        <f>IF(K316&gt;0,ROUND(L316+ROUND(ROUND(L316*100,0)*ROUND(I$7*10000,0)/12000000,0)/100+0.02,2),0)</f>
        <v>0</v>
      </c>
      <c r="M317" s="24">
        <f>IF(O316&gt;0,IF(AND(ROUND(O316+N317-ROUND(M$6+IF(M$5=$C317,$E$5+$E317,0),2),2)&gt;0,ROUND(O316+N317-ROUND(M$6+IF(M$5=$C317,$E$5+$E317,0),2),2)&lt;=P317,ROUND(O316+N317-ROUND(M$6+IF(M$5=$C317,$E$5+$E317,0),2),2)*10&lt;=ROUND(M$6+IF(M$5=$C317,$E$5+$E317,0),2)),ROUND(O316+N317,2),MIN(ROUND(M$6+IF(M$5=$C317,$E$5+$E317,0),2),ROUND(O316+N317,2))),0)</f>
        <v>0</v>
      </c>
      <c r="N317" s="24">
        <f>IF(O316&gt;0,ROUND(ROUND(O316*100,0)*ROUND(M$7*10000,0)/12000000,0)/100,0)</f>
        <v>0</v>
      </c>
      <c r="O317" s="24">
        <f>IF(O316&gt;0,ROUND(O316+N317-M317,2),0)</f>
        <v>0</v>
      </c>
      <c r="P317" s="24">
        <f>IF(O316&gt;0,ROUND(P316+ROUND(ROUND(P316*100,0)*ROUND(M$7*10000,0)/12000000,0)/100+0.02,2),0)</f>
        <v>0</v>
      </c>
      <c r="Q317" s="24">
        <f>IF(S316&gt;0,IF(AND(ROUND(S316+R317-ROUND(Q$6+IF(Q$5=$C317,$E$5+$E317,0),2),2)&gt;0,ROUND(S316+R317-ROUND(Q$6+IF(Q$5=$C317,$E$5+$E317,0),2),2)&lt;=T317,ROUND(S316+R317-ROUND(Q$6+IF(Q$5=$C317,$E$5+$E317,0),2),2)*10&lt;=ROUND(Q$6+IF(Q$5=$C317,$E$5+$E317,0),2)),ROUND(S316+R317,2),MIN(ROUND(Q$6+IF(Q$5=$C317,$E$5+$E317,0),2),ROUND(S316+R317,2))),0)</f>
        <v>0</v>
      </c>
      <c r="R317" s="24">
        <f>IF(S316&gt;0,ROUND(ROUND(S316*100,0)*ROUND(Q$7*10000,0)/12000000,0)/100,0)</f>
        <v>0</v>
      </c>
      <c r="S317" s="24">
        <f>IF(S316&gt;0,ROUND(S316+R317-Q317,2),0)</f>
        <v>0</v>
      </c>
      <c r="T317" s="24">
        <f>IF(S316&gt;0,ROUND(T316+ROUND(ROUND(T316*100,0)*ROUND(Q$7*10000,0)/12000000,0)/100+0.02,2),0)</f>
        <v>0</v>
      </c>
      <c r="U317" s="24">
        <f>IF(W316&gt;0,IF(AND(ROUND(W316+V317-ROUND(U$6+IF(U$5=$C317,$E$5+$E317,0),2),2)&gt;0,ROUND(W316+V317-ROUND(U$6+IF(U$5=$C317,$E$5+$E317,0),2),2)&lt;=X317,ROUND(W316+V317-ROUND(U$6+IF(U$5=$C317,$E$5+$E317,0),2),2)*10&lt;=ROUND(U$6+IF(U$5=$C317,$E$5+$E317,0),2)),ROUND(W316+V317,2),MIN(ROUND(U$6+IF(U$5=$C317,$E$5+$E317,0),2),ROUND(W316+V317,2))),0)</f>
        <v>0</v>
      </c>
      <c r="V317" s="24">
        <f>IF(W316&gt;0,ROUND(ROUND(W316*100,0)*ROUND(U$7*10000,0)/12000000,0)/100,0)</f>
        <v>0</v>
      </c>
      <c r="W317" s="24">
        <f>IF(W316&gt;0,ROUND(W316+V317-U317,2),0)</f>
        <v>0</v>
      </c>
      <c r="X317" s="24">
        <f>IF(W316&gt;0,ROUND(X316+ROUND(ROUND(X316*100,0)*ROUND(U$7*10000,0)/12000000,0)/100+0.02,2),0)</f>
        <v>0</v>
      </c>
      <c r="Y317" s="24">
        <f>IF(AA316&gt;0,IF(AND(ROUND(AA316+Z317-ROUND(Y$6+IF(Y$5=$C317,$E$5+$E317,0),2),2)&gt;0,ROUND(AA316+Z317-ROUND(Y$6+IF(Y$5=$C317,$E$5+$E317,0),2),2)&lt;=AB317,ROUND(AA316+Z317-ROUND(Y$6+IF(Y$5=$C317,$E$5+$E317,0),2),2)*10&lt;=ROUND(Y$6+IF(Y$5=$C317,$E$5+$E317,0),2)),ROUND(AA316+Z317,2),MIN(ROUND(Y$6+IF(Y$5=$C317,$E$5+$E317,0),2),ROUND(AA316+Z317,2))),0)</f>
        <v>0</v>
      </c>
      <c r="Z317" s="24">
        <f>IF(AA316&gt;0,ROUND(ROUND(AA316*100,0)*ROUND(Y$7*10000,0)/12000000,0)/100,0)</f>
        <v>0</v>
      </c>
      <c r="AA317" s="24">
        <f>IF(AA316&gt;0,ROUND(AA316+Z317-Y317,2),0)</f>
        <v>0</v>
      </c>
      <c r="AB317" s="24">
        <f>IF(AA316&gt;0,ROUND(AB316+ROUND(ROUND(AB316*100,0)*ROUND(Y$7*10000,0)/12000000,0)/100+0.02,2),0)</f>
        <v>0</v>
      </c>
      <c r="AC317" s="24">
        <f>IF(AE316&gt;0,IF(AND(ROUND(AE316+AD317-ROUND(AC$6+IF(AC$5=$C317,$E$5+$E317,0),2),2)&gt;0,ROUND(AE316+AD317-ROUND(AC$6+IF(AC$5=$C317,$E$5+$E317,0),2),2)&lt;=AF317,ROUND(AE316+AD317-ROUND(AC$6+IF(AC$5=$C317,$E$5+$E317,0),2),2)*10&lt;=ROUND(AC$6+IF(AC$5=$C317,$E$5+$E317,0),2)),ROUND(AE316+AD317,2),MIN(ROUND(AC$6+IF(AC$5=$C317,$E$5+$E317,0),2),ROUND(AE316+AD317,2))),0)</f>
        <v>0</v>
      </c>
      <c r="AD317" s="24">
        <f>IF(AE316&gt;0,ROUND(ROUND(AE316*100,0)*ROUND(AC$7*10000,0)/12000000,0)/100,0)</f>
        <v>0</v>
      </c>
      <c r="AE317" s="24">
        <f>IF(AE316&gt;0,ROUND(AE316+AD317-AC317,2),0)</f>
        <v>0</v>
      </c>
      <c r="AF317" s="24">
        <f>IF(AE316&gt;0,ROUND(AF316+ROUND(ROUND(AF316*100,0)*ROUND(AC$7*10000,0)/12000000,0)/100+0.02,2),0)</f>
        <v>0</v>
      </c>
      <c r="AG317" s="24">
        <f>IF(AI316&gt;0,IF(AND(ROUND(AI316+AH317-ROUND(AG$6+IF(AG$5=$C317,$E$5+$E317,0),2),2)&gt;0,ROUND(AI316+AH317-ROUND(AG$6+IF(AG$5=$C317,$E$5+$E317,0),2),2)&lt;=AJ317,ROUND(AI316+AH317-ROUND(AG$6+IF(AG$5=$C317,$E$5+$E317,0),2),2)*10&lt;=ROUND(AG$6+IF(AG$5=$C317,$E$5+$E317,0),2)),ROUND(AI316+AH317,2),MIN(ROUND(AG$6+IF(AG$5=$C317,$E$5+$E317,0),2),ROUND(AI316+AH317,2))),0)</f>
        <v>0</v>
      </c>
      <c r="AH317" s="24">
        <f>IF(AI316&gt;0,ROUND(ROUND(AI316*100,0)*ROUND(AG$7*10000,0)/12000000,0)/100,0)</f>
        <v>0</v>
      </c>
      <c r="AI317" s="24">
        <f>IF(AI316&gt;0,ROUND(AI316+AH317-AG317,2),0)</f>
        <v>0</v>
      </c>
      <c r="AJ317" s="24">
        <f>IF(AI316&gt;0,ROUND(AJ316+ROUND(ROUND(AJ316*100,0)*ROUND(AG$7*10000,0)/12000000,0)/100+0.02,2),0)</f>
        <v>0</v>
      </c>
      <c r="AK317" s="24">
        <f>IF(AM316&gt;0,IF(AND(ROUND(AM316+AL317-ROUND(AK$6+IF(AK$5=$C317,$E$5+$E317,0),2),2)&gt;0,ROUND(AM316+AL317-ROUND(AK$6+IF(AK$5=$C317,$E$5+$E317,0),2),2)&lt;=AN317,ROUND(AM316+AL317-ROUND(AK$6+IF(AK$5=$C317,$E$5+$E317,0),2),2)*10&lt;=ROUND(AK$6+IF(AK$5=$C317,$E$5+$E317,0),2)),ROUND(AM316+AL317,2),MIN(ROUND(AK$6+IF(AK$5=$C317,$E$5+$E317,0),2),ROUND(AM316+AL317,2))),0)</f>
        <v>0</v>
      </c>
      <c r="AL317" s="24">
        <f>IF(AM316&gt;0,ROUND(ROUND(AM316*100,0)*ROUND(AK$7*10000,0)/12000000,0)/100,0)</f>
        <v>0</v>
      </c>
      <c r="AM317" s="24">
        <f>IF(AM316&gt;0,ROUND(AM316+AL317-AK317,2),0)</f>
        <v>0</v>
      </c>
      <c r="AN317" s="24">
        <f>IF(AM316&gt;0,ROUND(AN316+ROUND(ROUND(AN316*100,0)*ROUND(AK$7*10000,0)/12000000,0)/100+0.02,2),0)</f>
        <v>0</v>
      </c>
      <c r="AO317" s="24">
        <f>IF(AQ316&gt;0,IF(AND(ROUND(AQ316+AP317-ROUND(AO$6+IF(AO$5=$C317,$E$5+$E317,0),2),2)&gt;0,ROUND(AQ316+AP317-ROUND(AO$6+IF(AO$5=$C317,$E$5+$E317,0),2),2)&lt;=AR317,ROUND(AQ316+AP317-ROUND(AO$6+IF(AO$5=$C317,$E$5+$E317,0),2),2)*10&lt;=ROUND(AO$6+IF(AO$5=$C317,$E$5+$E317,0),2)),ROUND(AQ316+AP317,2),MIN(ROUND(AO$6+IF(AO$5=$C317,$E$5+$E317,0),2),ROUND(AQ316+AP317,2))),0)</f>
        <v>0</v>
      </c>
      <c r="AP317" s="24">
        <f>IF(AQ316&gt;0,ROUND(ROUND(AQ316*100,0)*ROUND(AO$7*10000,0)/12000000,0)/100,0)</f>
        <v>0</v>
      </c>
      <c r="AQ317" s="24">
        <f>IF(AQ316&gt;0,ROUND(AQ316+AP317-AO317,2),0)</f>
        <v>0</v>
      </c>
      <c r="AR317" s="24">
        <f>IF(AQ316&gt;0,ROUND(AR316+ROUND(ROUND(AR316*100,0)*ROUND(AO$7*10000,0)/12000000,0)/100+0.02,2),0)</f>
        <v>0</v>
      </c>
      <c r="AS317" s="24">
        <f>IF(AU316&gt;0,IF(AND(ROUND(AU316+AT317-ROUND(AS$6+IF(AS$5=$C317,$E$5+$E317,0),2),2)&gt;0,ROUND(AU316+AT317-ROUND(AS$6+IF(AS$5=$C317,$E$5+$E317,0),2),2)&lt;=AV317,ROUND(AU316+AT317-ROUND(AS$6+IF(AS$5=$C317,$E$5+$E317,0),2),2)*10&lt;=ROUND(AS$6+IF(AS$5=$C317,$E$5+$E317,0),2)),ROUND(AU316+AT317,2),MIN(ROUND(AS$6+IF(AS$5=$C317,$E$5+$E317,0),2),ROUND(AU316+AT317,2))),0)</f>
        <v>0</v>
      </c>
      <c r="AT317" s="24">
        <f>IF(AU316&gt;0,ROUND(ROUND(AU316*100,0)*ROUND(AS$7*10000,0)/12000000,0)/100,0)</f>
        <v>0</v>
      </c>
      <c r="AU317" s="24">
        <f>IF(AU316&gt;0,ROUND(AU316+AT317-AS317,2),0)</f>
        <v>0</v>
      </c>
      <c r="AV317" s="24">
        <f>IF(AU316&gt;0,ROUND(AV316+ROUND(ROUND(AV316*100,0)*ROUND(AS$7*10000,0)/12000000,0)/100+0.02,2),0)</f>
        <v>0</v>
      </c>
    </row>
    <row r="318" spans="1:48" x14ac:dyDescent="0.25">
      <c r="A318" s="17" t="str">
        <f>IF(F318&gt;0,308,"")</f>
        <v/>
      </c>
      <c r="B318" s="18" t="str">
        <f>IF(F318&gt;0,EDATE($E$6,308),"")</f>
        <v/>
      </c>
      <c r="C318" s="21">
        <f>IF(H317&gt;0,MIN(IF(K317&gt;0,I$5,99),IF(O317&gt;0,M$5,99),IF(S317&gt;0,Q$5,99),IF(W317&gt;0,U$5,99),IF(AA317&gt;0,Y$5,99),IF(AE317&gt;0,AC$5,99),IF(AI317&gt;0,AG$5,99),IF(AM317&gt;0,AK$5,99),IF(AQ317&gt;0,AO$5,99),IF(AU317&gt;0,AS$5,99)),0)</f>
        <v>0</v>
      </c>
      <c r="D318" t="str">
        <f>IF(C318&gt;0,INDEX($I$4:$AV$4,1,MATCH(C318,$I$5:$AV$5,0)),"")</f>
        <v/>
      </c>
      <c r="E318" s="24">
        <f>ROUND(IF(AND(I$8&gt;0,K317=0),I$6,0)+IF(AND(M$8&gt;0,O317=0),M$6,0)+IF(AND(Q$8&gt;0,S317=0),Q$6,0)+IF(AND(U$8&gt;0,W317=0),U$6,0)+IF(AND(Y$8&gt;0,AA317=0),Y$6,0)+IF(AND(AC$8&gt;0,AE317=0),AC$6,0)+IF(AND(AG$8&gt;0,AI317=0),AG$6,0)+IF(AND(AK$8&gt;0,AM317=0),AK$6,0)+IF(AND(AO$8&gt;0,AQ317=0),AO$6,0)+IF(AND(AS$8&gt;0,AU317=0),AS$6,0),2)</f>
        <v>325</v>
      </c>
      <c r="F318" s="24">
        <f>ROUND(I318+M318+Q318+U318+Y318+AC318+AG318+AK318+AO318+AS318,2)</f>
        <v>0</v>
      </c>
      <c r="G318" s="24">
        <f>ROUND(J318+N318+R318+V318+Z318+AD318+AH318+AL318+AP318+AT318,2)</f>
        <v>0</v>
      </c>
      <c r="H318" s="24">
        <f>ROUND(K318+O318+S318+W318+AA318+AE318+AI318+AM318+AQ318+AU318,2)</f>
        <v>0</v>
      </c>
      <c r="I318" s="24">
        <f>IF(K317&gt;0,IF(AND(ROUND(K317+J318-ROUND(I$6+IF(I$5=$C318,$E$5+$E318,0),2),2)&gt;0,ROUND(K317+J318-ROUND(I$6+IF(I$5=$C318,$E$5+$E318,0),2),2)&lt;=L318,ROUND(K317+J318-ROUND(I$6+IF(I$5=$C318,$E$5+$E318,0),2),2)*10&lt;=ROUND(I$6+IF(I$5=$C318,$E$5+$E318,0),2)),ROUND(K317+J318,2),MIN(ROUND(I$6+IF(I$5=$C318,$E$5+$E318,0),2),ROUND(K317+J318,2))),0)</f>
        <v>0</v>
      </c>
      <c r="J318" s="24">
        <f>IF(K317&gt;0,ROUND(ROUND(K317*100,0)*ROUND(I$7*10000,0)/12000000,0)/100,0)</f>
        <v>0</v>
      </c>
      <c r="K318" s="24">
        <f>IF(K317&gt;0,ROUND(K317+J318-I318,2),0)</f>
        <v>0</v>
      </c>
      <c r="L318" s="24">
        <f>IF(K317&gt;0,ROUND(L317+ROUND(ROUND(L317*100,0)*ROUND(I$7*10000,0)/12000000,0)/100+0.02,2),0)</f>
        <v>0</v>
      </c>
      <c r="M318" s="24">
        <f>IF(O317&gt;0,IF(AND(ROUND(O317+N318-ROUND(M$6+IF(M$5=$C318,$E$5+$E318,0),2),2)&gt;0,ROUND(O317+N318-ROUND(M$6+IF(M$5=$C318,$E$5+$E318,0),2),2)&lt;=P318,ROUND(O317+N318-ROUND(M$6+IF(M$5=$C318,$E$5+$E318,0),2),2)*10&lt;=ROUND(M$6+IF(M$5=$C318,$E$5+$E318,0),2)),ROUND(O317+N318,2),MIN(ROUND(M$6+IF(M$5=$C318,$E$5+$E318,0),2),ROUND(O317+N318,2))),0)</f>
        <v>0</v>
      </c>
      <c r="N318" s="24">
        <f>IF(O317&gt;0,ROUND(ROUND(O317*100,0)*ROUND(M$7*10000,0)/12000000,0)/100,0)</f>
        <v>0</v>
      </c>
      <c r="O318" s="24">
        <f>IF(O317&gt;0,ROUND(O317+N318-M318,2),0)</f>
        <v>0</v>
      </c>
      <c r="P318" s="24">
        <f>IF(O317&gt;0,ROUND(P317+ROUND(ROUND(P317*100,0)*ROUND(M$7*10000,0)/12000000,0)/100+0.02,2),0)</f>
        <v>0</v>
      </c>
      <c r="Q318" s="24">
        <f>IF(S317&gt;0,IF(AND(ROUND(S317+R318-ROUND(Q$6+IF(Q$5=$C318,$E$5+$E318,0),2),2)&gt;0,ROUND(S317+R318-ROUND(Q$6+IF(Q$5=$C318,$E$5+$E318,0),2),2)&lt;=T318,ROUND(S317+R318-ROUND(Q$6+IF(Q$5=$C318,$E$5+$E318,0),2),2)*10&lt;=ROUND(Q$6+IF(Q$5=$C318,$E$5+$E318,0),2)),ROUND(S317+R318,2),MIN(ROUND(Q$6+IF(Q$5=$C318,$E$5+$E318,0),2),ROUND(S317+R318,2))),0)</f>
        <v>0</v>
      </c>
      <c r="R318" s="24">
        <f>IF(S317&gt;0,ROUND(ROUND(S317*100,0)*ROUND(Q$7*10000,0)/12000000,0)/100,0)</f>
        <v>0</v>
      </c>
      <c r="S318" s="24">
        <f>IF(S317&gt;0,ROUND(S317+R318-Q318,2),0)</f>
        <v>0</v>
      </c>
      <c r="T318" s="24">
        <f>IF(S317&gt;0,ROUND(T317+ROUND(ROUND(T317*100,0)*ROUND(Q$7*10000,0)/12000000,0)/100+0.02,2),0)</f>
        <v>0</v>
      </c>
      <c r="U318" s="24">
        <f>IF(W317&gt;0,IF(AND(ROUND(W317+V318-ROUND(U$6+IF(U$5=$C318,$E$5+$E318,0),2),2)&gt;0,ROUND(W317+V318-ROUND(U$6+IF(U$5=$C318,$E$5+$E318,0),2),2)&lt;=X318,ROUND(W317+V318-ROUND(U$6+IF(U$5=$C318,$E$5+$E318,0),2),2)*10&lt;=ROUND(U$6+IF(U$5=$C318,$E$5+$E318,0),2)),ROUND(W317+V318,2),MIN(ROUND(U$6+IF(U$5=$C318,$E$5+$E318,0),2),ROUND(W317+V318,2))),0)</f>
        <v>0</v>
      </c>
      <c r="V318" s="24">
        <f>IF(W317&gt;0,ROUND(ROUND(W317*100,0)*ROUND(U$7*10000,0)/12000000,0)/100,0)</f>
        <v>0</v>
      </c>
      <c r="W318" s="24">
        <f>IF(W317&gt;0,ROUND(W317+V318-U318,2),0)</f>
        <v>0</v>
      </c>
      <c r="X318" s="24">
        <f>IF(W317&gt;0,ROUND(X317+ROUND(ROUND(X317*100,0)*ROUND(U$7*10000,0)/12000000,0)/100+0.02,2),0)</f>
        <v>0</v>
      </c>
      <c r="Y318" s="24">
        <f>IF(AA317&gt;0,IF(AND(ROUND(AA317+Z318-ROUND(Y$6+IF(Y$5=$C318,$E$5+$E318,0),2),2)&gt;0,ROUND(AA317+Z318-ROUND(Y$6+IF(Y$5=$C318,$E$5+$E318,0),2),2)&lt;=AB318,ROUND(AA317+Z318-ROUND(Y$6+IF(Y$5=$C318,$E$5+$E318,0),2),2)*10&lt;=ROUND(Y$6+IF(Y$5=$C318,$E$5+$E318,0),2)),ROUND(AA317+Z318,2),MIN(ROUND(Y$6+IF(Y$5=$C318,$E$5+$E318,0),2),ROUND(AA317+Z318,2))),0)</f>
        <v>0</v>
      </c>
      <c r="Z318" s="24">
        <f>IF(AA317&gt;0,ROUND(ROUND(AA317*100,0)*ROUND(Y$7*10000,0)/12000000,0)/100,0)</f>
        <v>0</v>
      </c>
      <c r="AA318" s="24">
        <f>IF(AA317&gt;0,ROUND(AA317+Z318-Y318,2),0)</f>
        <v>0</v>
      </c>
      <c r="AB318" s="24">
        <f>IF(AA317&gt;0,ROUND(AB317+ROUND(ROUND(AB317*100,0)*ROUND(Y$7*10000,0)/12000000,0)/100+0.02,2),0)</f>
        <v>0</v>
      </c>
      <c r="AC318" s="24">
        <f>IF(AE317&gt;0,IF(AND(ROUND(AE317+AD318-ROUND(AC$6+IF(AC$5=$C318,$E$5+$E318,0),2),2)&gt;0,ROUND(AE317+AD318-ROUND(AC$6+IF(AC$5=$C318,$E$5+$E318,0),2),2)&lt;=AF318,ROUND(AE317+AD318-ROUND(AC$6+IF(AC$5=$C318,$E$5+$E318,0),2),2)*10&lt;=ROUND(AC$6+IF(AC$5=$C318,$E$5+$E318,0),2)),ROUND(AE317+AD318,2),MIN(ROUND(AC$6+IF(AC$5=$C318,$E$5+$E318,0),2),ROUND(AE317+AD318,2))),0)</f>
        <v>0</v>
      </c>
      <c r="AD318" s="24">
        <f>IF(AE317&gt;0,ROUND(ROUND(AE317*100,0)*ROUND(AC$7*10000,0)/12000000,0)/100,0)</f>
        <v>0</v>
      </c>
      <c r="AE318" s="24">
        <f>IF(AE317&gt;0,ROUND(AE317+AD318-AC318,2),0)</f>
        <v>0</v>
      </c>
      <c r="AF318" s="24">
        <f>IF(AE317&gt;0,ROUND(AF317+ROUND(ROUND(AF317*100,0)*ROUND(AC$7*10000,0)/12000000,0)/100+0.02,2),0)</f>
        <v>0</v>
      </c>
      <c r="AG318" s="24">
        <f>IF(AI317&gt;0,IF(AND(ROUND(AI317+AH318-ROUND(AG$6+IF(AG$5=$C318,$E$5+$E318,0),2),2)&gt;0,ROUND(AI317+AH318-ROUND(AG$6+IF(AG$5=$C318,$E$5+$E318,0),2),2)&lt;=AJ318,ROUND(AI317+AH318-ROUND(AG$6+IF(AG$5=$C318,$E$5+$E318,0),2),2)*10&lt;=ROUND(AG$6+IF(AG$5=$C318,$E$5+$E318,0),2)),ROUND(AI317+AH318,2),MIN(ROUND(AG$6+IF(AG$5=$C318,$E$5+$E318,0),2),ROUND(AI317+AH318,2))),0)</f>
        <v>0</v>
      </c>
      <c r="AH318" s="24">
        <f>IF(AI317&gt;0,ROUND(ROUND(AI317*100,0)*ROUND(AG$7*10000,0)/12000000,0)/100,0)</f>
        <v>0</v>
      </c>
      <c r="AI318" s="24">
        <f>IF(AI317&gt;0,ROUND(AI317+AH318-AG318,2),0)</f>
        <v>0</v>
      </c>
      <c r="AJ318" s="24">
        <f>IF(AI317&gt;0,ROUND(AJ317+ROUND(ROUND(AJ317*100,0)*ROUND(AG$7*10000,0)/12000000,0)/100+0.02,2),0)</f>
        <v>0</v>
      </c>
      <c r="AK318" s="24">
        <f>IF(AM317&gt;0,IF(AND(ROUND(AM317+AL318-ROUND(AK$6+IF(AK$5=$C318,$E$5+$E318,0),2),2)&gt;0,ROUND(AM317+AL318-ROUND(AK$6+IF(AK$5=$C318,$E$5+$E318,0),2),2)&lt;=AN318,ROUND(AM317+AL318-ROUND(AK$6+IF(AK$5=$C318,$E$5+$E318,0),2),2)*10&lt;=ROUND(AK$6+IF(AK$5=$C318,$E$5+$E318,0),2)),ROUND(AM317+AL318,2),MIN(ROUND(AK$6+IF(AK$5=$C318,$E$5+$E318,0),2),ROUND(AM317+AL318,2))),0)</f>
        <v>0</v>
      </c>
      <c r="AL318" s="24">
        <f>IF(AM317&gt;0,ROUND(ROUND(AM317*100,0)*ROUND(AK$7*10000,0)/12000000,0)/100,0)</f>
        <v>0</v>
      </c>
      <c r="AM318" s="24">
        <f>IF(AM317&gt;0,ROUND(AM317+AL318-AK318,2),0)</f>
        <v>0</v>
      </c>
      <c r="AN318" s="24">
        <f>IF(AM317&gt;0,ROUND(AN317+ROUND(ROUND(AN317*100,0)*ROUND(AK$7*10000,0)/12000000,0)/100+0.02,2),0)</f>
        <v>0</v>
      </c>
      <c r="AO318" s="24">
        <f>IF(AQ317&gt;0,IF(AND(ROUND(AQ317+AP318-ROUND(AO$6+IF(AO$5=$C318,$E$5+$E318,0),2),2)&gt;0,ROUND(AQ317+AP318-ROUND(AO$6+IF(AO$5=$C318,$E$5+$E318,0),2),2)&lt;=AR318,ROUND(AQ317+AP318-ROUND(AO$6+IF(AO$5=$C318,$E$5+$E318,0),2),2)*10&lt;=ROUND(AO$6+IF(AO$5=$C318,$E$5+$E318,0),2)),ROUND(AQ317+AP318,2),MIN(ROUND(AO$6+IF(AO$5=$C318,$E$5+$E318,0),2),ROUND(AQ317+AP318,2))),0)</f>
        <v>0</v>
      </c>
      <c r="AP318" s="24">
        <f>IF(AQ317&gt;0,ROUND(ROUND(AQ317*100,0)*ROUND(AO$7*10000,0)/12000000,0)/100,0)</f>
        <v>0</v>
      </c>
      <c r="AQ318" s="24">
        <f>IF(AQ317&gt;0,ROUND(AQ317+AP318-AO318,2),0)</f>
        <v>0</v>
      </c>
      <c r="AR318" s="24">
        <f>IF(AQ317&gt;0,ROUND(AR317+ROUND(ROUND(AR317*100,0)*ROUND(AO$7*10000,0)/12000000,0)/100+0.02,2),0)</f>
        <v>0</v>
      </c>
      <c r="AS318" s="24">
        <f>IF(AU317&gt;0,IF(AND(ROUND(AU317+AT318-ROUND(AS$6+IF(AS$5=$C318,$E$5+$E318,0),2),2)&gt;0,ROUND(AU317+AT318-ROUND(AS$6+IF(AS$5=$C318,$E$5+$E318,0),2),2)&lt;=AV318,ROUND(AU317+AT318-ROUND(AS$6+IF(AS$5=$C318,$E$5+$E318,0),2),2)*10&lt;=ROUND(AS$6+IF(AS$5=$C318,$E$5+$E318,0),2)),ROUND(AU317+AT318,2),MIN(ROUND(AS$6+IF(AS$5=$C318,$E$5+$E318,0),2),ROUND(AU317+AT318,2))),0)</f>
        <v>0</v>
      </c>
      <c r="AT318" s="24">
        <f>IF(AU317&gt;0,ROUND(ROUND(AU317*100,0)*ROUND(AS$7*10000,0)/12000000,0)/100,0)</f>
        <v>0</v>
      </c>
      <c r="AU318" s="24">
        <f>IF(AU317&gt;0,ROUND(AU317+AT318-AS318,2),0)</f>
        <v>0</v>
      </c>
      <c r="AV318" s="24">
        <f>IF(AU317&gt;0,ROUND(AV317+ROUND(ROUND(AV317*100,0)*ROUND(AS$7*10000,0)/12000000,0)/100+0.02,2),0)</f>
        <v>0</v>
      </c>
    </row>
    <row r="319" spans="1:48" x14ac:dyDescent="0.25">
      <c r="A319" s="17" t="str">
        <f>IF(F319&gt;0,309,"")</f>
        <v/>
      </c>
      <c r="B319" s="18" t="str">
        <f>IF(F319&gt;0,EDATE($E$6,309),"")</f>
        <v/>
      </c>
      <c r="C319" s="21">
        <f>IF(H318&gt;0,MIN(IF(K318&gt;0,I$5,99),IF(O318&gt;0,M$5,99),IF(S318&gt;0,Q$5,99),IF(W318&gt;0,U$5,99),IF(AA318&gt;0,Y$5,99),IF(AE318&gt;0,AC$5,99),IF(AI318&gt;0,AG$5,99),IF(AM318&gt;0,AK$5,99),IF(AQ318&gt;0,AO$5,99),IF(AU318&gt;0,AS$5,99)),0)</f>
        <v>0</v>
      </c>
      <c r="D319" t="str">
        <f>IF(C319&gt;0,INDEX($I$4:$AV$4,1,MATCH(C319,$I$5:$AV$5,0)),"")</f>
        <v/>
      </c>
      <c r="E319" s="24">
        <f>ROUND(IF(AND(I$8&gt;0,K318=0),I$6,0)+IF(AND(M$8&gt;0,O318=0),M$6,0)+IF(AND(Q$8&gt;0,S318=0),Q$6,0)+IF(AND(U$8&gt;0,W318=0),U$6,0)+IF(AND(Y$8&gt;0,AA318=0),Y$6,0)+IF(AND(AC$8&gt;0,AE318=0),AC$6,0)+IF(AND(AG$8&gt;0,AI318=0),AG$6,0)+IF(AND(AK$8&gt;0,AM318=0),AK$6,0)+IF(AND(AO$8&gt;0,AQ318=0),AO$6,0)+IF(AND(AS$8&gt;0,AU318=0),AS$6,0),2)</f>
        <v>325</v>
      </c>
      <c r="F319" s="24">
        <f>ROUND(I319+M319+Q319+U319+Y319+AC319+AG319+AK319+AO319+AS319,2)</f>
        <v>0</v>
      </c>
      <c r="G319" s="24">
        <f>ROUND(J319+N319+R319+V319+Z319+AD319+AH319+AL319+AP319+AT319,2)</f>
        <v>0</v>
      </c>
      <c r="H319" s="24">
        <f>ROUND(K319+O319+S319+W319+AA319+AE319+AI319+AM319+AQ319+AU319,2)</f>
        <v>0</v>
      </c>
      <c r="I319" s="24">
        <f>IF(K318&gt;0,IF(AND(ROUND(K318+J319-ROUND(I$6+IF(I$5=$C319,$E$5+$E319,0),2),2)&gt;0,ROUND(K318+J319-ROUND(I$6+IF(I$5=$C319,$E$5+$E319,0),2),2)&lt;=L319,ROUND(K318+J319-ROUND(I$6+IF(I$5=$C319,$E$5+$E319,0),2),2)*10&lt;=ROUND(I$6+IF(I$5=$C319,$E$5+$E319,0),2)),ROUND(K318+J319,2),MIN(ROUND(I$6+IF(I$5=$C319,$E$5+$E319,0),2),ROUND(K318+J319,2))),0)</f>
        <v>0</v>
      </c>
      <c r="J319" s="24">
        <f>IF(K318&gt;0,ROUND(ROUND(K318*100,0)*ROUND(I$7*10000,0)/12000000,0)/100,0)</f>
        <v>0</v>
      </c>
      <c r="K319" s="24">
        <f>IF(K318&gt;0,ROUND(K318+J319-I319,2),0)</f>
        <v>0</v>
      </c>
      <c r="L319" s="24">
        <f>IF(K318&gt;0,ROUND(L318+ROUND(ROUND(L318*100,0)*ROUND(I$7*10000,0)/12000000,0)/100+0.02,2),0)</f>
        <v>0</v>
      </c>
      <c r="M319" s="24">
        <f>IF(O318&gt;0,IF(AND(ROUND(O318+N319-ROUND(M$6+IF(M$5=$C319,$E$5+$E319,0),2),2)&gt;0,ROUND(O318+N319-ROUND(M$6+IF(M$5=$C319,$E$5+$E319,0),2),2)&lt;=P319,ROUND(O318+N319-ROUND(M$6+IF(M$5=$C319,$E$5+$E319,0),2),2)*10&lt;=ROUND(M$6+IF(M$5=$C319,$E$5+$E319,0),2)),ROUND(O318+N319,2),MIN(ROUND(M$6+IF(M$5=$C319,$E$5+$E319,0),2),ROUND(O318+N319,2))),0)</f>
        <v>0</v>
      </c>
      <c r="N319" s="24">
        <f>IF(O318&gt;0,ROUND(ROUND(O318*100,0)*ROUND(M$7*10000,0)/12000000,0)/100,0)</f>
        <v>0</v>
      </c>
      <c r="O319" s="24">
        <f>IF(O318&gt;0,ROUND(O318+N319-M319,2),0)</f>
        <v>0</v>
      </c>
      <c r="P319" s="24">
        <f>IF(O318&gt;0,ROUND(P318+ROUND(ROUND(P318*100,0)*ROUND(M$7*10000,0)/12000000,0)/100+0.02,2),0)</f>
        <v>0</v>
      </c>
      <c r="Q319" s="24">
        <f>IF(S318&gt;0,IF(AND(ROUND(S318+R319-ROUND(Q$6+IF(Q$5=$C319,$E$5+$E319,0),2),2)&gt;0,ROUND(S318+R319-ROUND(Q$6+IF(Q$5=$C319,$E$5+$E319,0),2),2)&lt;=T319,ROUND(S318+R319-ROUND(Q$6+IF(Q$5=$C319,$E$5+$E319,0),2),2)*10&lt;=ROUND(Q$6+IF(Q$5=$C319,$E$5+$E319,0),2)),ROUND(S318+R319,2),MIN(ROUND(Q$6+IF(Q$5=$C319,$E$5+$E319,0),2),ROUND(S318+R319,2))),0)</f>
        <v>0</v>
      </c>
      <c r="R319" s="24">
        <f>IF(S318&gt;0,ROUND(ROUND(S318*100,0)*ROUND(Q$7*10000,0)/12000000,0)/100,0)</f>
        <v>0</v>
      </c>
      <c r="S319" s="24">
        <f>IF(S318&gt;0,ROUND(S318+R319-Q319,2),0)</f>
        <v>0</v>
      </c>
      <c r="T319" s="24">
        <f>IF(S318&gt;0,ROUND(T318+ROUND(ROUND(T318*100,0)*ROUND(Q$7*10000,0)/12000000,0)/100+0.02,2),0)</f>
        <v>0</v>
      </c>
      <c r="U319" s="24">
        <f>IF(W318&gt;0,IF(AND(ROUND(W318+V319-ROUND(U$6+IF(U$5=$C319,$E$5+$E319,0),2),2)&gt;0,ROUND(W318+V319-ROUND(U$6+IF(U$5=$C319,$E$5+$E319,0),2),2)&lt;=X319,ROUND(W318+V319-ROUND(U$6+IF(U$5=$C319,$E$5+$E319,0),2),2)*10&lt;=ROUND(U$6+IF(U$5=$C319,$E$5+$E319,0),2)),ROUND(W318+V319,2),MIN(ROUND(U$6+IF(U$5=$C319,$E$5+$E319,0),2),ROUND(W318+V319,2))),0)</f>
        <v>0</v>
      </c>
      <c r="V319" s="24">
        <f>IF(W318&gt;0,ROUND(ROUND(W318*100,0)*ROUND(U$7*10000,0)/12000000,0)/100,0)</f>
        <v>0</v>
      </c>
      <c r="W319" s="24">
        <f>IF(W318&gt;0,ROUND(W318+V319-U319,2),0)</f>
        <v>0</v>
      </c>
      <c r="X319" s="24">
        <f>IF(W318&gt;0,ROUND(X318+ROUND(ROUND(X318*100,0)*ROUND(U$7*10000,0)/12000000,0)/100+0.02,2),0)</f>
        <v>0</v>
      </c>
      <c r="Y319" s="24">
        <f>IF(AA318&gt;0,IF(AND(ROUND(AA318+Z319-ROUND(Y$6+IF(Y$5=$C319,$E$5+$E319,0),2),2)&gt;0,ROUND(AA318+Z319-ROUND(Y$6+IF(Y$5=$C319,$E$5+$E319,0),2),2)&lt;=AB319,ROUND(AA318+Z319-ROUND(Y$6+IF(Y$5=$C319,$E$5+$E319,0),2),2)*10&lt;=ROUND(Y$6+IF(Y$5=$C319,$E$5+$E319,0),2)),ROUND(AA318+Z319,2),MIN(ROUND(Y$6+IF(Y$5=$C319,$E$5+$E319,0),2),ROUND(AA318+Z319,2))),0)</f>
        <v>0</v>
      </c>
      <c r="Z319" s="24">
        <f>IF(AA318&gt;0,ROUND(ROUND(AA318*100,0)*ROUND(Y$7*10000,0)/12000000,0)/100,0)</f>
        <v>0</v>
      </c>
      <c r="AA319" s="24">
        <f>IF(AA318&gt;0,ROUND(AA318+Z319-Y319,2),0)</f>
        <v>0</v>
      </c>
      <c r="AB319" s="24">
        <f>IF(AA318&gt;0,ROUND(AB318+ROUND(ROUND(AB318*100,0)*ROUND(Y$7*10000,0)/12000000,0)/100+0.02,2),0)</f>
        <v>0</v>
      </c>
      <c r="AC319" s="24">
        <f>IF(AE318&gt;0,IF(AND(ROUND(AE318+AD319-ROUND(AC$6+IF(AC$5=$C319,$E$5+$E319,0),2),2)&gt;0,ROUND(AE318+AD319-ROUND(AC$6+IF(AC$5=$C319,$E$5+$E319,0),2),2)&lt;=AF319,ROUND(AE318+AD319-ROUND(AC$6+IF(AC$5=$C319,$E$5+$E319,0),2),2)*10&lt;=ROUND(AC$6+IF(AC$5=$C319,$E$5+$E319,0),2)),ROUND(AE318+AD319,2),MIN(ROUND(AC$6+IF(AC$5=$C319,$E$5+$E319,0),2),ROUND(AE318+AD319,2))),0)</f>
        <v>0</v>
      </c>
      <c r="AD319" s="24">
        <f>IF(AE318&gt;0,ROUND(ROUND(AE318*100,0)*ROUND(AC$7*10000,0)/12000000,0)/100,0)</f>
        <v>0</v>
      </c>
      <c r="AE319" s="24">
        <f>IF(AE318&gt;0,ROUND(AE318+AD319-AC319,2),0)</f>
        <v>0</v>
      </c>
      <c r="AF319" s="24">
        <f>IF(AE318&gt;0,ROUND(AF318+ROUND(ROUND(AF318*100,0)*ROUND(AC$7*10000,0)/12000000,0)/100+0.02,2),0)</f>
        <v>0</v>
      </c>
      <c r="AG319" s="24">
        <f>IF(AI318&gt;0,IF(AND(ROUND(AI318+AH319-ROUND(AG$6+IF(AG$5=$C319,$E$5+$E319,0),2),2)&gt;0,ROUND(AI318+AH319-ROUND(AG$6+IF(AG$5=$C319,$E$5+$E319,0),2),2)&lt;=AJ319,ROUND(AI318+AH319-ROUND(AG$6+IF(AG$5=$C319,$E$5+$E319,0),2),2)*10&lt;=ROUND(AG$6+IF(AG$5=$C319,$E$5+$E319,0),2)),ROUND(AI318+AH319,2),MIN(ROUND(AG$6+IF(AG$5=$C319,$E$5+$E319,0),2),ROUND(AI318+AH319,2))),0)</f>
        <v>0</v>
      </c>
      <c r="AH319" s="24">
        <f>IF(AI318&gt;0,ROUND(ROUND(AI318*100,0)*ROUND(AG$7*10000,0)/12000000,0)/100,0)</f>
        <v>0</v>
      </c>
      <c r="AI319" s="24">
        <f>IF(AI318&gt;0,ROUND(AI318+AH319-AG319,2),0)</f>
        <v>0</v>
      </c>
      <c r="AJ319" s="24">
        <f>IF(AI318&gt;0,ROUND(AJ318+ROUND(ROUND(AJ318*100,0)*ROUND(AG$7*10000,0)/12000000,0)/100+0.02,2),0)</f>
        <v>0</v>
      </c>
      <c r="AK319" s="24">
        <f>IF(AM318&gt;0,IF(AND(ROUND(AM318+AL319-ROUND(AK$6+IF(AK$5=$C319,$E$5+$E319,0),2),2)&gt;0,ROUND(AM318+AL319-ROUND(AK$6+IF(AK$5=$C319,$E$5+$E319,0),2),2)&lt;=AN319,ROUND(AM318+AL319-ROUND(AK$6+IF(AK$5=$C319,$E$5+$E319,0),2),2)*10&lt;=ROUND(AK$6+IF(AK$5=$C319,$E$5+$E319,0),2)),ROUND(AM318+AL319,2),MIN(ROUND(AK$6+IF(AK$5=$C319,$E$5+$E319,0),2),ROUND(AM318+AL319,2))),0)</f>
        <v>0</v>
      </c>
      <c r="AL319" s="24">
        <f>IF(AM318&gt;0,ROUND(ROUND(AM318*100,0)*ROUND(AK$7*10000,0)/12000000,0)/100,0)</f>
        <v>0</v>
      </c>
      <c r="AM319" s="24">
        <f>IF(AM318&gt;0,ROUND(AM318+AL319-AK319,2),0)</f>
        <v>0</v>
      </c>
      <c r="AN319" s="24">
        <f>IF(AM318&gt;0,ROUND(AN318+ROUND(ROUND(AN318*100,0)*ROUND(AK$7*10000,0)/12000000,0)/100+0.02,2),0)</f>
        <v>0</v>
      </c>
      <c r="AO319" s="24">
        <f>IF(AQ318&gt;0,IF(AND(ROUND(AQ318+AP319-ROUND(AO$6+IF(AO$5=$C319,$E$5+$E319,0),2),2)&gt;0,ROUND(AQ318+AP319-ROUND(AO$6+IF(AO$5=$C319,$E$5+$E319,0),2),2)&lt;=AR319,ROUND(AQ318+AP319-ROUND(AO$6+IF(AO$5=$C319,$E$5+$E319,0),2),2)*10&lt;=ROUND(AO$6+IF(AO$5=$C319,$E$5+$E319,0),2)),ROUND(AQ318+AP319,2),MIN(ROUND(AO$6+IF(AO$5=$C319,$E$5+$E319,0),2),ROUND(AQ318+AP319,2))),0)</f>
        <v>0</v>
      </c>
      <c r="AP319" s="24">
        <f>IF(AQ318&gt;0,ROUND(ROUND(AQ318*100,0)*ROUND(AO$7*10000,0)/12000000,0)/100,0)</f>
        <v>0</v>
      </c>
      <c r="AQ319" s="24">
        <f>IF(AQ318&gt;0,ROUND(AQ318+AP319-AO319,2),0)</f>
        <v>0</v>
      </c>
      <c r="AR319" s="24">
        <f>IF(AQ318&gt;0,ROUND(AR318+ROUND(ROUND(AR318*100,0)*ROUND(AO$7*10000,0)/12000000,0)/100+0.02,2),0)</f>
        <v>0</v>
      </c>
      <c r="AS319" s="24">
        <f>IF(AU318&gt;0,IF(AND(ROUND(AU318+AT319-ROUND(AS$6+IF(AS$5=$C319,$E$5+$E319,0),2),2)&gt;0,ROUND(AU318+AT319-ROUND(AS$6+IF(AS$5=$C319,$E$5+$E319,0),2),2)&lt;=AV319,ROUND(AU318+AT319-ROUND(AS$6+IF(AS$5=$C319,$E$5+$E319,0),2),2)*10&lt;=ROUND(AS$6+IF(AS$5=$C319,$E$5+$E319,0),2)),ROUND(AU318+AT319,2),MIN(ROUND(AS$6+IF(AS$5=$C319,$E$5+$E319,0),2),ROUND(AU318+AT319,2))),0)</f>
        <v>0</v>
      </c>
      <c r="AT319" s="24">
        <f>IF(AU318&gt;0,ROUND(ROUND(AU318*100,0)*ROUND(AS$7*10000,0)/12000000,0)/100,0)</f>
        <v>0</v>
      </c>
      <c r="AU319" s="24">
        <f>IF(AU318&gt;0,ROUND(AU318+AT319-AS319,2),0)</f>
        <v>0</v>
      </c>
      <c r="AV319" s="24">
        <f>IF(AU318&gt;0,ROUND(AV318+ROUND(ROUND(AV318*100,0)*ROUND(AS$7*10000,0)/12000000,0)/100+0.02,2),0)</f>
        <v>0</v>
      </c>
    </row>
    <row r="320" spans="1:48" x14ac:dyDescent="0.25">
      <c r="A320" s="17" t="str">
        <f>IF(F320&gt;0,310,"")</f>
        <v/>
      </c>
      <c r="B320" s="18" t="str">
        <f>IF(F320&gt;0,EDATE($E$6,310),"")</f>
        <v/>
      </c>
      <c r="C320" s="21">
        <f>IF(H319&gt;0,MIN(IF(K319&gt;0,I$5,99),IF(O319&gt;0,M$5,99),IF(S319&gt;0,Q$5,99),IF(W319&gt;0,U$5,99),IF(AA319&gt;0,Y$5,99),IF(AE319&gt;0,AC$5,99),IF(AI319&gt;0,AG$5,99),IF(AM319&gt;0,AK$5,99),IF(AQ319&gt;0,AO$5,99),IF(AU319&gt;0,AS$5,99)),0)</f>
        <v>0</v>
      </c>
      <c r="D320" t="str">
        <f>IF(C320&gt;0,INDEX($I$4:$AV$4,1,MATCH(C320,$I$5:$AV$5,0)),"")</f>
        <v/>
      </c>
      <c r="E320" s="24">
        <f>ROUND(IF(AND(I$8&gt;0,K319=0),I$6,0)+IF(AND(M$8&gt;0,O319=0),M$6,0)+IF(AND(Q$8&gt;0,S319=0),Q$6,0)+IF(AND(U$8&gt;0,W319=0),U$6,0)+IF(AND(Y$8&gt;0,AA319=0),Y$6,0)+IF(AND(AC$8&gt;0,AE319=0),AC$6,0)+IF(AND(AG$8&gt;0,AI319=0),AG$6,0)+IF(AND(AK$8&gt;0,AM319=0),AK$6,0)+IF(AND(AO$8&gt;0,AQ319=0),AO$6,0)+IF(AND(AS$8&gt;0,AU319=0),AS$6,0),2)</f>
        <v>325</v>
      </c>
      <c r="F320" s="24">
        <f>ROUND(I320+M320+Q320+U320+Y320+AC320+AG320+AK320+AO320+AS320,2)</f>
        <v>0</v>
      </c>
      <c r="G320" s="24">
        <f>ROUND(J320+N320+R320+V320+Z320+AD320+AH320+AL320+AP320+AT320,2)</f>
        <v>0</v>
      </c>
      <c r="H320" s="24">
        <f>ROUND(K320+O320+S320+W320+AA320+AE320+AI320+AM320+AQ320+AU320,2)</f>
        <v>0</v>
      </c>
      <c r="I320" s="24">
        <f>IF(K319&gt;0,IF(AND(ROUND(K319+J320-ROUND(I$6+IF(I$5=$C320,$E$5+$E320,0),2),2)&gt;0,ROUND(K319+J320-ROUND(I$6+IF(I$5=$C320,$E$5+$E320,0),2),2)&lt;=L320,ROUND(K319+J320-ROUND(I$6+IF(I$5=$C320,$E$5+$E320,0),2),2)*10&lt;=ROUND(I$6+IF(I$5=$C320,$E$5+$E320,0),2)),ROUND(K319+J320,2),MIN(ROUND(I$6+IF(I$5=$C320,$E$5+$E320,0),2),ROUND(K319+J320,2))),0)</f>
        <v>0</v>
      </c>
      <c r="J320" s="24">
        <f>IF(K319&gt;0,ROUND(ROUND(K319*100,0)*ROUND(I$7*10000,0)/12000000,0)/100,0)</f>
        <v>0</v>
      </c>
      <c r="K320" s="24">
        <f>IF(K319&gt;0,ROUND(K319+J320-I320,2),0)</f>
        <v>0</v>
      </c>
      <c r="L320" s="24">
        <f>IF(K319&gt;0,ROUND(L319+ROUND(ROUND(L319*100,0)*ROUND(I$7*10000,0)/12000000,0)/100+0.02,2),0)</f>
        <v>0</v>
      </c>
      <c r="M320" s="24">
        <f>IF(O319&gt;0,IF(AND(ROUND(O319+N320-ROUND(M$6+IF(M$5=$C320,$E$5+$E320,0),2),2)&gt;0,ROUND(O319+N320-ROUND(M$6+IF(M$5=$C320,$E$5+$E320,0),2),2)&lt;=P320,ROUND(O319+N320-ROUND(M$6+IF(M$5=$C320,$E$5+$E320,0),2),2)*10&lt;=ROUND(M$6+IF(M$5=$C320,$E$5+$E320,0),2)),ROUND(O319+N320,2),MIN(ROUND(M$6+IF(M$5=$C320,$E$5+$E320,0),2),ROUND(O319+N320,2))),0)</f>
        <v>0</v>
      </c>
      <c r="N320" s="24">
        <f>IF(O319&gt;0,ROUND(ROUND(O319*100,0)*ROUND(M$7*10000,0)/12000000,0)/100,0)</f>
        <v>0</v>
      </c>
      <c r="O320" s="24">
        <f>IF(O319&gt;0,ROUND(O319+N320-M320,2),0)</f>
        <v>0</v>
      </c>
      <c r="P320" s="24">
        <f>IF(O319&gt;0,ROUND(P319+ROUND(ROUND(P319*100,0)*ROUND(M$7*10000,0)/12000000,0)/100+0.02,2),0)</f>
        <v>0</v>
      </c>
      <c r="Q320" s="24">
        <f>IF(S319&gt;0,IF(AND(ROUND(S319+R320-ROUND(Q$6+IF(Q$5=$C320,$E$5+$E320,0),2),2)&gt;0,ROUND(S319+R320-ROUND(Q$6+IF(Q$5=$C320,$E$5+$E320,0),2),2)&lt;=T320,ROUND(S319+R320-ROUND(Q$6+IF(Q$5=$C320,$E$5+$E320,0),2),2)*10&lt;=ROUND(Q$6+IF(Q$5=$C320,$E$5+$E320,0),2)),ROUND(S319+R320,2),MIN(ROUND(Q$6+IF(Q$5=$C320,$E$5+$E320,0),2),ROUND(S319+R320,2))),0)</f>
        <v>0</v>
      </c>
      <c r="R320" s="24">
        <f>IF(S319&gt;0,ROUND(ROUND(S319*100,0)*ROUND(Q$7*10000,0)/12000000,0)/100,0)</f>
        <v>0</v>
      </c>
      <c r="S320" s="24">
        <f>IF(S319&gt;0,ROUND(S319+R320-Q320,2),0)</f>
        <v>0</v>
      </c>
      <c r="T320" s="24">
        <f>IF(S319&gt;0,ROUND(T319+ROUND(ROUND(T319*100,0)*ROUND(Q$7*10000,0)/12000000,0)/100+0.02,2),0)</f>
        <v>0</v>
      </c>
      <c r="U320" s="24">
        <f>IF(W319&gt;0,IF(AND(ROUND(W319+V320-ROUND(U$6+IF(U$5=$C320,$E$5+$E320,0),2),2)&gt;0,ROUND(W319+V320-ROUND(U$6+IF(U$5=$C320,$E$5+$E320,0),2),2)&lt;=X320,ROUND(W319+V320-ROUND(U$6+IF(U$5=$C320,$E$5+$E320,0),2),2)*10&lt;=ROUND(U$6+IF(U$5=$C320,$E$5+$E320,0),2)),ROUND(W319+V320,2),MIN(ROUND(U$6+IF(U$5=$C320,$E$5+$E320,0),2),ROUND(W319+V320,2))),0)</f>
        <v>0</v>
      </c>
      <c r="V320" s="24">
        <f>IF(W319&gt;0,ROUND(ROUND(W319*100,0)*ROUND(U$7*10000,0)/12000000,0)/100,0)</f>
        <v>0</v>
      </c>
      <c r="W320" s="24">
        <f>IF(W319&gt;0,ROUND(W319+V320-U320,2),0)</f>
        <v>0</v>
      </c>
      <c r="X320" s="24">
        <f>IF(W319&gt;0,ROUND(X319+ROUND(ROUND(X319*100,0)*ROUND(U$7*10000,0)/12000000,0)/100+0.02,2),0)</f>
        <v>0</v>
      </c>
      <c r="Y320" s="24">
        <f>IF(AA319&gt;0,IF(AND(ROUND(AA319+Z320-ROUND(Y$6+IF(Y$5=$C320,$E$5+$E320,0),2),2)&gt;0,ROUND(AA319+Z320-ROUND(Y$6+IF(Y$5=$C320,$E$5+$E320,0),2),2)&lt;=AB320,ROUND(AA319+Z320-ROUND(Y$6+IF(Y$5=$C320,$E$5+$E320,0),2),2)*10&lt;=ROUND(Y$6+IF(Y$5=$C320,$E$5+$E320,0),2)),ROUND(AA319+Z320,2),MIN(ROUND(Y$6+IF(Y$5=$C320,$E$5+$E320,0),2),ROUND(AA319+Z320,2))),0)</f>
        <v>0</v>
      </c>
      <c r="Z320" s="24">
        <f>IF(AA319&gt;0,ROUND(ROUND(AA319*100,0)*ROUND(Y$7*10000,0)/12000000,0)/100,0)</f>
        <v>0</v>
      </c>
      <c r="AA320" s="24">
        <f>IF(AA319&gt;0,ROUND(AA319+Z320-Y320,2),0)</f>
        <v>0</v>
      </c>
      <c r="AB320" s="24">
        <f>IF(AA319&gt;0,ROUND(AB319+ROUND(ROUND(AB319*100,0)*ROUND(Y$7*10000,0)/12000000,0)/100+0.02,2),0)</f>
        <v>0</v>
      </c>
      <c r="AC320" s="24">
        <f>IF(AE319&gt;0,IF(AND(ROUND(AE319+AD320-ROUND(AC$6+IF(AC$5=$C320,$E$5+$E320,0),2),2)&gt;0,ROUND(AE319+AD320-ROUND(AC$6+IF(AC$5=$C320,$E$5+$E320,0),2),2)&lt;=AF320,ROUND(AE319+AD320-ROUND(AC$6+IF(AC$5=$C320,$E$5+$E320,0),2),2)*10&lt;=ROUND(AC$6+IF(AC$5=$C320,$E$5+$E320,0),2)),ROUND(AE319+AD320,2),MIN(ROUND(AC$6+IF(AC$5=$C320,$E$5+$E320,0),2),ROUND(AE319+AD320,2))),0)</f>
        <v>0</v>
      </c>
      <c r="AD320" s="24">
        <f>IF(AE319&gt;0,ROUND(ROUND(AE319*100,0)*ROUND(AC$7*10000,0)/12000000,0)/100,0)</f>
        <v>0</v>
      </c>
      <c r="AE320" s="24">
        <f>IF(AE319&gt;0,ROUND(AE319+AD320-AC320,2),0)</f>
        <v>0</v>
      </c>
      <c r="AF320" s="24">
        <f>IF(AE319&gt;0,ROUND(AF319+ROUND(ROUND(AF319*100,0)*ROUND(AC$7*10000,0)/12000000,0)/100+0.02,2),0)</f>
        <v>0</v>
      </c>
      <c r="AG320" s="24">
        <f>IF(AI319&gt;0,IF(AND(ROUND(AI319+AH320-ROUND(AG$6+IF(AG$5=$C320,$E$5+$E320,0),2),2)&gt;0,ROUND(AI319+AH320-ROUND(AG$6+IF(AG$5=$C320,$E$5+$E320,0),2),2)&lt;=AJ320,ROUND(AI319+AH320-ROUND(AG$6+IF(AG$5=$C320,$E$5+$E320,0),2),2)*10&lt;=ROUND(AG$6+IF(AG$5=$C320,$E$5+$E320,0),2)),ROUND(AI319+AH320,2),MIN(ROUND(AG$6+IF(AG$5=$C320,$E$5+$E320,0),2),ROUND(AI319+AH320,2))),0)</f>
        <v>0</v>
      </c>
      <c r="AH320" s="24">
        <f>IF(AI319&gt;0,ROUND(ROUND(AI319*100,0)*ROUND(AG$7*10000,0)/12000000,0)/100,0)</f>
        <v>0</v>
      </c>
      <c r="AI320" s="24">
        <f>IF(AI319&gt;0,ROUND(AI319+AH320-AG320,2),0)</f>
        <v>0</v>
      </c>
      <c r="AJ320" s="24">
        <f>IF(AI319&gt;0,ROUND(AJ319+ROUND(ROUND(AJ319*100,0)*ROUND(AG$7*10000,0)/12000000,0)/100+0.02,2),0)</f>
        <v>0</v>
      </c>
      <c r="AK320" s="24">
        <f>IF(AM319&gt;0,IF(AND(ROUND(AM319+AL320-ROUND(AK$6+IF(AK$5=$C320,$E$5+$E320,0),2),2)&gt;0,ROUND(AM319+AL320-ROUND(AK$6+IF(AK$5=$C320,$E$5+$E320,0),2),2)&lt;=AN320,ROUND(AM319+AL320-ROUND(AK$6+IF(AK$5=$C320,$E$5+$E320,0),2),2)*10&lt;=ROUND(AK$6+IF(AK$5=$C320,$E$5+$E320,0),2)),ROUND(AM319+AL320,2),MIN(ROUND(AK$6+IF(AK$5=$C320,$E$5+$E320,0),2),ROUND(AM319+AL320,2))),0)</f>
        <v>0</v>
      </c>
      <c r="AL320" s="24">
        <f>IF(AM319&gt;0,ROUND(ROUND(AM319*100,0)*ROUND(AK$7*10000,0)/12000000,0)/100,0)</f>
        <v>0</v>
      </c>
      <c r="AM320" s="24">
        <f>IF(AM319&gt;0,ROUND(AM319+AL320-AK320,2),0)</f>
        <v>0</v>
      </c>
      <c r="AN320" s="24">
        <f>IF(AM319&gt;0,ROUND(AN319+ROUND(ROUND(AN319*100,0)*ROUND(AK$7*10000,0)/12000000,0)/100+0.02,2),0)</f>
        <v>0</v>
      </c>
      <c r="AO320" s="24">
        <f>IF(AQ319&gt;0,IF(AND(ROUND(AQ319+AP320-ROUND(AO$6+IF(AO$5=$C320,$E$5+$E320,0),2),2)&gt;0,ROUND(AQ319+AP320-ROUND(AO$6+IF(AO$5=$C320,$E$5+$E320,0),2),2)&lt;=AR320,ROUND(AQ319+AP320-ROUND(AO$6+IF(AO$5=$C320,$E$5+$E320,0),2),2)*10&lt;=ROUND(AO$6+IF(AO$5=$C320,$E$5+$E320,0),2)),ROUND(AQ319+AP320,2),MIN(ROUND(AO$6+IF(AO$5=$C320,$E$5+$E320,0),2),ROUND(AQ319+AP320,2))),0)</f>
        <v>0</v>
      </c>
      <c r="AP320" s="24">
        <f>IF(AQ319&gt;0,ROUND(ROUND(AQ319*100,0)*ROUND(AO$7*10000,0)/12000000,0)/100,0)</f>
        <v>0</v>
      </c>
      <c r="AQ320" s="24">
        <f>IF(AQ319&gt;0,ROUND(AQ319+AP320-AO320,2),0)</f>
        <v>0</v>
      </c>
      <c r="AR320" s="24">
        <f>IF(AQ319&gt;0,ROUND(AR319+ROUND(ROUND(AR319*100,0)*ROUND(AO$7*10000,0)/12000000,0)/100+0.02,2),0)</f>
        <v>0</v>
      </c>
      <c r="AS320" s="24">
        <f>IF(AU319&gt;0,IF(AND(ROUND(AU319+AT320-ROUND(AS$6+IF(AS$5=$C320,$E$5+$E320,0),2),2)&gt;0,ROUND(AU319+AT320-ROUND(AS$6+IF(AS$5=$C320,$E$5+$E320,0),2),2)&lt;=AV320,ROUND(AU319+AT320-ROUND(AS$6+IF(AS$5=$C320,$E$5+$E320,0),2),2)*10&lt;=ROUND(AS$6+IF(AS$5=$C320,$E$5+$E320,0),2)),ROUND(AU319+AT320,2),MIN(ROUND(AS$6+IF(AS$5=$C320,$E$5+$E320,0),2),ROUND(AU319+AT320,2))),0)</f>
        <v>0</v>
      </c>
      <c r="AT320" s="24">
        <f>IF(AU319&gt;0,ROUND(ROUND(AU319*100,0)*ROUND(AS$7*10000,0)/12000000,0)/100,0)</f>
        <v>0</v>
      </c>
      <c r="AU320" s="24">
        <f>IF(AU319&gt;0,ROUND(AU319+AT320-AS320,2),0)</f>
        <v>0</v>
      </c>
      <c r="AV320" s="24">
        <f>IF(AU319&gt;0,ROUND(AV319+ROUND(ROUND(AV319*100,0)*ROUND(AS$7*10000,0)/12000000,0)/100+0.02,2),0)</f>
        <v>0</v>
      </c>
    </row>
    <row r="321" spans="1:48" x14ac:dyDescent="0.25">
      <c r="A321" s="17" t="str">
        <f>IF(F321&gt;0,311,"")</f>
        <v/>
      </c>
      <c r="B321" s="18" t="str">
        <f>IF(F321&gt;0,EDATE($E$6,311),"")</f>
        <v/>
      </c>
      <c r="C321" s="21">
        <f>IF(H320&gt;0,MIN(IF(K320&gt;0,I$5,99),IF(O320&gt;0,M$5,99),IF(S320&gt;0,Q$5,99),IF(W320&gt;0,U$5,99),IF(AA320&gt;0,Y$5,99),IF(AE320&gt;0,AC$5,99),IF(AI320&gt;0,AG$5,99),IF(AM320&gt;0,AK$5,99),IF(AQ320&gt;0,AO$5,99),IF(AU320&gt;0,AS$5,99)),0)</f>
        <v>0</v>
      </c>
      <c r="D321" t="str">
        <f>IF(C321&gt;0,INDEX($I$4:$AV$4,1,MATCH(C321,$I$5:$AV$5,0)),"")</f>
        <v/>
      </c>
      <c r="E321" s="24">
        <f>ROUND(IF(AND(I$8&gt;0,K320=0),I$6,0)+IF(AND(M$8&gt;0,O320=0),M$6,0)+IF(AND(Q$8&gt;0,S320=0),Q$6,0)+IF(AND(U$8&gt;0,W320=0),U$6,0)+IF(AND(Y$8&gt;0,AA320=0),Y$6,0)+IF(AND(AC$8&gt;0,AE320=0),AC$6,0)+IF(AND(AG$8&gt;0,AI320=0),AG$6,0)+IF(AND(AK$8&gt;0,AM320=0),AK$6,0)+IF(AND(AO$8&gt;0,AQ320=0),AO$6,0)+IF(AND(AS$8&gt;0,AU320=0),AS$6,0),2)</f>
        <v>325</v>
      </c>
      <c r="F321" s="24">
        <f>ROUND(I321+M321+Q321+U321+Y321+AC321+AG321+AK321+AO321+AS321,2)</f>
        <v>0</v>
      </c>
      <c r="G321" s="24">
        <f>ROUND(J321+N321+R321+V321+Z321+AD321+AH321+AL321+AP321+AT321,2)</f>
        <v>0</v>
      </c>
      <c r="H321" s="24">
        <f>ROUND(K321+O321+S321+W321+AA321+AE321+AI321+AM321+AQ321+AU321,2)</f>
        <v>0</v>
      </c>
      <c r="I321" s="24">
        <f>IF(K320&gt;0,IF(AND(ROUND(K320+J321-ROUND(I$6+IF(I$5=$C321,$E$5+$E321,0),2),2)&gt;0,ROUND(K320+J321-ROUND(I$6+IF(I$5=$C321,$E$5+$E321,0),2),2)&lt;=L321,ROUND(K320+J321-ROUND(I$6+IF(I$5=$C321,$E$5+$E321,0),2),2)*10&lt;=ROUND(I$6+IF(I$5=$C321,$E$5+$E321,0),2)),ROUND(K320+J321,2),MIN(ROUND(I$6+IF(I$5=$C321,$E$5+$E321,0),2),ROUND(K320+J321,2))),0)</f>
        <v>0</v>
      </c>
      <c r="J321" s="24">
        <f>IF(K320&gt;0,ROUND(ROUND(K320*100,0)*ROUND(I$7*10000,0)/12000000,0)/100,0)</f>
        <v>0</v>
      </c>
      <c r="K321" s="24">
        <f>IF(K320&gt;0,ROUND(K320+J321-I321,2),0)</f>
        <v>0</v>
      </c>
      <c r="L321" s="24">
        <f>IF(K320&gt;0,ROUND(L320+ROUND(ROUND(L320*100,0)*ROUND(I$7*10000,0)/12000000,0)/100+0.02,2),0)</f>
        <v>0</v>
      </c>
      <c r="M321" s="24">
        <f>IF(O320&gt;0,IF(AND(ROUND(O320+N321-ROUND(M$6+IF(M$5=$C321,$E$5+$E321,0),2),2)&gt;0,ROUND(O320+N321-ROUND(M$6+IF(M$5=$C321,$E$5+$E321,0),2),2)&lt;=P321,ROUND(O320+N321-ROUND(M$6+IF(M$5=$C321,$E$5+$E321,0),2),2)*10&lt;=ROUND(M$6+IF(M$5=$C321,$E$5+$E321,0),2)),ROUND(O320+N321,2),MIN(ROUND(M$6+IF(M$5=$C321,$E$5+$E321,0),2),ROUND(O320+N321,2))),0)</f>
        <v>0</v>
      </c>
      <c r="N321" s="24">
        <f>IF(O320&gt;0,ROUND(ROUND(O320*100,0)*ROUND(M$7*10000,0)/12000000,0)/100,0)</f>
        <v>0</v>
      </c>
      <c r="O321" s="24">
        <f>IF(O320&gt;0,ROUND(O320+N321-M321,2),0)</f>
        <v>0</v>
      </c>
      <c r="P321" s="24">
        <f>IF(O320&gt;0,ROUND(P320+ROUND(ROUND(P320*100,0)*ROUND(M$7*10000,0)/12000000,0)/100+0.02,2),0)</f>
        <v>0</v>
      </c>
      <c r="Q321" s="24">
        <f>IF(S320&gt;0,IF(AND(ROUND(S320+R321-ROUND(Q$6+IF(Q$5=$C321,$E$5+$E321,0),2),2)&gt;0,ROUND(S320+R321-ROUND(Q$6+IF(Q$5=$C321,$E$5+$E321,0),2),2)&lt;=T321,ROUND(S320+R321-ROUND(Q$6+IF(Q$5=$C321,$E$5+$E321,0),2),2)*10&lt;=ROUND(Q$6+IF(Q$5=$C321,$E$5+$E321,0),2)),ROUND(S320+R321,2),MIN(ROUND(Q$6+IF(Q$5=$C321,$E$5+$E321,0),2),ROUND(S320+R321,2))),0)</f>
        <v>0</v>
      </c>
      <c r="R321" s="24">
        <f>IF(S320&gt;0,ROUND(ROUND(S320*100,0)*ROUND(Q$7*10000,0)/12000000,0)/100,0)</f>
        <v>0</v>
      </c>
      <c r="S321" s="24">
        <f>IF(S320&gt;0,ROUND(S320+R321-Q321,2),0)</f>
        <v>0</v>
      </c>
      <c r="T321" s="24">
        <f>IF(S320&gt;0,ROUND(T320+ROUND(ROUND(T320*100,0)*ROUND(Q$7*10000,0)/12000000,0)/100+0.02,2),0)</f>
        <v>0</v>
      </c>
      <c r="U321" s="24">
        <f>IF(W320&gt;0,IF(AND(ROUND(W320+V321-ROUND(U$6+IF(U$5=$C321,$E$5+$E321,0),2),2)&gt;0,ROUND(W320+V321-ROUND(U$6+IF(U$5=$C321,$E$5+$E321,0),2),2)&lt;=X321,ROUND(W320+V321-ROUND(U$6+IF(U$5=$C321,$E$5+$E321,0),2),2)*10&lt;=ROUND(U$6+IF(U$5=$C321,$E$5+$E321,0),2)),ROUND(W320+V321,2),MIN(ROUND(U$6+IF(U$5=$C321,$E$5+$E321,0),2),ROUND(W320+V321,2))),0)</f>
        <v>0</v>
      </c>
      <c r="V321" s="24">
        <f>IF(W320&gt;0,ROUND(ROUND(W320*100,0)*ROUND(U$7*10000,0)/12000000,0)/100,0)</f>
        <v>0</v>
      </c>
      <c r="W321" s="24">
        <f>IF(W320&gt;0,ROUND(W320+V321-U321,2),0)</f>
        <v>0</v>
      </c>
      <c r="X321" s="24">
        <f>IF(W320&gt;0,ROUND(X320+ROUND(ROUND(X320*100,0)*ROUND(U$7*10000,0)/12000000,0)/100+0.02,2),0)</f>
        <v>0</v>
      </c>
      <c r="Y321" s="24">
        <f>IF(AA320&gt;0,IF(AND(ROUND(AA320+Z321-ROUND(Y$6+IF(Y$5=$C321,$E$5+$E321,0),2),2)&gt;0,ROUND(AA320+Z321-ROUND(Y$6+IF(Y$5=$C321,$E$5+$E321,0),2),2)&lt;=AB321,ROUND(AA320+Z321-ROUND(Y$6+IF(Y$5=$C321,$E$5+$E321,0),2),2)*10&lt;=ROUND(Y$6+IF(Y$5=$C321,$E$5+$E321,0),2)),ROUND(AA320+Z321,2),MIN(ROUND(Y$6+IF(Y$5=$C321,$E$5+$E321,0),2),ROUND(AA320+Z321,2))),0)</f>
        <v>0</v>
      </c>
      <c r="Z321" s="24">
        <f>IF(AA320&gt;0,ROUND(ROUND(AA320*100,0)*ROUND(Y$7*10000,0)/12000000,0)/100,0)</f>
        <v>0</v>
      </c>
      <c r="AA321" s="24">
        <f>IF(AA320&gt;0,ROUND(AA320+Z321-Y321,2),0)</f>
        <v>0</v>
      </c>
      <c r="AB321" s="24">
        <f>IF(AA320&gt;0,ROUND(AB320+ROUND(ROUND(AB320*100,0)*ROUND(Y$7*10000,0)/12000000,0)/100+0.02,2),0)</f>
        <v>0</v>
      </c>
      <c r="AC321" s="24">
        <f>IF(AE320&gt;0,IF(AND(ROUND(AE320+AD321-ROUND(AC$6+IF(AC$5=$C321,$E$5+$E321,0),2),2)&gt;0,ROUND(AE320+AD321-ROUND(AC$6+IF(AC$5=$C321,$E$5+$E321,0),2),2)&lt;=AF321,ROUND(AE320+AD321-ROUND(AC$6+IF(AC$5=$C321,$E$5+$E321,0),2),2)*10&lt;=ROUND(AC$6+IF(AC$5=$C321,$E$5+$E321,0),2)),ROUND(AE320+AD321,2),MIN(ROUND(AC$6+IF(AC$5=$C321,$E$5+$E321,0),2),ROUND(AE320+AD321,2))),0)</f>
        <v>0</v>
      </c>
      <c r="AD321" s="24">
        <f>IF(AE320&gt;0,ROUND(ROUND(AE320*100,0)*ROUND(AC$7*10000,0)/12000000,0)/100,0)</f>
        <v>0</v>
      </c>
      <c r="AE321" s="24">
        <f>IF(AE320&gt;0,ROUND(AE320+AD321-AC321,2),0)</f>
        <v>0</v>
      </c>
      <c r="AF321" s="24">
        <f>IF(AE320&gt;0,ROUND(AF320+ROUND(ROUND(AF320*100,0)*ROUND(AC$7*10000,0)/12000000,0)/100+0.02,2),0)</f>
        <v>0</v>
      </c>
      <c r="AG321" s="24">
        <f>IF(AI320&gt;0,IF(AND(ROUND(AI320+AH321-ROUND(AG$6+IF(AG$5=$C321,$E$5+$E321,0),2),2)&gt;0,ROUND(AI320+AH321-ROUND(AG$6+IF(AG$5=$C321,$E$5+$E321,0),2),2)&lt;=AJ321,ROUND(AI320+AH321-ROUND(AG$6+IF(AG$5=$C321,$E$5+$E321,0),2),2)*10&lt;=ROUND(AG$6+IF(AG$5=$C321,$E$5+$E321,0),2)),ROUND(AI320+AH321,2),MIN(ROUND(AG$6+IF(AG$5=$C321,$E$5+$E321,0),2),ROUND(AI320+AH321,2))),0)</f>
        <v>0</v>
      </c>
      <c r="AH321" s="24">
        <f>IF(AI320&gt;0,ROUND(ROUND(AI320*100,0)*ROUND(AG$7*10000,0)/12000000,0)/100,0)</f>
        <v>0</v>
      </c>
      <c r="AI321" s="24">
        <f>IF(AI320&gt;0,ROUND(AI320+AH321-AG321,2),0)</f>
        <v>0</v>
      </c>
      <c r="AJ321" s="24">
        <f>IF(AI320&gt;0,ROUND(AJ320+ROUND(ROUND(AJ320*100,0)*ROUND(AG$7*10000,0)/12000000,0)/100+0.02,2),0)</f>
        <v>0</v>
      </c>
      <c r="AK321" s="24">
        <f>IF(AM320&gt;0,IF(AND(ROUND(AM320+AL321-ROUND(AK$6+IF(AK$5=$C321,$E$5+$E321,0),2),2)&gt;0,ROUND(AM320+AL321-ROUND(AK$6+IF(AK$5=$C321,$E$5+$E321,0),2),2)&lt;=AN321,ROUND(AM320+AL321-ROUND(AK$6+IF(AK$5=$C321,$E$5+$E321,0),2),2)*10&lt;=ROUND(AK$6+IF(AK$5=$C321,$E$5+$E321,0),2)),ROUND(AM320+AL321,2),MIN(ROUND(AK$6+IF(AK$5=$C321,$E$5+$E321,0),2),ROUND(AM320+AL321,2))),0)</f>
        <v>0</v>
      </c>
      <c r="AL321" s="24">
        <f>IF(AM320&gt;0,ROUND(ROUND(AM320*100,0)*ROUND(AK$7*10000,0)/12000000,0)/100,0)</f>
        <v>0</v>
      </c>
      <c r="AM321" s="24">
        <f>IF(AM320&gt;0,ROUND(AM320+AL321-AK321,2),0)</f>
        <v>0</v>
      </c>
      <c r="AN321" s="24">
        <f>IF(AM320&gt;0,ROUND(AN320+ROUND(ROUND(AN320*100,0)*ROUND(AK$7*10000,0)/12000000,0)/100+0.02,2),0)</f>
        <v>0</v>
      </c>
      <c r="AO321" s="24">
        <f>IF(AQ320&gt;0,IF(AND(ROUND(AQ320+AP321-ROUND(AO$6+IF(AO$5=$C321,$E$5+$E321,0),2),2)&gt;0,ROUND(AQ320+AP321-ROUND(AO$6+IF(AO$5=$C321,$E$5+$E321,0),2),2)&lt;=AR321,ROUND(AQ320+AP321-ROUND(AO$6+IF(AO$5=$C321,$E$5+$E321,0),2),2)*10&lt;=ROUND(AO$6+IF(AO$5=$C321,$E$5+$E321,0),2)),ROUND(AQ320+AP321,2),MIN(ROUND(AO$6+IF(AO$5=$C321,$E$5+$E321,0),2),ROUND(AQ320+AP321,2))),0)</f>
        <v>0</v>
      </c>
      <c r="AP321" s="24">
        <f>IF(AQ320&gt;0,ROUND(ROUND(AQ320*100,0)*ROUND(AO$7*10000,0)/12000000,0)/100,0)</f>
        <v>0</v>
      </c>
      <c r="AQ321" s="24">
        <f>IF(AQ320&gt;0,ROUND(AQ320+AP321-AO321,2),0)</f>
        <v>0</v>
      </c>
      <c r="AR321" s="24">
        <f>IF(AQ320&gt;0,ROUND(AR320+ROUND(ROUND(AR320*100,0)*ROUND(AO$7*10000,0)/12000000,0)/100+0.02,2),0)</f>
        <v>0</v>
      </c>
      <c r="AS321" s="24">
        <f>IF(AU320&gt;0,IF(AND(ROUND(AU320+AT321-ROUND(AS$6+IF(AS$5=$C321,$E$5+$E321,0),2),2)&gt;0,ROUND(AU320+AT321-ROUND(AS$6+IF(AS$5=$C321,$E$5+$E321,0),2),2)&lt;=AV321,ROUND(AU320+AT321-ROUND(AS$6+IF(AS$5=$C321,$E$5+$E321,0),2),2)*10&lt;=ROUND(AS$6+IF(AS$5=$C321,$E$5+$E321,0),2)),ROUND(AU320+AT321,2),MIN(ROUND(AS$6+IF(AS$5=$C321,$E$5+$E321,0),2),ROUND(AU320+AT321,2))),0)</f>
        <v>0</v>
      </c>
      <c r="AT321" s="24">
        <f>IF(AU320&gt;0,ROUND(ROUND(AU320*100,0)*ROUND(AS$7*10000,0)/12000000,0)/100,0)</f>
        <v>0</v>
      </c>
      <c r="AU321" s="24">
        <f>IF(AU320&gt;0,ROUND(AU320+AT321-AS321,2),0)</f>
        <v>0</v>
      </c>
      <c r="AV321" s="24">
        <f>IF(AU320&gt;0,ROUND(AV320+ROUND(ROUND(AV320*100,0)*ROUND(AS$7*10000,0)/12000000,0)/100+0.02,2),0)</f>
        <v>0</v>
      </c>
    </row>
    <row r="322" spans="1:48" x14ac:dyDescent="0.25">
      <c r="A322" s="17" t="str">
        <f>IF(F322&gt;0,312,"")</f>
        <v/>
      </c>
      <c r="B322" s="18" t="str">
        <f>IF(F322&gt;0,EDATE($E$6,312),"")</f>
        <v/>
      </c>
      <c r="C322" s="21">
        <f>IF(H321&gt;0,MIN(IF(K321&gt;0,I$5,99),IF(O321&gt;0,M$5,99),IF(S321&gt;0,Q$5,99),IF(W321&gt;0,U$5,99),IF(AA321&gt;0,Y$5,99),IF(AE321&gt;0,AC$5,99),IF(AI321&gt;0,AG$5,99),IF(AM321&gt;0,AK$5,99),IF(AQ321&gt;0,AO$5,99),IF(AU321&gt;0,AS$5,99)),0)</f>
        <v>0</v>
      </c>
      <c r="D322" t="str">
        <f>IF(C322&gt;0,INDEX($I$4:$AV$4,1,MATCH(C322,$I$5:$AV$5,0)),"")</f>
        <v/>
      </c>
      <c r="E322" s="24">
        <f>ROUND(IF(AND(I$8&gt;0,K321=0),I$6,0)+IF(AND(M$8&gt;0,O321=0),M$6,0)+IF(AND(Q$8&gt;0,S321=0),Q$6,0)+IF(AND(U$8&gt;0,W321=0),U$6,0)+IF(AND(Y$8&gt;0,AA321=0),Y$6,0)+IF(AND(AC$8&gt;0,AE321=0),AC$6,0)+IF(AND(AG$8&gt;0,AI321=0),AG$6,0)+IF(AND(AK$8&gt;0,AM321=0),AK$6,0)+IF(AND(AO$8&gt;0,AQ321=0),AO$6,0)+IF(AND(AS$8&gt;0,AU321=0),AS$6,0),2)</f>
        <v>325</v>
      </c>
      <c r="F322" s="24">
        <f>ROUND(I322+M322+Q322+U322+Y322+AC322+AG322+AK322+AO322+AS322,2)</f>
        <v>0</v>
      </c>
      <c r="G322" s="24">
        <f>ROUND(J322+N322+R322+V322+Z322+AD322+AH322+AL322+AP322+AT322,2)</f>
        <v>0</v>
      </c>
      <c r="H322" s="24">
        <f>ROUND(K322+O322+S322+W322+AA322+AE322+AI322+AM322+AQ322+AU322,2)</f>
        <v>0</v>
      </c>
      <c r="I322" s="24">
        <f>IF(K321&gt;0,IF(AND(ROUND(K321+J322-ROUND(I$6+IF(I$5=$C322,$E$5+$E322,0),2),2)&gt;0,ROUND(K321+J322-ROUND(I$6+IF(I$5=$C322,$E$5+$E322,0),2),2)&lt;=L322,ROUND(K321+J322-ROUND(I$6+IF(I$5=$C322,$E$5+$E322,0),2),2)*10&lt;=ROUND(I$6+IF(I$5=$C322,$E$5+$E322,0),2)),ROUND(K321+J322,2),MIN(ROUND(I$6+IF(I$5=$C322,$E$5+$E322,0),2),ROUND(K321+J322,2))),0)</f>
        <v>0</v>
      </c>
      <c r="J322" s="24">
        <f>IF(K321&gt;0,ROUND(ROUND(K321*100,0)*ROUND(I$7*10000,0)/12000000,0)/100,0)</f>
        <v>0</v>
      </c>
      <c r="K322" s="24">
        <f>IF(K321&gt;0,ROUND(K321+J322-I322,2),0)</f>
        <v>0</v>
      </c>
      <c r="L322" s="24">
        <f>IF(K321&gt;0,ROUND(L321+ROUND(ROUND(L321*100,0)*ROUND(I$7*10000,0)/12000000,0)/100+0.02,2),0)</f>
        <v>0</v>
      </c>
      <c r="M322" s="24">
        <f>IF(O321&gt;0,IF(AND(ROUND(O321+N322-ROUND(M$6+IF(M$5=$C322,$E$5+$E322,0),2),2)&gt;0,ROUND(O321+N322-ROUND(M$6+IF(M$5=$C322,$E$5+$E322,0),2),2)&lt;=P322,ROUND(O321+N322-ROUND(M$6+IF(M$5=$C322,$E$5+$E322,0),2),2)*10&lt;=ROUND(M$6+IF(M$5=$C322,$E$5+$E322,0),2)),ROUND(O321+N322,2),MIN(ROUND(M$6+IF(M$5=$C322,$E$5+$E322,0),2),ROUND(O321+N322,2))),0)</f>
        <v>0</v>
      </c>
      <c r="N322" s="24">
        <f>IF(O321&gt;0,ROUND(ROUND(O321*100,0)*ROUND(M$7*10000,0)/12000000,0)/100,0)</f>
        <v>0</v>
      </c>
      <c r="O322" s="24">
        <f>IF(O321&gt;0,ROUND(O321+N322-M322,2),0)</f>
        <v>0</v>
      </c>
      <c r="P322" s="24">
        <f>IF(O321&gt;0,ROUND(P321+ROUND(ROUND(P321*100,0)*ROUND(M$7*10000,0)/12000000,0)/100+0.02,2),0)</f>
        <v>0</v>
      </c>
      <c r="Q322" s="24">
        <f>IF(S321&gt;0,IF(AND(ROUND(S321+R322-ROUND(Q$6+IF(Q$5=$C322,$E$5+$E322,0),2),2)&gt;0,ROUND(S321+R322-ROUND(Q$6+IF(Q$5=$C322,$E$5+$E322,0),2),2)&lt;=T322,ROUND(S321+R322-ROUND(Q$6+IF(Q$5=$C322,$E$5+$E322,0),2),2)*10&lt;=ROUND(Q$6+IF(Q$5=$C322,$E$5+$E322,0),2)),ROUND(S321+R322,2),MIN(ROUND(Q$6+IF(Q$5=$C322,$E$5+$E322,0),2),ROUND(S321+R322,2))),0)</f>
        <v>0</v>
      </c>
      <c r="R322" s="24">
        <f>IF(S321&gt;0,ROUND(ROUND(S321*100,0)*ROUND(Q$7*10000,0)/12000000,0)/100,0)</f>
        <v>0</v>
      </c>
      <c r="S322" s="24">
        <f>IF(S321&gt;0,ROUND(S321+R322-Q322,2),0)</f>
        <v>0</v>
      </c>
      <c r="T322" s="24">
        <f>IF(S321&gt;0,ROUND(T321+ROUND(ROUND(T321*100,0)*ROUND(Q$7*10000,0)/12000000,0)/100+0.02,2),0)</f>
        <v>0</v>
      </c>
      <c r="U322" s="24">
        <f>IF(W321&gt;0,IF(AND(ROUND(W321+V322-ROUND(U$6+IF(U$5=$C322,$E$5+$E322,0),2),2)&gt;0,ROUND(W321+V322-ROUND(U$6+IF(U$5=$C322,$E$5+$E322,0),2),2)&lt;=X322,ROUND(W321+V322-ROUND(U$6+IF(U$5=$C322,$E$5+$E322,0),2),2)*10&lt;=ROUND(U$6+IF(U$5=$C322,$E$5+$E322,0),2)),ROUND(W321+V322,2),MIN(ROUND(U$6+IF(U$5=$C322,$E$5+$E322,0),2),ROUND(W321+V322,2))),0)</f>
        <v>0</v>
      </c>
      <c r="V322" s="24">
        <f>IF(W321&gt;0,ROUND(ROUND(W321*100,0)*ROUND(U$7*10000,0)/12000000,0)/100,0)</f>
        <v>0</v>
      </c>
      <c r="W322" s="24">
        <f>IF(W321&gt;0,ROUND(W321+V322-U322,2),0)</f>
        <v>0</v>
      </c>
      <c r="X322" s="24">
        <f>IF(W321&gt;0,ROUND(X321+ROUND(ROUND(X321*100,0)*ROUND(U$7*10000,0)/12000000,0)/100+0.02,2),0)</f>
        <v>0</v>
      </c>
      <c r="Y322" s="24">
        <f>IF(AA321&gt;0,IF(AND(ROUND(AA321+Z322-ROUND(Y$6+IF(Y$5=$C322,$E$5+$E322,0),2),2)&gt;0,ROUND(AA321+Z322-ROUND(Y$6+IF(Y$5=$C322,$E$5+$E322,0),2),2)&lt;=AB322,ROUND(AA321+Z322-ROUND(Y$6+IF(Y$5=$C322,$E$5+$E322,0),2),2)*10&lt;=ROUND(Y$6+IF(Y$5=$C322,$E$5+$E322,0),2)),ROUND(AA321+Z322,2),MIN(ROUND(Y$6+IF(Y$5=$C322,$E$5+$E322,0),2),ROUND(AA321+Z322,2))),0)</f>
        <v>0</v>
      </c>
      <c r="Z322" s="24">
        <f>IF(AA321&gt;0,ROUND(ROUND(AA321*100,0)*ROUND(Y$7*10000,0)/12000000,0)/100,0)</f>
        <v>0</v>
      </c>
      <c r="AA322" s="24">
        <f>IF(AA321&gt;0,ROUND(AA321+Z322-Y322,2),0)</f>
        <v>0</v>
      </c>
      <c r="AB322" s="24">
        <f>IF(AA321&gt;0,ROUND(AB321+ROUND(ROUND(AB321*100,0)*ROUND(Y$7*10000,0)/12000000,0)/100+0.02,2),0)</f>
        <v>0</v>
      </c>
      <c r="AC322" s="24">
        <f>IF(AE321&gt;0,IF(AND(ROUND(AE321+AD322-ROUND(AC$6+IF(AC$5=$C322,$E$5+$E322,0),2),2)&gt;0,ROUND(AE321+AD322-ROUND(AC$6+IF(AC$5=$C322,$E$5+$E322,0),2),2)&lt;=AF322,ROUND(AE321+AD322-ROUND(AC$6+IF(AC$5=$C322,$E$5+$E322,0),2),2)*10&lt;=ROUND(AC$6+IF(AC$5=$C322,$E$5+$E322,0),2)),ROUND(AE321+AD322,2),MIN(ROUND(AC$6+IF(AC$5=$C322,$E$5+$E322,0),2),ROUND(AE321+AD322,2))),0)</f>
        <v>0</v>
      </c>
      <c r="AD322" s="24">
        <f>IF(AE321&gt;0,ROUND(ROUND(AE321*100,0)*ROUND(AC$7*10000,0)/12000000,0)/100,0)</f>
        <v>0</v>
      </c>
      <c r="AE322" s="24">
        <f>IF(AE321&gt;0,ROUND(AE321+AD322-AC322,2),0)</f>
        <v>0</v>
      </c>
      <c r="AF322" s="24">
        <f>IF(AE321&gt;0,ROUND(AF321+ROUND(ROUND(AF321*100,0)*ROUND(AC$7*10000,0)/12000000,0)/100+0.02,2),0)</f>
        <v>0</v>
      </c>
      <c r="AG322" s="24">
        <f>IF(AI321&gt;0,IF(AND(ROUND(AI321+AH322-ROUND(AG$6+IF(AG$5=$C322,$E$5+$E322,0),2),2)&gt;0,ROUND(AI321+AH322-ROUND(AG$6+IF(AG$5=$C322,$E$5+$E322,0),2),2)&lt;=AJ322,ROUND(AI321+AH322-ROUND(AG$6+IF(AG$5=$C322,$E$5+$E322,0),2),2)*10&lt;=ROUND(AG$6+IF(AG$5=$C322,$E$5+$E322,0),2)),ROUND(AI321+AH322,2),MIN(ROUND(AG$6+IF(AG$5=$C322,$E$5+$E322,0),2),ROUND(AI321+AH322,2))),0)</f>
        <v>0</v>
      </c>
      <c r="AH322" s="24">
        <f>IF(AI321&gt;0,ROUND(ROUND(AI321*100,0)*ROUND(AG$7*10000,0)/12000000,0)/100,0)</f>
        <v>0</v>
      </c>
      <c r="AI322" s="24">
        <f>IF(AI321&gt;0,ROUND(AI321+AH322-AG322,2),0)</f>
        <v>0</v>
      </c>
      <c r="AJ322" s="24">
        <f>IF(AI321&gt;0,ROUND(AJ321+ROUND(ROUND(AJ321*100,0)*ROUND(AG$7*10000,0)/12000000,0)/100+0.02,2),0)</f>
        <v>0</v>
      </c>
      <c r="AK322" s="24">
        <f>IF(AM321&gt;0,IF(AND(ROUND(AM321+AL322-ROUND(AK$6+IF(AK$5=$C322,$E$5+$E322,0),2),2)&gt;0,ROUND(AM321+AL322-ROUND(AK$6+IF(AK$5=$C322,$E$5+$E322,0),2),2)&lt;=AN322,ROUND(AM321+AL322-ROUND(AK$6+IF(AK$5=$C322,$E$5+$E322,0),2),2)*10&lt;=ROUND(AK$6+IF(AK$5=$C322,$E$5+$E322,0),2)),ROUND(AM321+AL322,2),MIN(ROUND(AK$6+IF(AK$5=$C322,$E$5+$E322,0),2),ROUND(AM321+AL322,2))),0)</f>
        <v>0</v>
      </c>
      <c r="AL322" s="24">
        <f>IF(AM321&gt;0,ROUND(ROUND(AM321*100,0)*ROUND(AK$7*10000,0)/12000000,0)/100,0)</f>
        <v>0</v>
      </c>
      <c r="AM322" s="24">
        <f>IF(AM321&gt;0,ROUND(AM321+AL322-AK322,2),0)</f>
        <v>0</v>
      </c>
      <c r="AN322" s="24">
        <f>IF(AM321&gt;0,ROUND(AN321+ROUND(ROUND(AN321*100,0)*ROUND(AK$7*10000,0)/12000000,0)/100+0.02,2),0)</f>
        <v>0</v>
      </c>
      <c r="AO322" s="24">
        <f>IF(AQ321&gt;0,IF(AND(ROUND(AQ321+AP322-ROUND(AO$6+IF(AO$5=$C322,$E$5+$E322,0),2),2)&gt;0,ROUND(AQ321+AP322-ROUND(AO$6+IF(AO$5=$C322,$E$5+$E322,0),2),2)&lt;=AR322,ROUND(AQ321+AP322-ROUND(AO$6+IF(AO$5=$C322,$E$5+$E322,0),2),2)*10&lt;=ROUND(AO$6+IF(AO$5=$C322,$E$5+$E322,0),2)),ROUND(AQ321+AP322,2),MIN(ROUND(AO$6+IF(AO$5=$C322,$E$5+$E322,0),2),ROUND(AQ321+AP322,2))),0)</f>
        <v>0</v>
      </c>
      <c r="AP322" s="24">
        <f>IF(AQ321&gt;0,ROUND(ROUND(AQ321*100,0)*ROUND(AO$7*10000,0)/12000000,0)/100,0)</f>
        <v>0</v>
      </c>
      <c r="AQ322" s="24">
        <f>IF(AQ321&gt;0,ROUND(AQ321+AP322-AO322,2),0)</f>
        <v>0</v>
      </c>
      <c r="AR322" s="24">
        <f>IF(AQ321&gt;0,ROUND(AR321+ROUND(ROUND(AR321*100,0)*ROUND(AO$7*10000,0)/12000000,0)/100+0.02,2),0)</f>
        <v>0</v>
      </c>
      <c r="AS322" s="24">
        <f>IF(AU321&gt;0,IF(AND(ROUND(AU321+AT322-ROUND(AS$6+IF(AS$5=$C322,$E$5+$E322,0),2),2)&gt;0,ROUND(AU321+AT322-ROUND(AS$6+IF(AS$5=$C322,$E$5+$E322,0),2),2)&lt;=AV322,ROUND(AU321+AT322-ROUND(AS$6+IF(AS$5=$C322,$E$5+$E322,0),2),2)*10&lt;=ROUND(AS$6+IF(AS$5=$C322,$E$5+$E322,0),2)),ROUND(AU321+AT322,2),MIN(ROUND(AS$6+IF(AS$5=$C322,$E$5+$E322,0),2),ROUND(AU321+AT322,2))),0)</f>
        <v>0</v>
      </c>
      <c r="AT322" s="24">
        <f>IF(AU321&gt;0,ROUND(ROUND(AU321*100,0)*ROUND(AS$7*10000,0)/12000000,0)/100,0)</f>
        <v>0</v>
      </c>
      <c r="AU322" s="24">
        <f>IF(AU321&gt;0,ROUND(AU321+AT322-AS322,2),0)</f>
        <v>0</v>
      </c>
      <c r="AV322" s="24">
        <f>IF(AU321&gt;0,ROUND(AV321+ROUND(ROUND(AV321*100,0)*ROUND(AS$7*10000,0)/12000000,0)/100+0.02,2),0)</f>
        <v>0</v>
      </c>
    </row>
    <row r="323" spans="1:48" x14ac:dyDescent="0.25">
      <c r="A323" s="17" t="str">
        <f>IF(F323&gt;0,313,"")</f>
        <v/>
      </c>
      <c r="B323" s="18" t="str">
        <f>IF(F323&gt;0,EDATE($E$6,313),"")</f>
        <v/>
      </c>
      <c r="C323" s="21">
        <f>IF(H322&gt;0,MIN(IF(K322&gt;0,I$5,99),IF(O322&gt;0,M$5,99),IF(S322&gt;0,Q$5,99),IF(W322&gt;0,U$5,99),IF(AA322&gt;0,Y$5,99),IF(AE322&gt;0,AC$5,99),IF(AI322&gt;0,AG$5,99),IF(AM322&gt;0,AK$5,99),IF(AQ322&gt;0,AO$5,99),IF(AU322&gt;0,AS$5,99)),0)</f>
        <v>0</v>
      </c>
      <c r="D323" t="str">
        <f>IF(C323&gt;0,INDEX($I$4:$AV$4,1,MATCH(C323,$I$5:$AV$5,0)),"")</f>
        <v/>
      </c>
      <c r="E323" s="24">
        <f>ROUND(IF(AND(I$8&gt;0,K322=0),I$6,0)+IF(AND(M$8&gt;0,O322=0),M$6,0)+IF(AND(Q$8&gt;0,S322=0),Q$6,0)+IF(AND(U$8&gt;0,W322=0),U$6,0)+IF(AND(Y$8&gt;0,AA322=0),Y$6,0)+IF(AND(AC$8&gt;0,AE322=0),AC$6,0)+IF(AND(AG$8&gt;0,AI322=0),AG$6,0)+IF(AND(AK$8&gt;0,AM322=0),AK$6,0)+IF(AND(AO$8&gt;0,AQ322=0),AO$6,0)+IF(AND(AS$8&gt;0,AU322=0),AS$6,0),2)</f>
        <v>325</v>
      </c>
      <c r="F323" s="24">
        <f>ROUND(I323+M323+Q323+U323+Y323+AC323+AG323+AK323+AO323+AS323,2)</f>
        <v>0</v>
      </c>
      <c r="G323" s="24">
        <f>ROUND(J323+N323+R323+V323+Z323+AD323+AH323+AL323+AP323+AT323,2)</f>
        <v>0</v>
      </c>
      <c r="H323" s="24">
        <f>ROUND(K323+O323+S323+W323+AA323+AE323+AI323+AM323+AQ323+AU323,2)</f>
        <v>0</v>
      </c>
      <c r="I323" s="24">
        <f>IF(K322&gt;0,IF(AND(ROUND(K322+J323-ROUND(I$6+IF(I$5=$C323,$E$5+$E323,0),2),2)&gt;0,ROUND(K322+J323-ROUND(I$6+IF(I$5=$C323,$E$5+$E323,0),2),2)&lt;=L323,ROUND(K322+J323-ROUND(I$6+IF(I$5=$C323,$E$5+$E323,0),2),2)*10&lt;=ROUND(I$6+IF(I$5=$C323,$E$5+$E323,0),2)),ROUND(K322+J323,2),MIN(ROUND(I$6+IF(I$5=$C323,$E$5+$E323,0),2),ROUND(K322+J323,2))),0)</f>
        <v>0</v>
      </c>
      <c r="J323" s="24">
        <f>IF(K322&gt;0,ROUND(ROUND(K322*100,0)*ROUND(I$7*10000,0)/12000000,0)/100,0)</f>
        <v>0</v>
      </c>
      <c r="K323" s="24">
        <f>IF(K322&gt;0,ROUND(K322+J323-I323,2),0)</f>
        <v>0</v>
      </c>
      <c r="L323" s="24">
        <f>IF(K322&gt;0,ROUND(L322+ROUND(ROUND(L322*100,0)*ROUND(I$7*10000,0)/12000000,0)/100+0.02,2),0)</f>
        <v>0</v>
      </c>
      <c r="M323" s="24">
        <f>IF(O322&gt;0,IF(AND(ROUND(O322+N323-ROUND(M$6+IF(M$5=$C323,$E$5+$E323,0),2),2)&gt;0,ROUND(O322+N323-ROUND(M$6+IF(M$5=$C323,$E$5+$E323,0),2),2)&lt;=P323,ROUND(O322+N323-ROUND(M$6+IF(M$5=$C323,$E$5+$E323,0),2),2)*10&lt;=ROUND(M$6+IF(M$5=$C323,$E$5+$E323,0),2)),ROUND(O322+N323,2),MIN(ROUND(M$6+IF(M$5=$C323,$E$5+$E323,0),2),ROUND(O322+N323,2))),0)</f>
        <v>0</v>
      </c>
      <c r="N323" s="24">
        <f>IF(O322&gt;0,ROUND(ROUND(O322*100,0)*ROUND(M$7*10000,0)/12000000,0)/100,0)</f>
        <v>0</v>
      </c>
      <c r="O323" s="24">
        <f>IF(O322&gt;0,ROUND(O322+N323-M323,2),0)</f>
        <v>0</v>
      </c>
      <c r="P323" s="24">
        <f>IF(O322&gt;0,ROUND(P322+ROUND(ROUND(P322*100,0)*ROUND(M$7*10000,0)/12000000,0)/100+0.02,2),0)</f>
        <v>0</v>
      </c>
      <c r="Q323" s="24">
        <f>IF(S322&gt;0,IF(AND(ROUND(S322+R323-ROUND(Q$6+IF(Q$5=$C323,$E$5+$E323,0),2),2)&gt;0,ROUND(S322+R323-ROUND(Q$6+IF(Q$5=$C323,$E$5+$E323,0),2),2)&lt;=T323,ROUND(S322+R323-ROUND(Q$6+IF(Q$5=$C323,$E$5+$E323,0),2),2)*10&lt;=ROUND(Q$6+IF(Q$5=$C323,$E$5+$E323,0),2)),ROUND(S322+R323,2),MIN(ROUND(Q$6+IF(Q$5=$C323,$E$5+$E323,0),2),ROUND(S322+R323,2))),0)</f>
        <v>0</v>
      </c>
      <c r="R323" s="24">
        <f>IF(S322&gt;0,ROUND(ROUND(S322*100,0)*ROUND(Q$7*10000,0)/12000000,0)/100,0)</f>
        <v>0</v>
      </c>
      <c r="S323" s="24">
        <f>IF(S322&gt;0,ROUND(S322+R323-Q323,2),0)</f>
        <v>0</v>
      </c>
      <c r="T323" s="24">
        <f>IF(S322&gt;0,ROUND(T322+ROUND(ROUND(T322*100,0)*ROUND(Q$7*10000,0)/12000000,0)/100+0.02,2),0)</f>
        <v>0</v>
      </c>
      <c r="U323" s="24">
        <f>IF(W322&gt;0,IF(AND(ROUND(W322+V323-ROUND(U$6+IF(U$5=$C323,$E$5+$E323,0),2),2)&gt;0,ROUND(W322+V323-ROUND(U$6+IF(U$5=$C323,$E$5+$E323,0),2),2)&lt;=X323,ROUND(W322+V323-ROUND(U$6+IF(U$5=$C323,$E$5+$E323,0),2),2)*10&lt;=ROUND(U$6+IF(U$5=$C323,$E$5+$E323,0),2)),ROUND(W322+V323,2),MIN(ROUND(U$6+IF(U$5=$C323,$E$5+$E323,0),2),ROUND(W322+V323,2))),0)</f>
        <v>0</v>
      </c>
      <c r="V323" s="24">
        <f>IF(W322&gt;0,ROUND(ROUND(W322*100,0)*ROUND(U$7*10000,0)/12000000,0)/100,0)</f>
        <v>0</v>
      </c>
      <c r="W323" s="24">
        <f>IF(W322&gt;0,ROUND(W322+V323-U323,2),0)</f>
        <v>0</v>
      </c>
      <c r="X323" s="24">
        <f>IF(W322&gt;0,ROUND(X322+ROUND(ROUND(X322*100,0)*ROUND(U$7*10000,0)/12000000,0)/100+0.02,2),0)</f>
        <v>0</v>
      </c>
      <c r="Y323" s="24">
        <f>IF(AA322&gt;0,IF(AND(ROUND(AA322+Z323-ROUND(Y$6+IF(Y$5=$C323,$E$5+$E323,0),2),2)&gt;0,ROUND(AA322+Z323-ROUND(Y$6+IF(Y$5=$C323,$E$5+$E323,0),2),2)&lt;=AB323,ROUND(AA322+Z323-ROUND(Y$6+IF(Y$5=$C323,$E$5+$E323,0),2),2)*10&lt;=ROUND(Y$6+IF(Y$5=$C323,$E$5+$E323,0),2)),ROUND(AA322+Z323,2),MIN(ROUND(Y$6+IF(Y$5=$C323,$E$5+$E323,0),2),ROUND(AA322+Z323,2))),0)</f>
        <v>0</v>
      </c>
      <c r="Z323" s="24">
        <f>IF(AA322&gt;0,ROUND(ROUND(AA322*100,0)*ROUND(Y$7*10000,0)/12000000,0)/100,0)</f>
        <v>0</v>
      </c>
      <c r="AA323" s="24">
        <f>IF(AA322&gt;0,ROUND(AA322+Z323-Y323,2),0)</f>
        <v>0</v>
      </c>
      <c r="AB323" s="24">
        <f>IF(AA322&gt;0,ROUND(AB322+ROUND(ROUND(AB322*100,0)*ROUND(Y$7*10000,0)/12000000,0)/100+0.02,2),0)</f>
        <v>0</v>
      </c>
      <c r="AC323" s="24">
        <f>IF(AE322&gt;0,IF(AND(ROUND(AE322+AD323-ROUND(AC$6+IF(AC$5=$C323,$E$5+$E323,0),2),2)&gt;0,ROUND(AE322+AD323-ROUND(AC$6+IF(AC$5=$C323,$E$5+$E323,0),2),2)&lt;=AF323,ROUND(AE322+AD323-ROUND(AC$6+IF(AC$5=$C323,$E$5+$E323,0),2),2)*10&lt;=ROUND(AC$6+IF(AC$5=$C323,$E$5+$E323,0),2)),ROUND(AE322+AD323,2),MIN(ROUND(AC$6+IF(AC$5=$C323,$E$5+$E323,0),2),ROUND(AE322+AD323,2))),0)</f>
        <v>0</v>
      </c>
      <c r="AD323" s="24">
        <f>IF(AE322&gt;0,ROUND(ROUND(AE322*100,0)*ROUND(AC$7*10000,0)/12000000,0)/100,0)</f>
        <v>0</v>
      </c>
      <c r="AE323" s="24">
        <f>IF(AE322&gt;0,ROUND(AE322+AD323-AC323,2),0)</f>
        <v>0</v>
      </c>
      <c r="AF323" s="24">
        <f>IF(AE322&gt;0,ROUND(AF322+ROUND(ROUND(AF322*100,0)*ROUND(AC$7*10000,0)/12000000,0)/100+0.02,2),0)</f>
        <v>0</v>
      </c>
      <c r="AG323" s="24">
        <f>IF(AI322&gt;0,IF(AND(ROUND(AI322+AH323-ROUND(AG$6+IF(AG$5=$C323,$E$5+$E323,0),2),2)&gt;0,ROUND(AI322+AH323-ROUND(AG$6+IF(AG$5=$C323,$E$5+$E323,0),2),2)&lt;=AJ323,ROUND(AI322+AH323-ROUND(AG$6+IF(AG$5=$C323,$E$5+$E323,0),2),2)*10&lt;=ROUND(AG$6+IF(AG$5=$C323,$E$5+$E323,0),2)),ROUND(AI322+AH323,2),MIN(ROUND(AG$6+IF(AG$5=$C323,$E$5+$E323,0),2),ROUND(AI322+AH323,2))),0)</f>
        <v>0</v>
      </c>
      <c r="AH323" s="24">
        <f>IF(AI322&gt;0,ROUND(ROUND(AI322*100,0)*ROUND(AG$7*10000,0)/12000000,0)/100,0)</f>
        <v>0</v>
      </c>
      <c r="AI323" s="24">
        <f>IF(AI322&gt;0,ROUND(AI322+AH323-AG323,2),0)</f>
        <v>0</v>
      </c>
      <c r="AJ323" s="24">
        <f>IF(AI322&gt;0,ROUND(AJ322+ROUND(ROUND(AJ322*100,0)*ROUND(AG$7*10000,0)/12000000,0)/100+0.02,2),0)</f>
        <v>0</v>
      </c>
      <c r="AK323" s="24">
        <f>IF(AM322&gt;0,IF(AND(ROUND(AM322+AL323-ROUND(AK$6+IF(AK$5=$C323,$E$5+$E323,0),2),2)&gt;0,ROUND(AM322+AL323-ROUND(AK$6+IF(AK$5=$C323,$E$5+$E323,0),2),2)&lt;=AN323,ROUND(AM322+AL323-ROUND(AK$6+IF(AK$5=$C323,$E$5+$E323,0),2),2)*10&lt;=ROUND(AK$6+IF(AK$5=$C323,$E$5+$E323,0),2)),ROUND(AM322+AL323,2),MIN(ROUND(AK$6+IF(AK$5=$C323,$E$5+$E323,0),2),ROUND(AM322+AL323,2))),0)</f>
        <v>0</v>
      </c>
      <c r="AL323" s="24">
        <f>IF(AM322&gt;0,ROUND(ROUND(AM322*100,0)*ROUND(AK$7*10000,0)/12000000,0)/100,0)</f>
        <v>0</v>
      </c>
      <c r="AM323" s="24">
        <f>IF(AM322&gt;0,ROUND(AM322+AL323-AK323,2),0)</f>
        <v>0</v>
      </c>
      <c r="AN323" s="24">
        <f>IF(AM322&gt;0,ROUND(AN322+ROUND(ROUND(AN322*100,0)*ROUND(AK$7*10000,0)/12000000,0)/100+0.02,2),0)</f>
        <v>0</v>
      </c>
      <c r="AO323" s="24">
        <f>IF(AQ322&gt;0,IF(AND(ROUND(AQ322+AP323-ROUND(AO$6+IF(AO$5=$C323,$E$5+$E323,0),2),2)&gt;0,ROUND(AQ322+AP323-ROUND(AO$6+IF(AO$5=$C323,$E$5+$E323,0),2),2)&lt;=AR323,ROUND(AQ322+AP323-ROUND(AO$6+IF(AO$5=$C323,$E$5+$E323,0),2),2)*10&lt;=ROUND(AO$6+IF(AO$5=$C323,$E$5+$E323,0),2)),ROUND(AQ322+AP323,2),MIN(ROUND(AO$6+IF(AO$5=$C323,$E$5+$E323,0),2),ROUND(AQ322+AP323,2))),0)</f>
        <v>0</v>
      </c>
      <c r="AP323" s="24">
        <f>IF(AQ322&gt;0,ROUND(ROUND(AQ322*100,0)*ROUND(AO$7*10000,0)/12000000,0)/100,0)</f>
        <v>0</v>
      </c>
      <c r="AQ323" s="24">
        <f>IF(AQ322&gt;0,ROUND(AQ322+AP323-AO323,2),0)</f>
        <v>0</v>
      </c>
      <c r="AR323" s="24">
        <f>IF(AQ322&gt;0,ROUND(AR322+ROUND(ROUND(AR322*100,0)*ROUND(AO$7*10000,0)/12000000,0)/100+0.02,2),0)</f>
        <v>0</v>
      </c>
      <c r="AS323" s="24">
        <f>IF(AU322&gt;0,IF(AND(ROUND(AU322+AT323-ROUND(AS$6+IF(AS$5=$C323,$E$5+$E323,0),2),2)&gt;0,ROUND(AU322+AT323-ROUND(AS$6+IF(AS$5=$C323,$E$5+$E323,0),2),2)&lt;=AV323,ROUND(AU322+AT323-ROUND(AS$6+IF(AS$5=$C323,$E$5+$E323,0),2),2)*10&lt;=ROUND(AS$6+IF(AS$5=$C323,$E$5+$E323,0),2)),ROUND(AU322+AT323,2),MIN(ROUND(AS$6+IF(AS$5=$C323,$E$5+$E323,0),2),ROUND(AU322+AT323,2))),0)</f>
        <v>0</v>
      </c>
      <c r="AT323" s="24">
        <f>IF(AU322&gt;0,ROUND(ROUND(AU322*100,0)*ROUND(AS$7*10000,0)/12000000,0)/100,0)</f>
        <v>0</v>
      </c>
      <c r="AU323" s="24">
        <f>IF(AU322&gt;0,ROUND(AU322+AT323-AS323,2),0)</f>
        <v>0</v>
      </c>
      <c r="AV323" s="24">
        <f>IF(AU322&gt;0,ROUND(AV322+ROUND(ROUND(AV322*100,0)*ROUND(AS$7*10000,0)/12000000,0)/100+0.02,2),0)</f>
        <v>0</v>
      </c>
    </row>
    <row r="324" spans="1:48" x14ac:dyDescent="0.25">
      <c r="A324" s="17" t="str">
        <f>IF(F324&gt;0,314,"")</f>
        <v/>
      </c>
      <c r="B324" s="18" t="str">
        <f>IF(F324&gt;0,EDATE($E$6,314),"")</f>
        <v/>
      </c>
      <c r="C324" s="21">
        <f>IF(H323&gt;0,MIN(IF(K323&gt;0,I$5,99),IF(O323&gt;0,M$5,99),IF(S323&gt;0,Q$5,99),IF(W323&gt;0,U$5,99),IF(AA323&gt;0,Y$5,99),IF(AE323&gt;0,AC$5,99),IF(AI323&gt;0,AG$5,99),IF(AM323&gt;0,AK$5,99),IF(AQ323&gt;0,AO$5,99),IF(AU323&gt;0,AS$5,99)),0)</f>
        <v>0</v>
      </c>
      <c r="D324" t="str">
        <f>IF(C324&gt;0,INDEX($I$4:$AV$4,1,MATCH(C324,$I$5:$AV$5,0)),"")</f>
        <v/>
      </c>
      <c r="E324" s="24">
        <f>ROUND(IF(AND(I$8&gt;0,K323=0),I$6,0)+IF(AND(M$8&gt;0,O323=0),M$6,0)+IF(AND(Q$8&gt;0,S323=0),Q$6,0)+IF(AND(U$8&gt;0,W323=0),U$6,0)+IF(AND(Y$8&gt;0,AA323=0),Y$6,0)+IF(AND(AC$8&gt;0,AE323=0),AC$6,0)+IF(AND(AG$8&gt;0,AI323=0),AG$6,0)+IF(AND(AK$8&gt;0,AM323=0),AK$6,0)+IF(AND(AO$8&gt;0,AQ323=0),AO$6,0)+IF(AND(AS$8&gt;0,AU323=0),AS$6,0),2)</f>
        <v>325</v>
      </c>
      <c r="F324" s="24">
        <f>ROUND(I324+M324+Q324+U324+Y324+AC324+AG324+AK324+AO324+AS324,2)</f>
        <v>0</v>
      </c>
      <c r="G324" s="24">
        <f>ROUND(J324+N324+R324+V324+Z324+AD324+AH324+AL324+AP324+AT324,2)</f>
        <v>0</v>
      </c>
      <c r="H324" s="24">
        <f>ROUND(K324+O324+S324+W324+AA324+AE324+AI324+AM324+AQ324+AU324,2)</f>
        <v>0</v>
      </c>
      <c r="I324" s="24">
        <f>IF(K323&gt;0,IF(AND(ROUND(K323+J324-ROUND(I$6+IF(I$5=$C324,$E$5+$E324,0),2),2)&gt;0,ROUND(K323+J324-ROUND(I$6+IF(I$5=$C324,$E$5+$E324,0),2),2)&lt;=L324,ROUND(K323+J324-ROUND(I$6+IF(I$5=$C324,$E$5+$E324,0),2),2)*10&lt;=ROUND(I$6+IF(I$5=$C324,$E$5+$E324,0),2)),ROUND(K323+J324,2),MIN(ROUND(I$6+IF(I$5=$C324,$E$5+$E324,0),2),ROUND(K323+J324,2))),0)</f>
        <v>0</v>
      </c>
      <c r="J324" s="24">
        <f>IF(K323&gt;0,ROUND(ROUND(K323*100,0)*ROUND(I$7*10000,0)/12000000,0)/100,0)</f>
        <v>0</v>
      </c>
      <c r="K324" s="24">
        <f>IF(K323&gt;0,ROUND(K323+J324-I324,2),0)</f>
        <v>0</v>
      </c>
      <c r="L324" s="24">
        <f>IF(K323&gt;0,ROUND(L323+ROUND(ROUND(L323*100,0)*ROUND(I$7*10000,0)/12000000,0)/100+0.02,2),0)</f>
        <v>0</v>
      </c>
      <c r="M324" s="24">
        <f>IF(O323&gt;0,IF(AND(ROUND(O323+N324-ROUND(M$6+IF(M$5=$C324,$E$5+$E324,0),2),2)&gt;0,ROUND(O323+N324-ROUND(M$6+IF(M$5=$C324,$E$5+$E324,0),2),2)&lt;=P324,ROUND(O323+N324-ROUND(M$6+IF(M$5=$C324,$E$5+$E324,0),2),2)*10&lt;=ROUND(M$6+IF(M$5=$C324,$E$5+$E324,0),2)),ROUND(O323+N324,2),MIN(ROUND(M$6+IF(M$5=$C324,$E$5+$E324,0),2),ROUND(O323+N324,2))),0)</f>
        <v>0</v>
      </c>
      <c r="N324" s="24">
        <f>IF(O323&gt;0,ROUND(ROUND(O323*100,0)*ROUND(M$7*10000,0)/12000000,0)/100,0)</f>
        <v>0</v>
      </c>
      <c r="O324" s="24">
        <f>IF(O323&gt;0,ROUND(O323+N324-M324,2),0)</f>
        <v>0</v>
      </c>
      <c r="P324" s="24">
        <f>IF(O323&gt;0,ROUND(P323+ROUND(ROUND(P323*100,0)*ROUND(M$7*10000,0)/12000000,0)/100+0.02,2),0)</f>
        <v>0</v>
      </c>
      <c r="Q324" s="24">
        <f>IF(S323&gt;0,IF(AND(ROUND(S323+R324-ROUND(Q$6+IF(Q$5=$C324,$E$5+$E324,0),2),2)&gt;0,ROUND(S323+R324-ROUND(Q$6+IF(Q$5=$C324,$E$5+$E324,0),2),2)&lt;=T324,ROUND(S323+R324-ROUND(Q$6+IF(Q$5=$C324,$E$5+$E324,0),2),2)*10&lt;=ROUND(Q$6+IF(Q$5=$C324,$E$5+$E324,0),2)),ROUND(S323+R324,2),MIN(ROUND(Q$6+IF(Q$5=$C324,$E$5+$E324,0),2),ROUND(S323+R324,2))),0)</f>
        <v>0</v>
      </c>
      <c r="R324" s="24">
        <f>IF(S323&gt;0,ROUND(ROUND(S323*100,0)*ROUND(Q$7*10000,0)/12000000,0)/100,0)</f>
        <v>0</v>
      </c>
      <c r="S324" s="24">
        <f>IF(S323&gt;0,ROUND(S323+R324-Q324,2),0)</f>
        <v>0</v>
      </c>
      <c r="T324" s="24">
        <f>IF(S323&gt;0,ROUND(T323+ROUND(ROUND(T323*100,0)*ROUND(Q$7*10000,0)/12000000,0)/100+0.02,2),0)</f>
        <v>0</v>
      </c>
      <c r="U324" s="24">
        <f>IF(W323&gt;0,IF(AND(ROUND(W323+V324-ROUND(U$6+IF(U$5=$C324,$E$5+$E324,0),2),2)&gt;0,ROUND(W323+V324-ROUND(U$6+IF(U$5=$C324,$E$5+$E324,0),2),2)&lt;=X324,ROUND(W323+V324-ROUND(U$6+IF(U$5=$C324,$E$5+$E324,0),2),2)*10&lt;=ROUND(U$6+IF(U$5=$C324,$E$5+$E324,0),2)),ROUND(W323+V324,2),MIN(ROUND(U$6+IF(U$5=$C324,$E$5+$E324,0),2),ROUND(W323+V324,2))),0)</f>
        <v>0</v>
      </c>
      <c r="V324" s="24">
        <f>IF(W323&gt;0,ROUND(ROUND(W323*100,0)*ROUND(U$7*10000,0)/12000000,0)/100,0)</f>
        <v>0</v>
      </c>
      <c r="W324" s="24">
        <f>IF(W323&gt;0,ROUND(W323+V324-U324,2),0)</f>
        <v>0</v>
      </c>
      <c r="X324" s="24">
        <f>IF(W323&gt;0,ROUND(X323+ROUND(ROUND(X323*100,0)*ROUND(U$7*10000,0)/12000000,0)/100+0.02,2),0)</f>
        <v>0</v>
      </c>
      <c r="Y324" s="24">
        <f>IF(AA323&gt;0,IF(AND(ROUND(AA323+Z324-ROUND(Y$6+IF(Y$5=$C324,$E$5+$E324,0),2),2)&gt;0,ROUND(AA323+Z324-ROUND(Y$6+IF(Y$5=$C324,$E$5+$E324,0),2),2)&lt;=AB324,ROUND(AA323+Z324-ROUND(Y$6+IF(Y$5=$C324,$E$5+$E324,0),2),2)*10&lt;=ROUND(Y$6+IF(Y$5=$C324,$E$5+$E324,0),2)),ROUND(AA323+Z324,2),MIN(ROUND(Y$6+IF(Y$5=$C324,$E$5+$E324,0),2),ROUND(AA323+Z324,2))),0)</f>
        <v>0</v>
      </c>
      <c r="Z324" s="24">
        <f>IF(AA323&gt;0,ROUND(ROUND(AA323*100,0)*ROUND(Y$7*10000,0)/12000000,0)/100,0)</f>
        <v>0</v>
      </c>
      <c r="AA324" s="24">
        <f>IF(AA323&gt;0,ROUND(AA323+Z324-Y324,2),0)</f>
        <v>0</v>
      </c>
      <c r="AB324" s="24">
        <f>IF(AA323&gt;0,ROUND(AB323+ROUND(ROUND(AB323*100,0)*ROUND(Y$7*10000,0)/12000000,0)/100+0.02,2),0)</f>
        <v>0</v>
      </c>
      <c r="AC324" s="24">
        <f>IF(AE323&gt;0,IF(AND(ROUND(AE323+AD324-ROUND(AC$6+IF(AC$5=$C324,$E$5+$E324,0),2),2)&gt;0,ROUND(AE323+AD324-ROUND(AC$6+IF(AC$5=$C324,$E$5+$E324,0),2),2)&lt;=AF324,ROUND(AE323+AD324-ROUND(AC$6+IF(AC$5=$C324,$E$5+$E324,0),2),2)*10&lt;=ROUND(AC$6+IF(AC$5=$C324,$E$5+$E324,0),2)),ROUND(AE323+AD324,2),MIN(ROUND(AC$6+IF(AC$5=$C324,$E$5+$E324,0),2),ROUND(AE323+AD324,2))),0)</f>
        <v>0</v>
      </c>
      <c r="AD324" s="24">
        <f>IF(AE323&gt;0,ROUND(ROUND(AE323*100,0)*ROUND(AC$7*10000,0)/12000000,0)/100,0)</f>
        <v>0</v>
      </c>
      <c r="AE324" s="24">
        <f>IF(AE323&gt;0,ROUND(AE323+AD324-AC324,2),0)</f>
        <v>0</v>
      </c>
      <c r="AF324" s="24">
        <f>IF(AE323&gt;0,ROUND(AF323+ROUND(ROUND(AF323*100,0)*ROUND(AC$7*10000,0)/12000000,0)/100+0.02,2),0)</f>
        <v>0</v>
      </c>
      <c r="AG324" s="24">
        <f>IF(AI323&gt;0,IF(AND(ROUND(AI323+AH324-ROUND(AG$6+IF(AG$5=$C324,$E$5+$E324,0),2),2)&gt;0,ROUND(AI323+AH324-ROUND(AG$6+IF(AG$5=$C324,$E$5+$E324,0),2),2)&lt;=AJ324,ROUND(AI323+AH324-ROUND(AG$6+IF(AG$5=$C324,$E$5+$E324,0),2),2)*10&lt;=ROUND(AG$6+IF(AG$5=$C324,$E$5+$E324,0),2)),ROUND(AI323+AH324,2),MIN(ROUND(AG$6+IF(AG$5=$C324,$E$5+$E324,0),2),ROUND(AI323+AH324,2))),0)</f>
        <v>0</v>
      </c>
      <c r="AH324" s="24">
        <f>IF(AI323&gt;0,ROUND(ROUND(AI323*100,0)*ROUND(AG$7*10000,0)/12000000,0)/100,0)</f>
        <v>0</v>
      </c>
      <c r="AI324" s="24">
        <f>IF(AI323&gt;0,ROUND(AI323+AH324-AG324,2),0)</f>
        <v>0</v>
      </c>
      <c r="AJ324" s="24">
        <f>IF(AI323&gt;0,ROUND(AJ323+ROUND(ROUND(AJ323*100,0)*ROUND(AG$7*10000,0)/12000000,0)/100+0.02,2),0)</f>
        <v>0</v>
      </c>
      <c r="AK324" s="24">
        <f>IF(AM323&gt;0,IF(AND(ROUND(AM323+AL324-ROUND(AK$6+IF(AK$5=$C324,$E$5+$E324,0),2),2)&gt;0,ROUND(AM323+AL324-ROUND(AK$6+IF(AK$5=$C324,$E$5+$E324,0),2),2)&lt;=AN324,ROUND(AM323+AL324-ROUND(AK$6+IF(AK$5=$C324,$E$5+$E324,0),2),2)*10&lt;=ROUND(AK$6+IF(AK$5=$C324,$E$5+$E324,0),2)),ROUND(AM323+AL324,2),MIN(ROUND(AK$6+IF(AK$5=$C324,$E$5+$E324,0),2),ROUND(AM323+AL324,2))),0)</f>
        <v>0</v>
      </c>
      <c r="AL324" s="24">
        <f>IF(AM323&gt;0,ROUND(ROUND(AM323*100,0)*ROUND(AK$7*10000,0)/12000000,0)/100,0)</f>
        <v>0</v>
      </c>
      <c r="AM324" s="24">
        <f>IF(AM323&gt;0,ROUND(AM323+AL324-AK324,2),0)</f>
        <v>0</v>
      </c>
      <c r="AN324" s="24">
        <f>IF(AM323&gt;0,ROUND(AN323+ROUND(ROUND(AN323*100,0)*ROUND(AK$7*10000,0)/12000000,0)/100+0.02,2),0)</f>
        <v>0</v>
      </c>
      <c r="AO324" s="24">
        <f>IF(AQ323&gt;0,IF(AND(ROUND(AQ323+AP324-ROUND(AO$6+IF(AO$5=$C324,$E$5+$E324,0),2),2)&gt;0,ROUND(AQ323+AP324-ROUND(AO$6+IF(AO$5=$C324,$E$5+$E324,0),2),2)&lt;=AR324,ROUND(AQ323+AP324-ROUND(AO$6+IF(AO$5=$C324,$E$5+$E324,0),2),2)*10&lt;=ROUND(AO$6+IF(AO$5=$C324,$E$5+$E324,0),2)),ROUND(AQ323+AP324,2),MIN(ROUND(AO$6+IF(AO$5=$C324,$E$5+$E324,0),2),ROUND(AQ323+AP324,2))),0)</f>
        <v>0</v>
      </c>
      <c r="AP324" s="24">
        <f>IF(AQ323&gt;0,ROUND(ROUND(AQ323*100,0)*ROUND(AO$7*10000,0)/12000000,0)/100,0)</f>
        <v>0</v>
      </c>
      <c r="AQ324" s="24">
        <f>IF(AQ323&gt;0,ROUND(AQ323+AP324-AO324,2),0)</f>
        <v>0</v>
      </c>
      <c r="AR324" s="24">
        <f>IF(AQ323&gt;0,ROUND(AR323+ROUND(ROUND(AR323*100,0)*ROUND(AO$7*10000,0)/12000000,0)/100+0.02,2),0)</f>
        <v>0</v>
      </c>
      <c r="AS324" s="24">
        <f>IF(AU323&gt;0,IF(AND(ROUND(AU323+AT324-ROUND(AS$6+IF(AS$5=$C324,$E$5+$E324,0),2),2)&gt;0,ROUND(AU323+AT324-ROUND(AS$6+IF(AS$5=$C324,$E$5+$E324,0),2),2)&lt;=AV324,ROUND(AU323+AT324-ROUND(AS$6+IF(AS$5=$C324,$E$5+$E324,0),2),2)*10&lt;=ROUND(AS$6+IF(AS$5=$C324,$E$5+$E324,0),2)),ROUND(AU323+AT324,2),MIN(ROUND(AS$6+IF(AS$5=$C324,$E$5+$E324,0),2),ROUND(AU323+AT324,2))),0)</f>
        <v>0</v>
      </c>
      <c r="AT324" s="24">
        <f>IF(AU323&gt;0,ROUND(ROUND(AU323*100,0)*ROUND(AS$7*10000,0)/12000000,0)/100,0)</f>
        <v>0</v>
      </c>
      <c r="AU324" s="24">
        <f>IF(AU323&gt;0,ROUND(AU323+AT324-AS324,2),0)</f>
        <v>0</v>
      </c>
      <c r="AV324" s="24">
        <f>IF(AU323&gt;0,ROUND(AV323+ROUND(ROUND(AV323*100,0)*ROUND(AS$7*10000,0)/12000000,0)/100+0.02,2),0)</f>
        <v>0</v>
      </c>
    </row>
    <row r="325" spans="1:48" x14ac:dyDescent="0.25">
      <c r="A325" s="17" t="str">
        <f>IF(F325&gt;0,315,"")</f>
        <v/>
      </c>
      <c r="B325" s="18" t="str">
        <f>IF(F325&gt;0,EDATE($E$6,315),"")</f>
        <v/>
      </c>
      <c r="C325" s="21">
        <f>IF(H324&gt;0,MIN(IF(K324&gt;0,I$5,99),IF(O324&gt;0,M$5,99),IF(S324&gt;0,Q$5,99),IF(W324&gt;0,U$5,99),IF(AA324&gt;0,Y$5,99),IF(AE324&gt;0,AC$5,99),IF(AI324&gt;0,AG$5,99),IF(AM324&gt;0,AK$5,99),IF(AQ324&gt;0,AO$5,99),IF(AU324&gt;0,AS$5,99)),0)</f>
        <v>0</v>
      </c>
      <c r="D325" t="str">
        <f>IF(C325&gt;0,INDEX($I$4:$AV$4,1,MATCH(C325,$I$5:$AV$5,0)),"")</f>
        <v/>
      </c>
      <c r="E325" s="24">
        <f>ROUND(IF(AND(I$8&gt;0,K324=0),I$6,0)+IF(AND(M$8&gt;0,O324=0),M$6,0)+IF(AND(Q$8&gt;0,S324=0),Q$6,0)+IF(AND(U$8&gt;0,W324=0),U$6,0)+IF(AND(Y$8&gt;0,AA324=0),Y$6,0)+IF(AND(AC$8&gt;0,AE324=0),AC$6,0)+IF(AND(AG$8&gt;0,AI324=0),AG$6,0)+IF(AND(AK$8&gt;0,AM324=0),AK$6,0)+IF(AND(AO$8&gt;0,AQ324=0),AO$6,0)+IF(AND(AS$8&gt;0,AU324=0),AS$6,0),2)</f>
        <v>325</v>
      </c>
      <c r="F325" s="24">
        <f>ROUND(I325+M325+Q325+U325+Y325+AC325+AG325+AK325+AO325+AS325,2)</f>
        <v>0</v>
      </c>
      <c r="G325" s="24">
        <f>ROUND(J325+N325+R325+V325+Z325+AD325+AH325+AL325+AP325+AT325,2)</f>
        <v>0</v>
      </c>
      <c r="H325" s="24">
        <f>ROUND(K325+O325+S325+W325+AA325+AE325+AI325+AM325+AQ325+AU325,2)</f>
        <v>0</v>
      </c>
      <c r="I325" s="24">
        <f>IF(K324&gt;0,IF(AND(ROUND(K324+J325-ROUND(I$6+IF(I$5=$C325,$E$5+$E325,0),2),2)&gt;0,ROUND(K324+J325-ROUND(I$6+IF(I$5=$C325,$E$5+$E325,0),2),2)&lt;=L325,ROUND(K324+J325-ROUND(I$6+IF(I$5=$C325,$E$5+$E325,0),2),2)*10&lt;=ROUND(I$6+IF(I$5=$C325,$E$5+$E325,0),2)),ROUND(K324+J325,2),MIN(ROUND(I$6+IF(I$5=$C325,$E$5+$E325,0),2),ROUND(K324+J325,2))),0)</f>
        <v>0</v>
      </c>
      <c r="J325" s="24">
        <f>IF(K324&gt;0,ROUND(ROUND(K324*100,0)*ROUND(I$7*10000,0)/12000000,0)/100,0)</f>
        <v>0</v>
      </c>
      <c r="K325" s="24">
        <f>IF(K324&gt;0,ROUND(K324+J325-I325,2),0)</f>
        <v>0</v>
      </c>
      <c r="L325" s="24">
        <f>IF(K324&gt;0,ROUND(L324+ROUND(ROUND(L324*100,0)*ROUND(I$7*10000,0)/12000000,0)/100+0.02,2),0)</f>
        <v>0</v>
      </c>
      <c r="M325" s="24">
        <f>IF(O324&gt;0,IF(AND(ROUND(O324+N325-ROUND(M$6+IF(M$5=$C325,$E$5+$E325,0),2),2)&gt;0,ROUND(O324+N325-ROUND(M$6+IF(M$5=$C325,$E$5+$E325,0),2),2)&lt;=P325,ROUND(O324+N325-ROUND(M$6+IF(M$5=$C325,$E$5+$E325,0),2),2)*10&lt;=ROUND(M$6+IF(M$5=$C325,$E$5+$E325,0),2)),ROUND(O324+N325,2),MIN(ROUND(M$6+IF(M$5=$C325,$E$5+$E325,0),2),ROUND(O324+N325,2))),0)</f>
        <v>0</v>
      </c>
      <c r="N325" s="24">
        <f>IF(O324&gt;0,ROUND(ROUND(O324*100,0)*ROUND(M$7*10000,0)/12000000,0)/100,0)</f>
        <v>0</v>
      </c>
      <c r="O325" s="24">
        <f>IF(O324&gt;0,ROUND(O324+N325-M325,2),0)</f>
        <v>0</v>
      </c>
      <c r="P325" s="24">
        <f>IF(O324&gt;0,ROUND(P324+ROUND(ROUND(P324*100,0)*ROUND(M$7*10000,0)/12000000,0)/100+0.02,2),0)</f>
        <v>0</v>
      </c>
      <c r="Q325" s="24">
        <f>IF(S324&gt;0,IF(AND(ROUND(S324+R325-ROUND(Q$6+IF(Q$5=$C325,$E$5+$E325,0),2),2)&gt;0,ROUND(S324+R325-ROUND(Q$6+IF(Q$5=$C325,$E$5+$E325,0),2),2)&lt;=T325,ROUND(S324+R325-ROUND(Q$6+IF(Q$5=$C325,$E$5+$E325,0),2),2)*10&lt;=ROUND(Q$6+IF(Q$5=$C325,$E$5+$E325,0),2)),ROUND(S324+R325,2),MIN(ROUND(Q$6+IF(Q$5=$C325,$E$5+$E325,0),2),ROUND(S324+R325,2))),0)</f>
        <v>0</v>
      </c>
      <c r="R325" s="24">
        <f>IF(S324&gt;0,ROUND(ROUND(S324*100,0)*ROUND(Q$7*10000,0)/12000000,0)/100,0)</f>
        <v>0</v>
      </c>
      <c r="S325" s="24">
        <f>IF(S324&gt;0,ROUND(S324+R325-Q325,2),0)</f>
        <v>0</v>
      </c>
      <c r="T325" s="24">
        <f>IF(S324&gt;0,ROUND(T324+ROUND(ROUND(T324*100,0)*ROUND(Q$7*10000,0)/12000000,0)/100+0.02,2),0)</f>
        <v>0</v>
      </c>
      <c r="U325" s="24">
        <f>IF(W324&gt;0,IF(AND(ROUND(W324+V325-ROUND(U$6+IF(U$5=$C325,$E$5+$E325,0),2),2)&gt;0,ROUND(W324+V325-ROUND(U$6+IF(U$5=$C325,$E$5+$E325,0),2),2)&lt;=X325,ROUND(W324+V325-ROUND(U$6+IF(U$5=$C325,$E$5+$E325,0),2),2)*10&lt;=ROUND(U$6+IF(U$5=$C325,$E$5+$E325,0),2)),ROUND(W324+V325,2),MIN(ROUND(U$6+IF(U$5=$C325,$E$5+$E325,0),2),ROUND(W324+V325,2))),0)</f>
        <v>0</v>
      </c>
      <c r="V325" s="24">
        <f>IF(W324&gt;0,ROUND(ROUND(W324*100,0)*ROUND(U$7*10000,0)/12000000,0)/100,0)</f>
        <v>0</v>
      </c>
      <c r="W325" s="24">
        <f>IF(W324&gt;0,ROUND(W324+V325-U325,2),0)</f>
        <v>0</v>
      </c>
      <c r="X325" s="24">
        <f>IF(W324&gt;0,ROUND(X324+ROUND(ROUND(X324*100,0)*ROUND(U$7*10000,0)/12000000,0)/100+0.02,2),0)</f>
        <v>0</v>
      </c>
      <c r="Y325" s="24">
        <f>IF(AA324&gt;0,IF(AND(ROUND(AA324+Z325-ROUND(Y$6+IF(Y$5=$C325,$E$5+$E325,0),2),2)&gt;0,ROUND(AA324+Z325-ROUND(Y$6+IF(Y$5=$C325,$E$5+$E325,0),2),2)&lt;=AB325,ROUND(AA324+Z325-ROUND(Y$6+IF(Y$5=$C325,$E$5+$E325,0),2),2)*10&lt;=ROUND(Y$6+IF(Y$5=$C325,$E$5+$E325,0),2)),ROUND(AA324+Z325,2),MIN(ROUND(Y$6+IF(Y$5=$C325,$E$5+$E325,0),2),ROUND(AA324+Z325,2))),0)</f>
        <v>0</v>
      </c>
      <c r="Z325" s="24">
        <f>IF(AA324&gt;0,ROUND(ROUND(AA324*100,0)*ROUND(Y$7*10000,0)/12000000,0)/100,0)</f>
        <v>0</v>
      </c>
      <c r="AA325" s="24">
        <f>IF(AA324&gt;0,ROUND(AA324+Z325-Y325,2),0)</f>
        <v>0</v>
      </c>
      <c r="AB325" s="24">
        <f>IF(AA324&gt;0,ROUND(AB324+ROUND(ROUND(AB324*100,0)*ROUND(Y$7*10000,0)/12000000,0)/100+0.02,2),0)</f>
        <v>0</v>
      </c>
      <c r="AC325" s="24">
        <f>IF(AE324&gt;0,IF(AND(ROUND(AE324+AD325-ROUND(AC$6+IF(AC$5=$C325,$E$5+$E325,0),2),2)&gt;0,ROUND(AE324+AD325-ROUND(AC$6+IF(AC$5=$C325,$E$5+$E325,0),2),2)&lt;=AF325,ROUND(AE324+AD325-ROUND(AC$6+IF(AC$5=$C325,$E$5+$E325,0),2),2)*10&lt;=ROUND(AC$6+IF(AC$5=$C325,$E$5+$E325,0),2)),ROUND(AE324+AD325,2),MIN(ROUND(AC$6+IF(AC$5=$C325,$E$5+$E325,0),2),ROUND(AE324+AD325,2))),0)</f>
        <v>0</v>
      </c>
      <c r="AD325" s="24">
        <f>IF(AE324&gt;0,ROUND(ROUND(AE324*100,0)*ROUND(AC$7*10000,0)/12000000,0)/100,0)</f>
        <v>0</v>
      </c>
      <c r="AE325" s="24">
        <f>IF(AE324&gt;0,ROUND(AE324+AD325-AC325,2),0)</f>
        <v>0</v>
      </c>
      <c r="AF325" s="24">
        <f>IF(AE324&gt;0,ROUND(AF324+ROUND(ROUND(AF324*100,0)*ROUND(AC$7*10000,0)/12000000,0)/100+0.02,2),0)</f>
        <v>0</v>
      </c>
      <c r="AG325" s="24">
        <f>IF(AI324&gt;0,IF(AND(ROUND(AI324+AH325-ROUND(AG$6+IF(AG$5=$C325,$E$5+$E325,0),2),2)&gt;0,ROUND(AI324+AH325-ROUND(AG$6+IF(AG$5=$C325,$E$5+$E325,0),2),2)&lt;=AJ325,ROUND(AI324+AH325-ROUND(AG$6+IF(AG$5=$C325,$E$5+$E325,0),2),2)*10&lt;=ROUND(AG$6+IF(AG$5=$C325,$E$5+$E325,0),2)),ROUND(AI324+AH325,2),MIN(ROUND(AG$6+IF(AG$5=$C325,$E$5+$E325,0),2),ROUND(AI324+AH325,2))),0)</f>
        <v>0</v>
      </c>
      <c r="AH325" s="24">
        <f>IF(AI324&gt;0,ROUND(ROUND(AI324*100,0)*ROUND(AG$7*10000,0)/12000000,0)/100,0)</f>
        <v>0</v>
      </c>
      <c r="AI325" s="24">
        <f>IF(AI324&gt;0,ROUND(AI324+AH325-AG325,2),0)</f>
        <v>0</v>
      </c>
      <c r="AJ325" s="24">
        <f>IF(AI324&gt;0,ROUND(AJ324+ROUND(ROUND(AJ324*100,0)*ROUND(AG$7*10000,0)/12000000,0)/100+0.02,2),0)</f>
        <v>0</v>
      </c>
      <c r="AK325" s="24">
        <f>IF(AM324&gt;0,IF(AND(ROUND(AM324+AL325-ROUND(AK$6+IF(AK$5=$C325,$E$5+$E325,0),2),2)&gt;0,ROUND(AM324+AL325-ROUND(AK$6+IF(AK$5=$C325,$E$5+$E325,0),2),2)&lt;=AN325,ROUND(AM324+AL325-ROUND(AK$6+IF(AK$5=$C325,$E$5+$E325,0),2),2)*10&lt;=ROUND(AK$6+IF(AK$5=$C325,$E$5+$E325,0),2)),ROUND(AM324+AL325,2),MIN(ROUND(AK$6+IF(AK$5=$C325,$E$5+$E325,0),2),ROUND(AM324+AL325,2))),0)</f>
        <v>0</v>
      </c>
      <c r="AL325" s="24">
        <f>IF(AM324&gt;0,ROUND(ROUND(AM324*100,0)*ROUND(AK$7*10000,0)/12000000,0)/100,0)</f>
        <v>0</v>
      </c>
      <c r="AM325" s="24">
        <f>IF(AM324&gt;0,ROUND(AM324+AL325-AK325,2),0)</f>
        <v>0</v>
      </c>
      <c r="AN325" s="24">
        <f>IF(AM324&gt;0,ROUND(AN324+ROUND(ROUND(AN324*100,0)*ROUND(AK$7*10000,0)/12000000,0)/100+0.02,2),0)</f>
        <v>0</v>
      </c>
      <c r="AO325" s="24">
        <f>IF(AQ324&gt;0,IF(AND(ROUND(AQ324+AP325-ROUND(AO$6+IF(AO$5=$C325,$E$5+$E325,0),2),2)&gt;0,ROUND(AQ324+AP325-ROUND(AO$6+IF(AO$5=$C325,$E$5+$E325,0),2),2)&lt;=AR325,ROUND(AQ324+AP325-ROUND(AO$6+IF(AO$5=$C325,$E$5+$E325,0),2),2)*10&lt;=ROUND(AO$6+IF(AO$5=$C325,$E$5+$E325,0),2)),ROUND(AQ324+AP325,2),MIN(ROUND(AO$6+IF(AO$5=$C325,$E$5+$E325,0),2),ROUND(AQ324+AP325,2))),0)</f>
        <v>0</v>
      </c>
      <c r="AP325" s="24">
        <f>IF(AQ324&gt;0,ROUND(ROUND(AQ324*100,0)*ROUND(AO$7*10000,0)/12000000,0)/100,0)</f>
        <v>0</v>
      </c>
      <c r="AQ325" s="24">
        <f>IF(AQ324&gt;0,ROUND(AQ324+AP325-AO325,2),0)</f>
        <v>0</v>
      </c>
      <c r="AR325" s="24">
        <f>IF(AQ324&gt;0,ROUND(AR324+ROUND(ROUND(AR324*100,0)*ROUND(AO$7*10000,0)/12000000,0)/100+0.02,2),0)</f>
        <v>0</v>
      </c>
      <c r="AS325" s="24">
        <f>IF(AU324&gt;0,IF(AND(ROUND(AU324+AT325-ROUND(AS$6+IF(AS$5=$C325,$E$5+$E325,0),2),2)&gt;0,ROUND(AU324+AT325-ROUND(AS$6+IF(AS$5=$C325,$E$5+$E325,0),2),2)&lt;=AV325,ROUND(AU324+AT325-ROUND(AS$6+IF(AS$5=$C325,$E$5+$E325,0),2),2)*10&lt;=ROUND(AS$6+IF(AS$5=$C325,$E$5+$E325,0),2)),ROUND(AU324+AT325,2),MIN(ROUND(AS$6+IF(AS$5=$C325,$E$5+$E325,0),2),ROUND(AU324+AT325,2))),0)</f>
        <v>0</v>
      </c>
      <c r="AT325" s="24">
        <f>IF(AU324&gt;0,ROUND(ROUND(AU324*100,0)*ROUND(AS$7*10000,0)/12000000,0)/100,0)</f>
        <v>0</v>
      </c>
      <c r="AU325" s="24">
        <f>IF(AU324&gt;0,ROUND(AU324+AT325-AS325,2),0)</f>
        <v>0</v>
      </c>
      <c r="AV325" s="24">
        <f>IF(AU324&gt;0,ROUND(AV324+ROUND(ROUND(AV324*100,0)*ROUND(AS$7*10000,0)/12000000,0)/100+0.02,2),0)</f>
        <v>0</v>
      </c>
    </row>
    <row r="326" spans="1:48" x14ac:dyDescent="0.25">
      <c r="A326" s="17" t="str">
        <f>IF(F326&gt;0,316,"")</f>
        <v/>
      </c>
      <c r="B326" s="18" t="str">
        <f>IF(F326&gt;0,EDATE($E$6,316),"")</f>
        <v/>
      </c>
      <c r="C326" s="21">
        <f>IF(H325&gt;0,MIN(IF(K325&gt;0,I$5,99),IF(O325&gt;0,M$5,99),IF(S325&gt;0,Q$5,99),IF(W325&gt;0,U$5,99),IF(AA325&gt;0,Y$5,99),IF(AE325&gt;0,AC$5,99),IF(AI325&gt;0,AG$5,99),IF(AM325&gt;0,AK$5,99),IF(AQ325&gt;0,AO$5,99),IF(AU325&gt;0,AS$5,99)),0)</f>
        <v>0</v>
      </c>
      <c r="D326" t="str">
        <f>IF(C326&gt;0,INDEX($I$4:$AV$4,1,MATCH(C326,$I$5:$AV$5,0)),"")</f>
        <v/>
      </c>
      <c r="E326" s="24">
        <f>ROUND(IF(AND(I$8&gt;0,K325=0),I$6,0)+IF(AND(M$8&gt;0,O325=0),M$6,0)+IF(AND(Q$8&gt;0,S325=0),Q$6,0)+IF(AND(U$8&gt;0,W325=0),U$6,0)+IF(AND(Y$8&gt;0,AA325=0),Y$6,0)+IF(AND(AC$8&gt;0,AE325=0),AC$6,0)+IF(AND(AG$8&gt;0,AI325=0),AG$6,0)+IF(AND(AK$8&gt;0,AM325=0),AK$6,0)+IF(AND(AO$8&gt;0,AQ325=0),AO$6,0)+IF(AND(AS$8&gt;0,AU325=0),AS$6,0),2)</f>
        <v>325</v>
      </c>
      <c r="F326" s="24">
        <f>ROUND(I326+M326+Q326+U326+Y326+AC326+AG326+AK326+AO326+AS326,2)</f>
        <v>0</v>
      </c>
      <c r="G326" s="24">
        <f>ROUND(J326+N326+R326+V326+Z326+AD326+AH326+AL326+AP326+AT326,2)</f>
        <v>0</v>
      </c>
      <c r="H326" s="24">
        <f>ROUND(K326+O326+S326+W326+AA326+AE326+AI326+AM326+AQ326+AU326,2)</f>
        <v>0</v>
      </c>
      <c r="I326" s="24">
        <f>IF(K325&gt;0,IF(AND(ROUND(K325+J326-ROUND(I$6+IF(I$5=$C326,$E$5+$E326,0),2),2)&gt;0,ROUND(K325+J326-ROUND(I$6+IF(I$5=$C326,$E$5+$E326,0),2),2)&lt;=L326,ROUND(K325+J326-ROUND(I$6+IF(I$5=$C326,$E$5+$E326,0),2),2)*10&lt;=ROUND(I$6+IF(I$5=$C326,$E$5+$E326,0),2)),ROUND(K325+J326,2),MIN(ROUND(I$6+IF(I$5=$C326,$E$5+$E326,0),2),ROUND(K325+J326,2))),0)</f>
        <v>0</v>
      </c>
      <c r="J326" s="24">
        <f>IF(K325&gt;0,ROUND(ROUND(K325*100,0)*ROUND(I$7*10000,0)/12000000,0)/100,0)</f>
        <v>0</v>
      </c>
      <c r="K326" s="24">
        <f>IF(K325&gt;0,ROUND(K325+J326-I326,2),0)</f>
        <v>0</v>
      </c>
      <c r="L326" s="24">
        <f>IF(K325&gt;0,ROUND(L325+ROUND(ROUND(L325*100,0)*ROUND(I$7*10000,0)/12000000,0)/100+0.02,2),0)</f>
        <v>0</v>
      </c>
      <c r="M326" s="24">
        <f>IF(O325&gt;0,IF(AND(ROUND(O325+N326-ROUND(M$6+IF(M$5=$C326,$E$5+$E326,0),2),2)&gt;0,ROUND(O325+N326-ROUND(M$6+IF(M$5=$C326,$E$5+$E326,0),2),2)&lt;=P326,ROUND(O325+N326-ROUND(M$6+IF(M$5=$C326,$E$5+$E326,0),2),2)*10&lt;=ROUND(M$6+IF(M$5=$C326,$E$5+$E326,0),2)),ROUND(O325+N326,2),MIN(ROUND(M$6+IF(M$5=$C326,$E$5+$E326,0),2),ROUND(O325+N326,2))),0)</f>
        <v>0</v>
      </c>
      <c r="N326" s="24">
        <f>IF(O325&gt;0,ROUND(ROUND(O325*100,0)*ROUND(M$7*10000,0)/12000000,0)/100,0)</f>
        <v>0</v>
      </c>
      <c r="O326" s="24">
        <f>IF(O325&gt;0,ROUND(O325+N326-M326,2),0)</f>
        <v>0</v>
      </c>
      <c r="P326" s="24">
        <f>IF(O325&gt;0,ROUND(P325+ROUND(ROUND(P325*100,0)*ROUND(M$7*10000,0)/12000000,0)/100+0.02,2),0)</f>
        <v>0</v>
      </c>
      <c r="Q326" s="24">
        <f>IF(S325&gt;0,IF(AND(ROUND(S325+R326-ROUND(Q$6+IF(Q$5=$C326,$E$5+$E326,0),2),2)&gt;0,ROUND(S325+R326-ROUND(Q$6+IF(Q$5=$C326,$E$5+$E326,0),2),2)&lt;=T326,ROUND(S325+R326-ROUND(Q$6+IF(Q$5=$C326,$E$5+$E326,0),2),2)*10&lt;=ROUND(Q$6+IF(Q$5=$C326,$E$5+$E326,0),2)),ROUND(S325+R326,2),MIN(ROUND(Q$6+IF(Q$5=$C326,$E$5+$E326,0),2),ROUND(S325+R326,2))),0)</f>
        <v>0</v>
      </c>
      <c r="R326" s="24">
        <f>IF(S325&gt;0,ROUND(ROUND(S325*100,0)*ROUND(Q$7*10000,0)/12000000,0)/100,0)</f>
        <v>0</v>
      </c>
      <c r="S326" s="24">
        <f>IF(S325&gt;0,ROUND(S325+R326-Q326,2),0)</f>
        <v>0</v>
      </c>
      <c r="T326" s="24">
        <f>IF(S325&gt;0,ROUND(T325+ROUND(ROUND(T325*100,0)*ROUND(Q$7*10000,0)/12000000,0)/100+0.02,2),0)</f>
        <v>0</v>
      </c>
      <c r="U326" s="24">
        <f>IF(W325&gt;0,IF(AND(ROUND(W325+V326-ROUND(U$6+IF(U$5=$C326,$E$5+$E326,0),2),2)&gt;0,ROUND(W325+V326-ROUND(U$6+IF(U$5=$C326,$E$5+$E326,0),2),2)&lt;=X326,ROUND(W325+V326-ROUND(U$6+IF(U$5=$C326,$E$5+$E326,0),2),2)*10&lt;=ROUND(U$6+IF(U$5=$C326,$E$5+$E326,0),2)),ROUND(W325+V326,2),MIN(ROUND(U$6+IF(U$5=$C326,$E$5+$E326,0),2),ROUND(W325+V326,2))),0)</f>
        <v>0</v>
      </c>
      <c r="V326" s="24">
        <f>IF(W325&gt;0,ROUND(ROUND(W325*100,0)*ROUND(U$7*10000,0)/12000000,0)/100,0)</f>
        <v>0</v>
      </c>
      <c r="W326" s="24">
        <f>IF(W325&gt;0,ROUND(W325+V326-U326,2),0)</f>
        <v>0</v>
      </c>
      <c r="X326" s="24">
        <f>IF(W325&gt;0,ROUND(X325+ROUND(ROUND(X325*100,0)*ROUND(U$7*10000,0)/12000000,0)/100+0.02,2),0)</f>
        <v>0</v>
      </c>
      <c r="Y326" s="24">
        <f>IF(AA325&gt;0,IF(AND(ROUND(AA325+Z326-ROUND(Y$6+IF(Y$5=$C326,$E$5+$E326,0),2),2)&gt;0,ROUND(AA325+Z326-ROUND(Y$6+IF(Y$5=$C326,$E$5+$E326,0),2),2)&lt;=AB326,ROUND(AA325+Z326-ROUND(Y$6+IF(Y$5=$C326,$E$5+$E326,0),2),2)*10&lt;=ROUND(Y$6+IF(Y$5=$C326,$E$5+$E326,0),2)),ROUND(AA325+Z326,2),MIN(ROUND(Y$6+IF(Y$5=$C326,$E$5+$E326,0),2),ROUND(AA325+Z326,2))),0)</f>
        <v>0</v>
      </c>
      <c r="Z326" s="24">
        <f>IF(AA325&gt;0,ROUND(ROUND(AA325*100,0)*ROUND(Y$7*10000,0)/12000000,0)/100,0)</f>
        <v>0</v>
      </c>
      <c r="AA326" s="24">
        <f>IF(AA325&gt;0,ROUND(AA325+Z326-Y326,2),0)</f>
        <v>0</v>
      </c>
      <c r="AB326" s="24">
        <f>IF(AA325&gt;0,ROUND(AB325+ROUND(ROUND(AB325*100,0)*ROUND(Y$7*10000,0)/12000000,0)/100+0.02,2),0)</f>
        <v>0</v>
      </c>
      <c r="AC326" s="24">
        <f>IF(AE325&gt;0,IF(AND(ROUND(AE325+AD326-ROUND(AC$6+IF(AC$5=$C326,$E$5+$E326,0),2),2)&gt;0,ROUND(AE325+AD326-ROUND(AC$6+IF(AC$5=$C326,$E$5+$E326,0),2),2)&lt;=AF326,ROUND(AE325+AD326-ROUND(AC$6+IF(AC$5=$C326,$E$5+$E326,0),2),2)*10&lt;=ROUND(AC$6+IF(AC$5=$C326,$E$5+$E326,0),2)),ROUND(AE325+AD326,2),MIN(ROUND(AC$6+IF(AC$5=$C326,$E$5+$E326,0),2),ROUND(AE325+AD326,2))),0)</f>
        <v>0</v>
      </c>
      <c r="AD326" s="24">
        <f>IF(AE325&gt;0,ROUND(ROUND(AE325*100,0)*ROUND(AC$7*10000,0)/12000000,0)/100,0)</f>
        <v>0</v>
      </c>
      <c r="AE326" s="24">
        <f>IF(AE325&gt;0,ROUND(AE325+AD326-AC326,2),0)</f>
        <v>0</v>
      </c>
      <c r="AF326" s="24">
        <f>IF(AE325&gt;0,ROUND(AF325+ROUND(ROUND(AF325*100,0)*ROUND(AC$7*10000,0)/12000000,0)/100+0.02,2),0)</f>
        <v>0</v>
      </c>
      <c r="AG326" s="24">
        <f>IF(AI325&gt;0,IF(AND(ROUND(AI325+AH326-ROUND(AG$6+IF(AG$5=$C326,$E$5+$E326,0),2),2)&gt;0,ROUND(AI325+AH326-ROUND(AG$6+IF(AG$5=$C326,$E$5+$E326,0),2),2)&lt;=AJ326,ROUND(AI325+AH326-ROUND(AG$6+IF(AG$5=$C326,$E$5+$E326,0),2),2)*10&lt;=ROUND(AG$6+IF(AG$5=$C326,$E$5+$E326,0),2)),ROUND(AI325+AH326,2),MIN(ROUND(AG$6+IF(AG$5=$C326,$E$5+$E326,0),2),ROUND(AI325+AH326,2))),0)</f>
        <v>0</v>
      </c>
      <c r="AH326" s="24">
        <f>IF(AI325&gt;0,ROUND(ROUND(AI325*100,0)*ROUND(AG$7*10000,0)/12000000,0)/100,0)</f>
        <v>0</v>
      </c>
      <c r="AI326" s="24">
        <f>IF(AI325&gt;0,ROUND(AI325+AH326-AG326,2),0)</f>
        <v>0</v>
      </c>
      <c r="AJ326" s="24">
        <f>IF(AI325&gt;0,ROUND(AJ325+ROUND(ROUND(AJ325*100,0)*ROUND(AG$7*10000,0)/12000000,0)/100+0.02,2),0)</f>
        <v>0</v>
      </c>
      <c r="AK326" s="24">
        <f>IF(AM325&gt;0,IF(AND(ROUND(AM325+AL326-ROUND(AK$6+IF(AK$5=$C326,$E$5+$E326,0),2),2)&gt;0,ROUND(AM325+AL326-ROUND(AK$6+IF(AK$5=$C326,$E$5+$E326,0),2),2)&lt;=AN326,ROUND(AM325+AL326-ROUND(AK$6+IF(AK$5=$C326,$E$5+$E326,0),2),2)*10&lt;=ROUND(AK$6+IF(AK$5=$C326,$E$5+$E326,0),2)),ROUND(AM325+AL326,2),MIN(ROUND(AK$6+IF(AK$5=$C326,$E$5+$E326,0),2),ROUND(AM325+AL326,2))),0)</f>
        <v>0</v>
      </c>
      <c r="AL326" s="24">
        <f>IF(AM325&gt;0,ROUND(ROUND(AM325*100,0)*ROUND(AK$7*10000,0)/12000000,0)/100,0)</f>
        <v>0</v>
      </c>
      <c r="AM326" s="24">
        <f>IF(AM325&gt;0,ROUND(AM325+AL326-AK326,2),0)</f>
        <v>0</v>
      </c>
      <c r="AN326" s="24">
        <f>IF(AM325&gt;0,ROUND(AN325+ROUND(ROUND(AN325*100,0)*ROUND(AK$7*10000,0)/12000000,0)/100+0.02,2),0)</f>
        <v>0</v>
      </c>
      <c r="AO326" s="24">
        <f>IF(AQ325&gt;0,IF(AND(ROUND(AQ325+AP326-ROUND(AO$6+IF(AO$5=$C326,$E$5+$E326,0),2),2)&gt;0,ROUND(AQ325+AP326-ROUND(AO$6+IF(AO$5=$C326,$E$5+$E326,0),2),2)&lt;=AR326,ROUND(AQ325+AP326-ROUND(AO$6+IF(AO$5=$C326,$E$5+$E326,0),2),2)*10&lt;=ROUND(AO$6+IF(AO$5=$C326,$E$5+$E326,0),2)),ROUND(AQ325+AP326,2),MIN(ROUND(AO$6+IF(AO$5=$C326,$E$5+$E326,0),2),ROUND(AQ325+AP326,2))),0)</f>
        <v>0</v>
      </c>
      <c r="AP326" s="24">
        <f>IF(AQ325&gt;0,ROUND(ROUND(AQ325*100,0)*ROUND(AO$7*10000,0)/12000000,0)/100,0)</f>
        <v>0</v>
      </c>
      <c r="AQ326" s="24">
        <f>IF(AQ325&gt;0,ROUND(AQ325+AP326-AO326,2),0)</f>
        <v>0</v>
      </c>
      <c r="AR326" s="24">
        <f>IF(AQ325&gt;0,ROUND(AR325+ROUND(ROUND(AR325*100,0)*ROUND(AO$7*10000,0)/12000000,0)/100+0.02,2),0)</f>
        <v>0</v>
      </c>
      <c r="AS326" s="24">
        <f>IF(AU325&gt;0,IF(AND(ROUND(AU325+AT326-ROUND(AS$6+IF(AS$5=$C326,$E$5+$E326,0),2),2)&gt;0,ROUND(AU325+AT326-ROUND(AS$6+IF(AS$5=$C326,$E$5+$E326,0),2),2)&lt;=AV326,ROUND(AU325+AT326-ROUND(AS$6+IF(AS$5=$C326,$E$5+$E326,0),2),2)*10&lt;=ROUND(AS$6+IF(AS$5=$C326,$E$5+$E326,0),2)),ROUND(AU325+AT326,2),MIN(ROUND(AS$6+IF(AS$5=$C326,$E$5+$E326,0),2),ROUND(AU325+AT326,2))),0)</f>
        <v>0</v>
      </c>
      <c r="AT326" s="24">
        <f>IF(AU325&gt;0,ROUND(ROUND(AU325*100,0)*ROUND(AS$7*10000,0)/12000000,0)/100,0)</f>
        <v>0</v>
      </c>
      <c r="AU326" s="24">
        <f>IF(AU325&gt;0,ROUND(AU325+AT326-AS326,2),0)</f>
        <v>0</v>
      </c>
      <c r="AV326" s="24">
        <f>IF(AU325&gt;0,ROUND(AV325+ROUND(ROUND(AV325*100,0)*ROUND(AS$7*10000,0)/12000000,0)/100+0.02,2),0)</f>
        <v>0</v>
      </c>
    </row>
    <row r="327" spans="1:48" x14ac:dyDescent="0.25">
      <c r="A327" s="17" t="str">
        <f>IF(F327&gt;0,317,"")</f>
        <v/>
      </c>
      <c r="B327" s="18" t="str">
        <f>IF(F327&gt;0,EDATE($E$6,317),"")</f>
        <v/>
      </c>
      <c r="C327" s="21">
        <f>IF(H326&gt;0,MIN(IF(K326&gt;0,I$5,99),IF(O326&gt;0,M$5,99),IF(S326&gt;0,Q$5,99),IF(W326&gt;0,U$5,99),IF(AA326&gt;0,Y$5,99),IF(AE326&gt;0,AC$5,99),IF(AI326&gt;0,AG$5,99),IF(AM326&gt;0,AK$5,99),IF(AQ326&gt;0,AO$5,99),IF(AU326&gt;0,AS$5,99)),0)</f>
        <v>0</v>
      </c>
      <c r="D327" t="str">
        <f>IF(C327&gt;0,INDEX($I$4:$AV$4,1,MATCH(C327,$I$5:$AV$5,0)),"")</f>
        <v/>
      </c>
      <c r="E327" s="24">
        <f>ROUND(IF(AND(I$8&gt;0,K326=0),I$6,0)+IF(AND(M$8&gt;0,O326=0),M$6,0)+IF(AND(Q$8&gt;0,S326=0),Q$6,0)+IF(AND(U$8&gt;0,W326=0),U$6,0)+IF(AND(Y$8&gt;0,AA326=0),Y$6,0)+IF(AND(AC$8&gt;0,AE326=0),AC$6,0)+IF(AND(AG$8&gt;0,AI326=0),AG$6,0)+IF(AND(AK$8&gt;0,AM326=0),AK$6,0)+IF(AND(AO$8&gt;0,AQ326=0),AO$6,0)+IF(AND(AS$8&gt;0,AU326=0),AS$6,0),2)</f>
        <v>325</v>
      </c>
      <c r="F327" s="24">
        <f>ROUND(I327+M327+Q327+U327+Y327+AC327+AG327+AK327+AO327+AS327,2)</f>
        <v>0</v>
      </c>
      <c r="G327" s="24">
        <f>ROUND(J327+N327+R327+V327+Z327+AD327+AH327+AL327+AP327+AT327,2)</f>
        <v>0</v>
      </c>
      <c r="H327" s="24">
        <f>ROUND(K327+O327+S327+W327+AA327+AE327+AI327+AM327+AQ327+AU327,2)</f>
        <v>0</v>
      </c>
      <c r="I327" s="24">
        <f>IF(K326&gt;0,IF(AND(ROUND(K326+J327-ROUND(I$6+IF(I$5=$C327,$E$5+$E327,0),2),2)&gt;0,ROUND(K326+J327-ROUND(I$6+IF(I$5=$C327,$E$5+$E327,0),2),2)&lt;=L327,ROUND(K326+J327-ROUND(I$6+IF(I$5=$C327,$E$5+$E327,0),2),2)*10&lt;=ROUND(I$6+IF(I$5=$C327,$E$5+$E327,0),2)),ROUND(K326+J327,2),MIN(ROUND(I$6+IF(I$5=$C327,$E$5+$E327,0),2),ROUND(K326+J327,2))),0)</f>
        <v>0</v>
      </c>
      <c r="J327" s="24">
        <f>IF(K326&gt;0,ROUND(ROUND(K326*100,0)*ROUND(I$7*10000,0)/12000000,0)/100,0)</f>
        <v>0</v>
      </c>
      <c r="K327" s="24">
        <f>IF(K326&gt;0,ROUND(K326+J327-I327,2),0)</f>
        <v>0</v>
      </c>
      <c r="L327" s="24">
        <f>IF(K326&gt;0,ROUND(L326+ROUND(ROUND(L326*100,0)*ROUND(I$7*10000,0)/12000000,0)/100+0.02,2),0)</f>
        <v>0</v>
      </c>
      <c r="M327" s="24">
        <f>IF(O326&gt;0,IF(AND(ROUND(O326+N327-ROUND(M$6+IF(M$5=$C327,$E$5+$E327,0),2),2)&gt;0,ROUND(O326+N327-ROUND(M$6+IF(M$5=$C327,$E$5+$E327,0),2),2)&lt;=P327,ROUND(O326+N327-ROUND(M$6+IF(M$5=$C327,$E$5+$E327,0),2),2)*10&lt;=ROUND(M$6+IF(M$5=$C327,$E$5+$E327,0),2)),ROUND(O326+N327,2),MIN(ROUND(M$6+IF(M$5=$C327,$E$5+$E327,0),2),ROUND(O326+N327,2))),0)</f>
        <v>0</v>
      </c>
      <c r="N327" s="24">
        <f>IF(O326&gt;0,ROUND(ROUND(O326*100,0)*ROUND(M$7*10000,0)/12000000,0)/100,0)</f>
        <v>0</v>
      </c>
      <c r="O327" s="24">
        <f>IF(O326&gt;0,ROUND(O326+N327-M327,2),0)</f>
        <v>0</v>
      </c>
      <c r="P327" s="24">
        <f>IF(O326&gt;0,ROUND(P326+ROUND(ROUND(P326*100,0)*ROUND(M$7*10000,0)/12000000,0)/100+0.02,2),0)</f>
        <v>0</v>
      </c>
      <c r="Q327" s="24">
        <f>IF(S326&gt;0,IF(AND(ROUND(S326+R327-ROUND(Q$6+IF(Q$5=$C327,$E$5+$E327,0),2),2)&gt;0,ROUND(S326+R327-ROUND(Q$6+IF(Q$5=$C327,$E$5+$E327,0),2),2)&lt;=T327,ROUND(S326+R327-ROUND(Q$6+IF(Q$5=$C327,$E$5+$E327,0),2),2)*10&lt;=ROUND(Q$6+IF(Q$5=$C327,$E$5+$E327,0),2)),ROUND(S326+R327,2),MIN(ROUND(Q$6+IF(Q$5=$C327,$E$5+$E327,0),2),ROUND(S326+R327,2))),0)</f>
        <v>0</v>
      </c>
      <c r="R327" s="24">
        <f>IF(S326&gt;0,ROUND(ROUND(S326*100,0)*ROUND(Q$7*10000,0)/12000000,0)/100,0)</f>
        <v>0</v>
      </c>
      <c r="S327" s="24">
        <f>IF(S326&gt;0,ROUND(S326+R327-Q327,2),0)</f>
        <v>0</v>
      </c>
      <c r="T327" s="24">
        <f>IF(S326&gt;0,ROUND(T326+ROUND(ROUND(T326*100,0)*ROUND(Q$7*10000,0)/12000000,0)/100+0.02,2),0)</f>
        <v>0</v>
      </c>
      <c r="U327" s="24">
        <f>IF(W326&gt;0,IF(AND(ROUND(W326+V327-ROUND(U$6+IF(U$5=$C327,$E$5+$E327,0),2),2)&gt;0,ROUND(W326+V327-ROUND(U$6+IF(U$5=$C327,$E$5+$E327,0),2),2)&lt;=X327,ROUND(W326+V327-ROUND(U$6+IF(U$5=$C327,$E$5+$E327,0),2),2)*10&lt;=ROUND(U$6+IF(U$5=$C327,$E$5+$E327,0),2)),ROUND(W326+V327,2),MIN(ROUND(U$6+IF(U$5=$C327,$E$5+$E327,0),2),ROUND(W326+V327,2))),0)</f>
        <v>0</v>
      </c>
      <c r="V327" s="24">
        <f>IF(W326&gt;0,ROUND(ROUND(W326*100,0)*ROUND(U$7*10000,0)/12000000,0)/100,0)</f>
        <v>0</v>
      </c>
      <c r="W327" s="24">
        <f>IF(W326&gt;0,ROUND(W326+V327-U327,2),0)</f>
        <v>0</v>
      </c>
      <c r="X327" s="24">
        <f>IF(W326&gt;0,ROUND(X326+ROUND(ROUND(X326*100,0)*ROUND(U$7*10000,0)/12000000,0)/100+0.02,2),0)</f>
        <v>0</v>
      </c>
      <c r="Y327" s="24">
        <f>IF(AA326&gt;0,IF(AND(ROUND(AA326+Z327-ROUND(Y$6+IF(Y$5=$C327,$E$5+$E327,0),2),2)&gt;0,ROUND(AA326+Z327-ROUND(Y$6+IF(Y$5=$C327,$E$5+$E327,0),2),2)&lt;=AB327,ROUND(AA326+Z327-ROUND(Y$6+IF(Y$5=$C327,$E$5+$E327,0),2),2)*10&lt;=ROUND(Y$6+IF(Y$5=$C327,$E$5+$E327,0),2)),ROUND(AA326+Z327,2),MIN(ROUND(Y$6+IF(Y$5=$C327,$E$5+$E327,0),2),ROUND(AA326+Z327,2))),0)</f>
        <v>0</v>
      </c>
      <c r="Z327" s="24">
        <f>IF(AA326&gt;0,ROUND(ROUND(AA326*100,0)*ROUND(Y$7*10000,0)/12000000,0)/100,0)</f>
        <v>0</v>
      </c>
      <c r="AA327" s="24">
        <f>IF(AA326&gt;0,ROUND(AA326+Z327-Y327,2),0)</f>
        <v>0</v>
      </c>
      <c r="AB327" s="24">
        <f>IF(AA326&gt;0,ROUND(AB326+ROUND(ROUND(AB326*100,0)*ROUND(Y$7*10000,0)/12000000,0)/100+0.02,2),0)</f>
        <v>0</v>
      </c>
      <c r="AC327" s="24">
        <f>IF(AE326&gt;0,IF(AND(ROUND(AE326+AD327-ROUND(AC$6+IF(AC$5=$C327,$E$5+$E327,0),2),2)&gt;0,ROUND(AE326+AD327-ROUND(AC$6+IF(AC$5=$C327,$E$5+$E327,0),2),2)&lt;=AF327,ROUND(AE326+AD327-ROUND(AC$6+IF(AC$5=$C327,$E$5+$E327,0),2),2)*10&lt;=ROUND(AC$6+IF(AC$5=$C327,$E$5+$E327,0),2)),ROUND(AE326+AD327,2),MIN(ROUND(AC$6+IF(AC$5=$C327,$E$5+$E327,0),2),ROUND(AE326+AD327,2))),0)</f>
        <v>0</v>
      </c>
      <c r="AD327" s="24">
        <f>IF(AE326&gt;0,ROUND(ROUND(AE326*100,0)*ROUND(AC$7*10000,0)/12000000,0)/100,0)</f>
        <v>0</v>
      </c>
      <c r="AE327" s="24">
        <f>IF(AE326&gt;0,ROUND(AE326+AD327-AC327,2),0)</f>
        <v>0</v>
      </c>
      <c r="AF327" s="24">
        <f>IF(AE326&gt;0,ROUND(AF326+ROUND(ROUND(AF326*100,0)*ROUND(AC$7*10000,0)/12000000,0)/100+0.02,2),0)</f>
        <v>0</v>
      </c>
      <c r="AG327" s="24">
        <f>IF(AI326&gt;0,IF(AND(ROUND(AI326+AH327-ROUND(AG$6+IF(AG$5=$C327,$E$5+$E327,0),2),2)&gt;0,ROUND(AI326+AH327-ROUND(AG$6+IF(AG$5=$C327,$E$5+$E327,0),2),2)&lt;=AJ327,ROUND(AI326+AH327-ROUND(AG$6+IF(AG$5=$C327,$E$5+$E327,0),2),2)*10&lt;=ROUND(AG$6+IF(AG$5=$C327,$E$5+$E327,0),2)),ROUND(AI326+AH327,2),MIN(ROUND(AG$6+IF(AG$5=$C327,$E$5+$E327,0),2),ROUND(AI326+AH327,2))),0)</f>
        <v>0</v>
      </c>
      <c r="AH327" s="24">
        <f>IF(AI326&gt;0,ROUND(ROUND(AI326*100,0)*ROUND(AG$7*10000,0)/12000000,0)/100,0)</f>
        <v>0</v>
      </c>
      <c r="AI327" s="24">
        <f>IF(AI326&gt;0,ROUND(AI326+AH327-AG327,2),0)</f>
        <v>0</v>
      </c>
      <c r="AJ327" s="24">
        <f>IF(AI326&gt;0,ROUND(AJ326+ROUND(ROUND(AJ326*100,0)*ROUND(AG$7*10000,0)/12000000,0)/100+0.02,2),0)</f>
        <v>0</v>
      </c>
      <c r="AK327" s="24">
        <f>IF(AM326&gt;0,IF(AND(ROUND(AM326+AL327-ROUND(AK$6+IF(AK$5=$C327,$E$5+$E327,0),2),2)&gt;0,ROUND(AM326+AL327-ROUND(AK$6+IF(AK$5=$C327,$E$5+$E327,0),2),2)&lt;=AN327,ROUND(AM326+AL327-ROUND(AK$6+IF(AK$5=$C327,$E$5+$E327,0),2),2)*10&lt;=ROUND(AK$6+IF(AK$5=$C327,$E$5+$E327,0),2)),ROUND(AM326+AL327,2),MIN(ROUND(AK$6+IF(AK$5=$C327,$E$5+$E327,0),2),ROUND(AM326+AL327,2))),0)</f>
        <v>0</v>
      </c>
      <c r="AL327" s="24">
        <f>IF(AM326&gt;0,ROUND(ROUND(AM326*100,0)*ROUND(AK$7*10000,0)/12000000,0)/100,0)</f>
        <v>0</v>
      </c>
      <c r="AM327" s="24">
        <f>IF(AM326&gt;0,ROUND(AM326+AL327-AK327,2),0)</f>
        <v>0</v>
      </c>
      <c r="AN327" s="24">
        <f>IF(AM326&gt;0,ROUND(AN326+ROUND(ROUND(AN326*100,0)*ROUND(AK$7*10000,0)/12000000,0)/100+0.02,2),0)</f>
        <v>0</v>
      </c>
      <c r="AO327" s="24">
        <f>IF(AQ326&gt;0,IF(AND(ROUND(AQ326+AP327-ROUND(AO$6+IF(AO$5=$C327,$E$5+$E327,0),2),2)&gt;0,ROUND(AQ326+AP327-ROUND(AO$6+IF(AO$5=$C327,$E$5+$E327,0),2),2)&lt;=AR327,ROUND(AQ326+AP327-ROUND(AO$6+IF(AO$5=$C327,$E$5+$E327,0),2),2)*10&lt;=ROUND(AO$6+IF(AO$5=$C327,$E$5+$E327,0),2)),ROUND(AQ326+AP327,2),MIN(ROUND(AO$6+IF(AO$5=$C327,$E$5+$E327,0),2),ROUND(AQ326+AP327,2))),0)</f>
        <v>0</v>
      </c>
      <c r="AP327" s="24">
        <f>IF(AQ326&gt;0,ROUND(ROUND(AQ326*100,0)*ROUND(AO$7*10000,0)/12000000,0)/100,0)</f>
        <v>0</v>
      </c>
      <c r="AQ327" s="24">
        <f>IF(AQ326&gt;0,ROUND(AQ326+AP327-AO327,2),0)</f>
        <v>0</v>
      </c>
      <c r="AR327" s="24">
        <f>IF(AQ326&gt;0,ROUND(AR326+ROUND(ROUND(AR326*100,0)*ROUND(AO$7*10000,0)/12000000,0)/100+0.02,2),0)</f>
        <v>0</v>
      </c>
      <c r="AS327" s="24">
        <f>IF(AU326&gt;0,IF(AND(ROUND(AU326+AT327-ROUND(AS$6+IF(AS$5=$C327,$E$5+$E327,0),2),2)&gt;0,ROUND(AU326+AT327-ROUND(AS$6+IF(AS$5=$C327,$E$5+$E327,0),2),2)&lt;=AV327,ROUND(AU326+AT327-ROUND(AS$6+IF(AS$5=$C327,$E$5+$E327,0),2),2)*10&lt;=ROUND(AS$6+IF(AS$5=$C327,$E$5+$E327,0),2)),ROUND(AU326+AT327,2),MIN(ROUND(AS$6+IF(AS$5=$C327,$E$5+$E327,0),2),ROUND(AU326+AT327,2))),0)</f>
        <v>0</v>
      </c>
      <c r="AT327" s="24">
        <f>IF(AU326&gt;0,ROUND(ROUND(AU326*100,0)*ROUND(AS$7*10000,0)/12000000,0)/100,0)</f>
        <v>0</v>
      </c>
      <c r="AU327" s="24">
        <f>IF(AU326&gt;0,ROUND(AU326+AT327-AS327,2),0)</f>
        <v>0</v>
      </c>
      <c r="AV327" s="24">
        <f>IF(AU326&gt;0,ROUND(AV326+ROUND(ROUND(AV326*100,0)*ROUND(AS$7*10000,0)/12000000,0)/100+0.02,2),0)</f>
        <v>0</v>
      </c>
    </row>
    <row r="328" spans="1:48" x14ac:dyDescent="0.25">
      <c r="A328" s="17" t="str">
        <f>IF(F328&gt;0,318,"")</f>
        <v/>
      </c>
      <c r="B328" s="18" t="str">
        <f>IF(F328&gt;0,EDATE($E$6,318),"")</f>
        <v/>
      </c>
      <c r="C328" s="21">
        <f>IF(H327&gt;0,MIN(IF(K327&gt;0,I$5,99),IF(O327&gt;0,M$5,99),IF(S327&gt;0,Q$5,99),IF(W327&gt;0,U$5,99),IF(AA327&gt;0,Y$5,99),IF(AE327&gt;0,AC$5,99),IF(AI327&gt;0,AG$5,99),IF(AM327&gt;0,AK$5,99),IF(AQ327&gt;0,AO$5,99),IF(AU327&gt;0,AS$5,99)),0)</f>
        <v>0</v>
      </c>
      <c r="D328" t="str">
        <f>IF(C328&gt;0,INDEX($I$4:$AV$4,1,MATCH(C328,$I$5:$AV$5,0)),"")</f>
        <v/>
      </c>
      <c r="E328" s="24">
        <f>ROUND(IF(AND(I$8&gt;0,K327=0),I$6,0)+IF(AND(M$8&gt;0,O327=0),M$6,0)+IF(AND(Q$8&gt;0,S327=0),Q$6,0)+IF(AND(U$8&gt;0,W327=0),U$6,0)+IF(AND(Y$8&gt;0,AA327=0),Y$6,0)+IF(AND(AC$8&gt;0,AE327=0),AC$6,0)+IF(AND(AG$8&gt;0,AI327=0),AG$6,0)+IF(AND(AK$8&gt;0,AM327=0),AK$6,0)+IF(AND(AO$8&gt;0,AQ327=0),AO$6,0)+IF(AND(AS$8&gt;0,AU327=0),AS$6,0),2)</f>
        <v>325</v>
      </c>
      <c r="F328" s="24">
        <f>ROUND(I328+M328+Q328+U328+Y328+AC328+AG328+AK328+AO328+AS328,2)</f>
        <v>0</v>
      </c>
      <c r="G328" s="24">
        <f>ROUND(J328+N328+R328+V328+Z328+AD328+AH328+AL328+AP328+AT328,2)</f>
        <v>0</v>
      </c>
      <c r="H328" s="24">
        <f>ROUND(K328+O328+S328+W328+AA328+AE328+AI328+AM328+AQ328+AU328,2)</f>
        <v>0</v>
      </c>
      <c r="I328" s="24">
        <f>IF(K327&gt;0,IF(AND(ROUND(K327+J328-ROUND(I$6+IF(I$5=$C328,$E$5+$E328,0),2),2)&gt;0,ROUND(K327+J328-ROUND(I$6+IF(I$5=$C328,$E$5+$E328,0),2),2)&lt;=L328,ROUND(K327+J328-ROUND(I$6+IF(I$5=$C328,$E$5+$E328,0),2),2)*10&lt;=ROUND(I$6+IF(I$5=$C328,$E$5+$E328,0),2)),ROUND(K327+J328,2),MIN(ROUND(I$6+IF(I$5=$C328,$E$5+$E328,0),2),ROUND(K327+J328,2))),0)</f>
        <v>0</v>
      </c>
      <c r="J328" s="24">
        <f>IF(K327&gt;0,ROUND(ROUND(K327*100,0)*ROUND(I$7*10000,0)/12000000,0)/100,0)</f>
        <v>0</v>
      </c>
      <c r="K328" s="24">
        <f>IF(K327&gt;0,ROUND(K327+J328-I328,2),0)</f>
        <v>0</v>
      </c>
      <c r="L328" s="24">
        <f>IF(K327&gt;0,ROUND(L327+ROUND(ROUND(L327*100,0)*ROUND(I$7*10000,0)/12000000,0)/100+0.02,2),0)</f>
        <v>0</v>
      </c>
      <c r="M328" s="24">
        <f>IF(O327&gt;0,IF(AND(ROUND(O327+N328-ROUND(M$6+IF(M$5=$C328,$E$5+$E328,0),2),2)&gt;0,ROUND(O327+N328-ROUND(M$6+IF(M$5=$C328,$E$5+$E328,0),2),2)&lt;=P328,ROUND(O327+N328-ROUND(M$6+IF(M$5=$C328,$E$5+$E328,0),2),2)*10&lt;=ROUND(M$6+IF(M$5=$C328,$E$5+$E328,0),2)),ROUND(O327+N328,2),MIN(ROUND(M$6+IF(M$5=$C328,$E$5+$E328,0),2),ROUND(O327+N328,2))),0)</f>
        <v>0</v>
      </c>
      <c r="N328" s="24">
        <f>IF(O327&gt;0,ROUND(ROUND(O327*100,0)*ROUND(M$7*10000,0)/12000000,0)/100,0)</f>
        <v>0</v>
      </c>
      <c r="O328" s="24">
        <f>IF(O327&gt;0,ROUND(O327+N328-M328,2),0)</f>
        <v>0</v>
      </c>
      <c r="P328" s="24">
        <f>IF(O327&gt;0,ROUND(P327+ROUND(ROUND(P327*100,0)*ROUND(M$7*10000,0)/12000000,0)/100+0.02,2),0)</f>
        <v>0</v>
      </c>
      <c r="Q328" s="24">
        <f>IF(S327&gt;0,IF(AND(ROUND(S327+R328-ROUND(Q$6+IF(Q$5=$C328,$E$5+$E328,0),2),2)&gt;0,ROUND(S327+R328-ROUND(Q$6+IF(Q$5=$C328,$E$5+$E328,0),2),2)&lt;=T328,ROUND(S327+R328-ROUND(Q$6+IF(Q$5=$C328,$E$5+$E328,0),2),2)*10&lt;=ROUND(Q$6+IF(Q$5=$C328,$E$5+$E328,0),2)),ROUND(S327+R328,2),MIN(ROUND(Q$6+IF(Q$5=$C328,$E$5+$E328,0),2),ROUND(S327+R328,2))),0)</f>
        <v>0</v>
      </c>
      <c r="R328" s="24">
        <f>IF(S327&gt;0,ROUND(ROUND(S327*100,0)*ROUND(Q$7*10000,0)/12000000,0)/100,0)</f>
        <v>0</v>
      </c>
      <c r="S328" s="24">
        <f>IF(S327&gt;0,ROUND(S327+R328-Q328,2),0)</f>
        <v>0</v>
      </c>
      <c r="T328" s="24">
        <f>IF(S327&gt;0,ROUND(T327+ROUND(ROUND(T327*100,0)*ROUND(Q$7*10000,0)/12000000,0)/100+0.02,2),0)</f>
        <v>0</v>
      </c>
      <c r="U328" s="24">
        <f>IF(W327&gt;0,IF(AND(ROUND(W327+V328-ROUND(U$6+IF(U$5=$C328,$E$5+$E328,0),2),2)&gt;0,ROUND(W327+V328-ROUND(U$6+IF(U$5=$C328,$E$5+$E328,0),2),2)&lt;=X328,ROUND(W327+V328-ROUND(U$6+IF(U$5=$C328,$E$5+$E328,0),2),2)*10&lt;=ROUND(U$6+IF(U$5=$C328,$E$5+$E328,0),2)),ROUND(W327+V328,2),MIN(ROUND(U$6+IF(U$5=$C328,$E$5+$E328,0),2),ROUND(W327+V328,2))),0)</f>
        <v>0</v>
      </c>
      <c r="V328" s="24">
        <f>IF(W327&gt;0,ROUND(ROUND(W327*100,0)*ROUND(U$7*10000,0)/12000000,0)/100,0)</f>
        <v>0</v>
      </c>
      <c r="W328" s="24">
        <f>IF(W327&gt;0,ROUND(W327+V328-U328,2),0)</f>
        <v>0</v>
      </c>
      <c r="X328" s="24">
        <f>IF(W327&gt;0,ROUND(X327+ROUND(ROUND(X327*100,0)*ROUND(U$7*10000,0)/12000000,0)/100+0.02,2),0)</f>
        <v>0</v>
      </c>
      <c r="Y328" s="24">
        <f>IF(AA327&gt;0,IF(AND(ROUND(AA327+Z328-ROUND(Y$6+IF(Y$5=$C328,$E$5+$E328,0),2),2)&gt;0,ROUND(AA327+Z328-ROUND(Y$6+IF(Y$5=$C328,$E$5+$E328,0),2),2)&lt;=AB328,ROUND(AA327+Z328-ROUND(Y$6+IF(Y$5=$C328,$E$5+$E328,0),2),2)*10&lt;=ROUND(Y$6+IF(Y$5=$C328,$E$5+$E328,0),2)),ROUND(AA327+Z328,2),MIN(ROUND(Y$6+IF(Y$5=$C328,$E$5+$E328,0),2),ROUND(AA327+Z328,2))),0)</f>
        <v>0</v>
      </c>
      <c r="Z328" s="24">
        <f>IF(AA327&gt;0,ROUND(ROUND(AA327*100,0)*ROUND(Y$7*10000,0)/12000000,0)/100,0)</f>
        <v>0</v>
      </c>
      <c r="AA328" s="24">
        <f>IF(AA327&gt;0,ROUND(AA327+Z328-Y328,2),0)</f>
        <v>0</v>
      </c>
      <c r="AB328" s="24">
        <f>IF(AA327&gt;0,ROUND(AB327+ROUND(ROUND(AB327*100,0)*ROUND(Y$7*10000,0)/12000000,0)/100+0.02,2),0)</f>
        <v>0</v>
      </c>
      <c r="AC328" s="24">
        <f>IF(AE327&gt;0,IF(AND(ROUND(AE327+AD328-ROUND(AC$6+IF(AC$5=$C328,$E$5+$E328,0),2),2)&gt;0,ROUND(AE327+AD328-ROUND(AC$6+IF(AC$5=$C328,$E$5+$E328,0),2),2)&lt;=AF328,ROUND(AE327+AD328-ROUND(AC$6+IF(AC$5=$C328,$E$5+$E328,0),2),2)*10&lt;=ROUND(AC$6+IF(AC$5=$C328,$E$5+$E328,0),2)),ROUND(AE327+AD328,2),MIN(ROUND(AC$6+IF(AC$5=$C328,$E$5+$E328,0),2),ROUND(AE327+AD328,2))),0)</f>
        <v>0</v>
      </c>
      <c r="AD328" s="24">
        <f>IF(AE327&gt;0,ROUND(ROUND(AE327*100,0)*ROUND(AC$7*10000,0)/12000000,0)/100,0)</f>
        <v>0</v>
      </c>
      <c r="AE328" s="24">
        <f>IF(AE327&gt;0,ROUND(AE327+AD328-AC328,2),0)</f>
        <v>0</v>
      </c>
      <c r="AF328" s="24">
        <f>IF(AE327&gt;0,ROUND(AF327+ROUND(ROUND(AF327*100,0)*ROUND(AC$7*10000,0)/12000000,0)/100+0.02,2),0)</f>
        <v>0</v>
      </c>
      <c r="AG328" s="24">
        <f>IF(AI327&gt;0,IF(AND(ROUND(AI327+AH328-ROUND(AG$6+IF(AG$5=$C328,$E$5+$E328,0),2),2)&gt;0,ROUND(AI327+AH328-ROUND(AG$6+IF(AG$5=$C328,$E$5+$E328,0),2),2)&lt;=AJ328,ROUND(AI327+AH328-ROUND(AG$6+IF(AG$5=$C328,$E$5+$E328,0),2),2)*10&lt;=ROUND(AG$6+IF(AG$5=$C328,$E$5+$E328,0),2)),ROUND(AI327+AH328,2),MIN(ROUND(AG$6+IF(AG$5=$C328,$E$5+$E328,0),2),ROUND(AI327+AH328,2))),0)</f>
        <v>0</v>
      </c>
      <c r="AH328" s="24">
        <f>IF(AI327&gt;0,ROUND(ROUND(AI327*100,0)*ROUND(AG$7*10000,0)/12000000,0)/100,0)</f>
        <v>0</v>
      </c>
      <c r="AI328" s="24">
        <f>IF(AI327&gt;0,ROUND(AI327+AH328-AG328,2),0)</f>
        <v>0</v>
      </c>
      <c r="AJ328" s="24">
        <f>IF(AI327&gt;0,ROUND(AJ327+ROUND(ROUND(AJ327*100,0)*ROUND(AG$7*10000,0)/12000000,0)/100+0.02,2),0)</f>
        <v>0</v>
      </c>
      <c r="AK328" s="24">
        <f>IF(AM327&gt;0,IF(AND(ROUND(AM327+AL328-ROUND(AK$6+IF(AK$5=$C328,$E$5+$E328,0),2),2)&gt;0,ROUND(AM327+AL328-ROUND(AK$6+IF(AK$5=$C328,$E$5+$E328,0),2),2)&lt;=AN328,ROUND(AM327+AL328-ROUND(AK$6+IF(AK$5=$C328,$E$5+$E328,0),2),2)*10&lt;=ROUND(AK$6+IF(AK$5=$C328,$E$5+$E328,0),2)),ROUND(AM327+AL328,2),MIN(ROUND(AK$6+IF(AK$5=$C328,$E$5+$E328,0),2),ROUND(AM327+AL328,2))),0)</f>
        <v>0</v>
      </c>
      <c r="AL328" s="24">
        <f>IF(AM327&gt;0,ROUND(ROUND(AM327*100,0)*ROUND(AK$7*10000,0)/12000000,0)/100,0)</f>
        <v>0</v>
      </c>
      <c r="AM328" s="24">
        <f>IF(AM327&gt;0,ROUND(AM327+AL328-AK328,2),0)</f>
        <v>0</v>
      </c>
      <c r="AN328" s="24">
        <f>IF(AM327&gt;0,ROUND(AN327+ROUND(ROUND(AN327*100,0)*ROUND(AK$7*10000,0)/12000000,0)/100+0.02,2),0)</f>
        <v>0</v>
      </c>
      <c r="AO328" s="24">
        <f>IF(AQ327&gt;0,IF(AND(ROUND(AQ327+AP328-ROUND(AO$6+IF(AO$5=$C328,$E$5+$E328,0),2),2)&gt;0,ROUND(AQ327+AP328-ROUND(AO$6+IF(AO$5=$C328,$E$5+$E328,0),2),2)&lt;=AR328,ROUND(AQ327+AP328-ROUND(AO$6+IF(AO$5=$C328,$E$5+$E328,0),2),2)*10&lt;=ROUND(AO$6+IF(AO$5=$C328,$E$5+$E328,0),2)),ROUND(AQ327+AP328,2),MIN(ROUND(AO$6+IF(AO$5=$C328,$E$5+$E328,0),2),ROUND(AQ327+AP328,2))),0)</f>
        <v>0</v>
      </c>
      <c r="AP328" s="24">
        <f>IF(AQ327&gt;0,ROUND(ROUND(AQ327*100,0)*ROUND(AO$7*10000,0)/12000000,0)/100,0)</f>
        <v>0</v>
      </c>
      <c r="AQ328" s="24">
        <f>IF(AQ327&gt;0,ROUND(AQ327+AP328-AO328,2),0)</f>
        <v>0</v>
      </c>
      <c r="AR328" s="24">
        <f>IF(AQ327&gt;0,ROUND(AR327+ROUND(ROUND(AR327*100,0)*ROUND(AO$7*10000,0)/12000000,0)/100+0.02,2),0)</f>
        <v>0</v>
      </c>
      <c r="AS328" s="24">
        <f>IF(AU327&gt;0,IF(AND(ROUND(AU327+AT328-ROUND(AS$6+IF(AS$5=$C328,$E$5+$E328,0),2),2)&gt;0,ROUND(AU327+AT328-ROUND(AS$6+IF(AS$5=$C328,$E$5+$E328,0),2),2)&lt;=AV328,ROUND(AU327+AT328-ROUND(AS$6+IF(AS$5=$C328,$E$5+$E328,0),2),2)*10&lt;=ROUND(AS$6+IF(AS$5=$C328,$E$5+$E328,0),2)),ROUND(AU327+AT328,2),MIN(ROUND(AS$6+IF(AS$5=$C328,$E$5+$E328,0),2),ROUND(AU327+AT328,2))),0)</f>
        <v>0</v>
      </c>
      <c r="AT328" s="24">
        <f>IF(AU327&gt;0,ROUND(ROUND(AU327*100,0)*ROUND(AS$7*10000,0)/12000000,0)/100,0)</f>
        <v>0</v>
      </c>
      <c r="AU328" s="24">
        <f>IF(AU327&gt;0,ROUND(AU327+AT328-AS328,2),0)</f>
        <v>0</v>
      </c>
      <c r="AV328" s="24">
        <f>IF(AU327&gt;0,ROUND(AV327+ROUND(ROUND(AV327*100,0)*ROUND(AS$7*10000,0)/12000000,0)/100+0.02,2),0)</f>
        <v>0</v>
      </c>
    </row>
    <row r="329" spans="1:48" x14ac:dyDescent="0.25">
      <c r="A329" s="17" t="str">
        <f>IF(F329&gt;0,319,"")</f>
        <v/>
      </c>
      <c r="B329" s="18" t="str">
        <f>IF(F329&gt;0,EDATE($E$6,319),"")</f>
        <v/>
      </c>
      <c r="C329" s="21">
        <f>IF(H328&gt;0,MIN(IF(K328&gt;0,I$5,99),IF(O328&gt;0,M$5,99),IF(S328&gt;0,Q$5,99),IF(W328&gt;0,U$5,99),IF(AA328&gt;0,Y$5,99),IF(AE328&gt;0,AC$5,99),IF(AI328&gt;0,AG$5,99),IF(AM328&gt;0,AK$5,99),IF(AQ328&gt;0,AO$5,99),IF(AU328&gt;0,AS$5,99)),0)</f>
        <v>0</v>
      </c>
      <c r="D329" t="str">
        <f>IF(C329&gt;0,INDEX($I$4:$AV$4,1,MATCH(C329,$I$5:$AV$5,0)),"")</f>
        <v/>
      </c>
      <c r="E329" s="24">
        <f>ROUND(IF(AND(I$8&gt;0,K328=0),I$6,0)+IF(AND(M$8&gt;0,O328=0),M$6,0)+IF(AND(Q$8&gt;0,S328=0),Q$6,0)+IF(AND(U$8&gt;0,W328=0),U$6,0)+IF(AND(Y$8&gt;0,AA328=0),Y$6,0)+IF(AND(AC$8&gt;0,AE328=0),AC$6,0)+IF(AND(AG$8&gt;0,AI328=0),AG$6,0)+IF(AND(AK$8&gt;0,AM328=0),AK$6,0)+IF(AND(AO$8&gt;0,AQ328=0),AO$6,0)+IF(AND(AS$8&gt;0,AU328=0),AS$6,0),2)</f>
        <v>325</v>
      </c>
      <c r="F329" s="24">
        <f>ROUND(I329+M329+Q329+U329+Y329+AC329+AG329+AK329+AO329+AS329,2)</f>
        <v>0</v>
      </c>
      <c r="G329" s="24">
        <f>ROUND(J329+N329+R329+V329+Z329+AD329+AH329+AL329+AP329+AT329,2)</f>
        <v>0</v>
      </c>
      <c r="H329" s="24">
        <f>ROUND(K329+O329+S329+W329+AA329+AE329+AI329+AM329+AQ329+AU329,2)</f>
        <v>0</v>
      </c>
      <c r="I329" s="24">
        <f>IF(K328&gt;0,IF(AND(ROUND(K328+J329-ROUND(I$6+IF(I$5=$C329,$E$5+$E329,0),2),2)&gt;0,ROUND(K328+J329-ROUND(I$6+IF(I$5=$C329,$E$5+$E329,0),2),2)&lt;=L329,ROUND(K328+J329-ROUND(I$6+IF(I$5=$C329,$E$5+$E329,0),2),2)*10&lt;=ROUND(I$6+IF(I$5=$C329,$E$5+$E329,0),2)),ROUND(K328+J329,2),MIN(ROUND(I$6+IF(I$5=$C329,$E$5+$E329,0),2),ROUND(K328+J329,2))),0)</f>
        <v>0</v>
      </c>
      <c r="J329" s="24">
        <f>IF(K328&gt;0,ROUND(ROUND(K328*100,0)*ROUND(I$7*10000,0)/12000000,0)/100,0)</f>
        <v>0</v>
      </c>
      <c r="K329" s="24">
        <f>IF(K328&gt;0,ROUND(K328+J329-I329,2),0)</f>
        <v>0</v>
      </c>
      <c r="L329" s="24">
        <f>IF(K328&gt;0,ROUND(L328+ROUND(ROUND(L328*100,0)*ROUND(I$7*10000,0)/12000000,0)/100+0.02,2),0)</f>
        <v>0</v>
      </c>
      <c r="M329" s="24">
        <f>IF(O328&gt;0,IF(AND(ROUND(O328+N329-ROUND(M$6+IF(M$5=$C329,$E$5+$E329,0),2),2)&gt;0,ROUND(O328+N329-ROUND(M$6+IF(M$5=$C329,$E$5+$E329,0),2),2)&lt;=P329,ROUND(O328+N329-ROUND(M$6+IF(M$5=$C329,$E$5+$E329,0),2),2)*10&lt;=ROUND(M$6+IF(M$5=$C329,$E$5+$E329,0),2)),ROUND(O328+N329,2),MIN(ROUND(M$6+IF(M$5=$C329,$E$5+$E329,0),2),ROUND(O328+N329,2))),0)</f>
        <v>0</v>
      </c>
      <c r="N329" s="24">
        <f>IF(O328&gt;0,ROUND(ROUND(O328*100,0)*ROUND(M$7*10000,0)/12000000,0)/100,0)</f>
        <v>0</v>
      </c>
      <c r="O329" s="24">
        <f>IF(O328&gt;0,ROUND(O328+N329-M329,2),0)</f>
        <v>0</v>
      </c>
      <c r="P329" s="24">
        <f>IF(O328&gt;0,ROUND(P328+ROUND(ROUND(P328*100,0)*ROUND(M$7*10000,0)/12000000,0)/100+0.02,2),0)</f>
        <v>0</v>
      </c>
      <c r="Q329" s="24">
        <f>IF(S328&gt;0,IF(AND(ROUND(S328+R329-ROUND(Q$6+IF(Q$5=$C329,$E$5+$E329,0),2),2)&gt;0,ROUND(S328+R329-ROUND(Q$6+IF(Q$5=$C329,$E$5+$E329,0),2),2)&lt;=T329,ROUND(S328+R329-ROUND(Q$6+IF(Q$5=$C329,$E$5+$E329,0),2),2)*10&lt;=ROUND(Q$6+IF(Q$5=$C329,$E$5+$E329,0),2)),ROUND(S328+R329,2),MIN(ROUND(Q$6+IF(Q$5=$C329,$E$5+$E329,0),2),ROUND(S328+R329,2))),0)</f>
        <v>0</v>
      </c>
      <c r="R329" s="24">
        <f>IF(S328&gt;0,ROUND(ROUND(S328*100,0)*ROUND(Q$7*10000,0)/12000000,0)/100,0)</f>
        <v>0</v>
      </c>
      <c r="S329" s="24">
        <f>IF(S328&gt;0,ROUND(S328+R329-Q329,2),0)</f>
        <v>0</v>
      </c>
      <c r="T329" s="24">
        <f>IF(S328&gt;0,ROUND(T328+ROUND(ROUND(T328*100,0)*ROUND(Q$7*10000,0)/12000000,0)/100+0.02,2),0)</f>
        <v>0</v>
      </c>
      <c r="U329" s="24">
        <f>IF(W328&gt;0,IF(AND(ROUND(W328+V329-ROUND(U$6+IF(U$5=$C329,$E$5+$E329,0),2),2)&gt;0,ROUND(W328+V329-ROUND(U$6+IF(U$5=$C329,$E$5+$E329,0),2),2)&lt;=X329,ROUND(W328+V329-ROUND(U$6+IF(U$5=$C329,$E$5+$E329,0),2),2)*10&lt;=ROUND(U$6+IF(U$5=$C329,$E$5+$E329,0),2)),ROUND(W328+V329,2),MIN(ROUND(U$6+IF(U$5=$C329,$E$5+$E329,0),2),ROUND(W328+V329,2))),0)</f>
        <v>0</v>
      </c>
      <c r="V329" s="24">
        <f>IF(W328&gt;0,ROUND(ROUND(W328*100,0)*ROUND(U$7*10000,0)/12000000,0)/100,0)</f>
        <v>0</v>
      </c>
      <c r="W329" s="24">
        <f>IF(W328&gt;0,ROUND(W328+V329-U329,2),0)</f>
        <v>0</v>
      </c>
      <c r="X329" s="24">
        <f>IF(W328&gt;0,ROUND(X328+ROUND(ROUND(X328*100,0)*ROUND(U$7*10000,0)/12000000,0)/100+0.02,2),0)</f>
        <v>0</v>
      </c>
      <c r="Y329" s="24">
        <f>IF(AA328&gt;0,IF(AND(ROUND(AA328+Z329-ROUND(Y$6+IF(Y$5=$C329,$E$5+$E329,0),2),2)&gt;0,ROUND(AA328+Z329-ROUND(Y$6+IF(Y$5=$C329,$E$5+$E329,0),2),2)&lt;=AB329,ROUND(AA328+Z329-ROUND(Y$6+IF(Y$5=$C329,$E$5+$E329,0),2),2)*10&lt;=ROUND(Y$6+IF(Y$5=$C329,$E$5+$E329,0),2)),ROUND(AA328+Z329,2),MIN(ROUND(Y$6+IF(Y$5=$C329,$E$5+$E329,0),2),ROUND(AA328+Z329,2))),0)</f>
        <v>0</v>
      </c>
      <c r="Z329" s="24">
        <f>IF(AA328&gt;0,ROUND(ROUND(AA328*100,0)*ROUND(Y$7*10000,0)/12000000,0)/100,0)</f>
        <v>0</v>
      </c>
      <c r="AA329" s="24">
        <f>IF(AA328&gt;0,ROUND(AA328+Z329-Y329,2),0)</f>
        <v>0</v>
      </c>
      <c r="AB329" s="24">
        <f>IF(AA328&gt;0,ROUND(AB328+ROUND(ROUND(AB328*100,0)*ROUND(Y$7*10000,0)/12000000,0)/100+0.02,2),0)</f>
        <v>0</v>
      </c>
      <c r="AC329" s="24">
        <f>IF(AE328&gt;0,IF(AND(ROUND(AE328+AD329-ROUND(AC$6+IF(AC$5=$C329,$E$5+$E329,0),2),2)&gt;0,ROUND(AE328+AD329-ROUND(AC$6+IF(AC$5=$C329,$E$5+$E329,0),2),2)&lt;=AF329,ROUND(AE328+AD329-ROUND(AC$6+IF(AC$5=$C329,$E$5+$E329,0),2),2)*10&lt;=ROUND(AC$6+IF(AC$5=$C329,$E$5+$E329,0),2)),ROUND(AE328+AD329,2),MIN(ROUND(AC$6+IF(AC$5=$C329,$E$5+$E329,0),2),ROUND(AE328+AD329,2))),0)</f>
        <v>0</v>
      </c>
      <c r="AD329" s="24">
        <f>IF(AE328&gt;0,ROUND(ROUND(AE328*100,0)*ROUND(AC$7*10000,0)/12000000,0)/100,0)</f>
        <v>0</v>
      </c>
      <c r="AE329" s="24">
        <f>IF(AE328&gt;0,ROUND(AE328+AD329-AC329,2),0)</f>
        <v>0</v>
      </c>
      <c r="AF329" s="24">
        <f>IF(AE328&gt;0,ROUND(AF328+ROUND(ROUND(AF328*100,0)*ROUND(AC$7*10000,0)/12000000,0)/100+0.02,2),0)</f>
        <v>0</v>
      </c>
      <c r="AG329" s="24">
        <f>IF(AI328&gt;0,IF(AND(ROUND(AI328+AH329-ROUND(AG$6+IF(AG$5=$C329,$E$5+$E329,0),2),2)&gt;0,ROUND(AI328+AH329-ROUND(AG$6+IF(AG$5=$C329,$E$5+$E329,0),2),2)&lt;=AJ329,ROUND(AI328+AH329-ROUND(AG$6+IF(AG$5=$C329,$E$5+$E329,0),2),2)*10&lt;=ROUND(AG$6+IF(AG$5=$C329,$E$5+$E329,0),2)),ROUND(AI328+AH329,2),MIN(ROUND(AG$6+IF(AG$5=$C329,$E$5+$E329,0),2),ROUND(AI328+AH329,2))),0)</f>
        <v>0</v>
      </c>
      <c r="AH329" s="24">
        <f>IF(AI328&gt;0,ROUND(ROUND(AI328*100,0)*ROUND(AG$7*10000,0)/12000000,0)/100,0)</f>
        <v>0</v>
      </c>
      <c r="AI329" s="24">
        <f>IF(AI328&gt;0,ROUND(AI328+AH329-AG329,2),0)</f>
        <v>0</v>
      </c>
      <c r="AJ329" s="24">
        <f>IF(AI328&gt;0,ROUND(AJ328+ROUND(ROUND(AJ328*100,0)*ROUND(AG$7*10000,0)/12000000,0)/100+0.02,2),0)</f>
        <v>0</v>
      </c>
      <c r="AK329" s="24">
        <f>IF(AM328&gt;0,IF(AND(ROUND(AM328+AL329-ROUND(AK$6+IF(AK$5=$C329,$E$5+$E329,0),2),2)&gt;0,ROUND(AM328+AL329-ROUND(AK$6+IF(AK$5=$C329,$E$5+$E329,0),2),2)&lt;=AN329,ROUND(AM328+AL329-ROUND(AK$6+IF(AK$5=$C329,$E$5+$E329,0),2),2)*10&lt;=ROUND(AK$6+IF(AK$5=$C329,$E$5+$E329,0),2)),ROUND(AM328+AL329,2),MIN(ROUND(AK$6+IF(AK$5=$C329,$E$5+$E329,0),2),ROUND(AM328+AL329,2))),0)</f>
        <v>0</v>
      </c>
      <c r="AL329" s="24">
        <f>IF(AM328&gt;0,ROUND(ROUND(AM328*100,0)*ROUND(AK$7*10000,0)/12000000,0)/100,0)</f>
        <v>0</v>
      </c>
      <c r="AM329" s="24">
        <f>IF(AM328&gt;0,ROUND(AM328+AL329-AK329,2),0)</f>
        <v>0</v>
      </c>
      <c r="AN329" s="24">
        <f>IF(AM328&gt;0,ROUND(AN328+ROUND(ROUND(AN328*100,0)*ROUND(AK$7*10000,0)/12000000,0)/100+0.02,2),0)</f>
        <v>0</v>
      </c>
      <c r="AO329" s="24">
        <f>IF(AQ328&gt;0,IF(AND(ROUND(AQ328+AP329-ROUND(AO$6+IF(AO$5=$C329,$E$5+$E329,0),2),2)&gt;0,ROUND(AQ328+AP329-ROUND(AO$6+IF(AO$5=$C329,$E$5+$E329,0),2),2)&lt;=AR329,ROUND(AQ328+AP329-ROUND(AO$6+IF(AO$5=$C329,$E$5+$E329,0),2),2)*10&lt;=ROUND(AO$6+IF(AO$5=$C329,$E$5+$E329,0),2)),ROUND(AQ328+AP329,2),MIN(ROUND(AO$6+IF(AO$5=$C329,$E$5+$E329,0),2),ROUND(AQ328+AP329,2))),0)</f>
        <v>0</v>
      </c>
      <c r="AP329" s="24">
        <f>IF(AQ328&gt;0,ROUND(ROUND(AQ328*100,0)*ROUND(AO$7*10000,0)/12000000,0)/100,0)</f>
        <v>0</v>
      </c>
      <c r="AQ329" s="24">
        <f>IF(AQ328&gt;0,ROUND(AQ328+AP329-AO329,2),0)</f>
        <v>0</v>
      </c>
      <c r="AR329" s="24">
        <f>IF(AQ328&gt;0,ROUND(AR328+ROUND(ROUND(AR328*100,0)*ROUND(AO$7*10000,0)/12000000,0)/100+0.02,2),0)</f>
        <v>0</v>
      </c>
      <c r="AS329" s="24">
        <f>IF(AU328&gt;0,IF(AND(ROUND(AU328+AT329-ROUND(AS$6+IF(AS$5=$C329,$E$5+$E329,0),2),2)&gt;0,ROUND(AU328+AT329-ROUND(AS$6+IF(AS$5=$C329,$E$5+$E329,0),2),2)&lt;=AV329,ROUND(AU328+AT329-ROUND(AS$6+IF(AS$5=$C329,$E$5+$E329,0),2),2)*10&lt;=ROUND(AS$6+IF(AS$5=$C329,$E$5+$E329,0),2)),ROUND(AU328+AT329,2),MIN(ROUND(AS$6+IF(AS$5=$C329,$E$5+$E329,0),2),ROUND(AU328+AT329,2))),0)</f>
        <v>0</v>
      </c>
      <c r="AT329" s="24">
        <f>IF(AU328&gt;0,ROUND(ROUND(AU328*100,0)*ROUND(AS$7*10000,0)/12000000,0)/100,0)</f>
        <v>0</v>
      </c>
      <c r="AU329" s="24">
        <f>IF(AU328&gt;0,ROUND(AU328+AT329-AS329,2),0)</f>
        <v>0</v>
      </c>
      <c r="AV329" s="24">
        <f>IF(AU328&gt;0,ROUND(AV328+ROUND(ROUND(AV328*100,0)*ROUND(AS$7*10000,0)/12000000,0)/100+0.02,2),0)</f>
        <v>0</v>
      </c>
    </row>
    <row r="330" spans="1:48" x14ac:dyDescent="0.25">
      <c r="A330" s="17" t="str">
        <f>IF(F330&gt;0,320,"")</f>
        <v/>
      </c>
      <c r="B330" s="18" t="str">
        <f>IF(F330&gt;0,EDATE($E$6,320),"")</f>
        <v/>
      </c>
      <c r="C330" s="21">
        <f>IF(H329&gt;0,MIN(IF(K329&gt;0,I$5,99),IF(O329&gt;0,M$5,99),IF(S329&gt;0,Q$5,99),IF(W329&gt;0,U$5,99),IF(AA329&gt;0,Y$5,99),IF(AE329&gt;0,AC$5,99),IF(AI329&gt;0,AG$5,99),IF(AM329&gt;0,AK$5,99),IF(AQ329&gt;0,AO$5,99),IF(AU329&gt;0,AS$5,99)),0)</f>
        <v>0</v>
      </c>
      <c r="D330" t="str">
        <f>IF(C330&gt;0,INDEX($I$4:$AV$4,1,MATCH(C330,$I$5:$AV$5,0)),"")</f>
        <v/>
      </c>
      <c r="E330" s="24">
        <f>ROUND(IF(AND(I$8&gt;0,K329=0),I$6,0)+IF(AND(M$8&gt;0,O329=0),M$6,0)+IF(AND(Q$8&gt;0,S329=0),Q$6,0)+IF(AND(U$8&gt;0,W329=0),U$6,0)+IF(AND(Y$8&gt;0,AA329=0),Y$6,0)+IF(AND(AC$8&gt;0,AE329=0),AC$6,0)+IF(AND(AG$8&gt;0,AI329=0),AG$6,0)+IF(AND(AK$8&gt;0,AM329=0),AK$6,0)+IF(AND(AO$8&gt;0,AQ329=0),AO$6,0)+IF(AND(AS$8&gt;0,AU329=0),AS$6,0),2)</f>
        <v>325</v>
      </c>
      <c r="F330" s="24">
        <f>ROUND(I330+M330+Q330+U330+Y330+AC330+AG330+AK330+AO330+AS330,2)</f>
        <v>0</v>
      </c>
      <c r="G330" s="24">
        <f>ROUND(J330+N330+R330+V330+Z330+AD330+AH330+AL330+AP330+AT330,2)</f>
        <v>0</v>
      </c>
      <c r="H330" s="24">
        <f>ROUND(K330+O330+S330+W330+AA330+AE330+AI330+AM330+AQ330+AU330,2)</f>
        <v>0</v>
      </c>
      <c r="I330" s="24">
        <f>IF(K329&gt;0,IF(AND(ROUND(K329+J330-ROUND(I$6+IF(I$5=$C330,$E$5+$E330,0),2),2)&gt;0,ROUND(K329+J330-ROUND(I$6+IF(I$5=$C330,$E$5+$E330,0),2),2)&lt;=L330,ROUND(K329+J330-ROUND(I$6+IF(I$5=$C330,$E$5+$E330,0),2),2)*10&lt;=ROUND(I$6+IF(I$5=$C330,$E$5+$E330,0),2)),ROUND(K329+J330,2),MIN(ROUND(I$6+IF(I$5=$C330,$E$5+$E330,0),2),ROUND(K329+J330,2))),0)</f>
        <v>0</v>
      </c>
      <c r="J330" s="24">
        <f>IF(K329&gt;0,ROUND(ROUND(K329*100,0)*ROUND(I$7*10000,0)/12000000,0)/100,0)</f>
        <v>0</v>
      </c>
      <c r="K330" s="24">
        <f>IF(K329&gt;0,ROUND(K329+J330-I330,2),0)</f>
        <v>0</v>
      </c>
      <c r="L330" s="24">
        <f>IF(K329&gt;0,ROUND(L329+ROUND(ROUND(L329*100,0)*ROUND(I$7*10000,0)/12000000,0)/100+0.02,2),0)</f>
        <v>0</v>
      </c>
      <c r="M330" s="24">
        <f>IF(O329&gt;0,IF(AND(ROUND(O329+N330-ROUND(M$6+IF(M$5=$C330,$E$5+$E330,0),2),2)&gt;0,ROUND(O329+N330-ROUND(M$6+IF(M$5=$C330,$E$5+$E330,0),2),2)&lt;=P330,ROUND(O329+N330-ROUND(M$6+IF(M$5=$C330,$E$5+$E330,0),2),2)*10&lt;=ROUND(M$6+IF(M$5=$C330,$E$5+$E330,0),2)),ROUND(O329+N330,2),MIN(ROUND(M$6+IF(M$5=$C330,$E$5+$E330,0),2),ROUND(O329+N330,2))),0)</f>
        <v>0</v>
      </c>
      <c r="N330" s="24">
        <f>IF(O329&gt;0,ROUND(ROUND(O329*100,0)*ROUND(M$7*10000,0)/12000000,0)/100,0)</f>
        <v>0</v>
      </c>
      <c r="O330" s="24">
        <f>IF(O329&gt;0,ROUND(O329+N330-M330,2),0)</f>
        <v>0</v>
      </c>
      <c r="P330" s="24">
        <f>IF(O329&gt;0,ROUND(P329+ROUND(ROUND(P329*100,0)*ROUND(M$7*10000,0)/12000000,0)/100+0.02,2),0)</f>
        <v>0</v>
      </c>
      <c r="Q330" s="24">
        <f>IF(S329&gt;0,IF(AND(ROUND(S329+R330-ROUND(Q$6+IF(Q$5=$C330,$E$5+$E330,0),2),2)&gt;0,ROUND(S329+R330-ROUND(Q$6+IF(Q$5=$C330,$E$5+$E330,0),2),2)&lt;=T330,ROUND(S329+R330-ROUND(Q$6+IF(Q$5=$C330,$E$5+$E330,0),2),2)*10&lt;=ROUND(Q$6+IF(Q$5=$C330,$E$5+$E330,0),2)),ROUND(S329+R330,2),MIN(ROUND(Q$6+IF(Q$5=$C330,$E$5+$E330,0),2),ROUND(S329+R330,2))),0)</f>
        <v>0</v>
      </c>
      <c r="R330" s="24">
        <f>IF(S329&gt;0,ROUND(ROUND(S329*100,0)*ROUND(Q$7*10000,0)/12000000,0)/100,0)</f>
        <v>0</v>
      </c>
      <c r="S330" s="24">
        <f>IF(S329&gt;0,ROUND(S329+R330-Q330,2),0)</f>
        <v>0</v>
      </c>
      <c r="T330" s="24">
        <f>IF(S329&gt;0,ROUND(T329+ROUND(ROUND(T329*100,0)*ROUND(Q$7*10000,0)/12000000,0)/100+0.02,2),0)</f>
        <v>0</v>
      </c>
      <c r="U330" s="24">
        <f>IF(W329&gt;0,IF(AND(ROUND(W329+V330-ROUND(U$6+IF(U$5=$C330,$E$5+$E330,0),2),2)&gt;0,ROUND(W329+V330-ROUND(U$6+IF(U$5=$C330,$E$5+$E330,0),2),2)&lt;=X330,ROUND(W329+V330-ROUND(U$6+IF(U$5=$C330,$E$5+$E330,0),2),2)*10&lt;=ROUND(U$6+IF(U$5=$C330,$E$5+$E330,0),2)),ROUND(W329+V330,2),MIN(ROUND(U$6+IF(U$5=$C330,$E$5+$E330,0),2),ROUND(W329+V330,2))),0)</f>
        <v>0</v>
      </c>
      <c r="V330" s="24">
        <f>IF(W329&gt;0,ROUND(ROUND(W329*100,0)*ROUND(U$7*10000,0)/12000000,0)/100,0)</f>
        <v>0</v>
      </c>
      <c r="W330" s="24">
        <f>IF(W329&gt;0,ROUND(W329+V330-U330,2),0)</f>
        <v>0</v>
      </c>
      <c r="X330" s="24">
        <f>IF(W329&gt;0,ROUND(X329+ROUND(ROUND(X329*100,0)*ROUND(U$7*10000,0)/12000000,0)/100+0.02,2),0)</f>
        <v>0</v>
      </c>
      <c r="Y330" s="24">
        <f>IF(AA329&gt;0,IF(AND(ROUND(AA329+Z330-ROUND(Y$6+IF(Y$5=$C330,$E$5+$E330,0),2),2)&gt;0,ROUND(AA329+Z330-ROUND(Y$6+IF(Y$5=$C330,$E$5+$E330,0),2),2)&lt;=AB330,ROUND(AA329+Z330-ROUND(Y$6+IF(Y$5=$C330,$E$5+$E330,0),2),2)*10&lt;=ROUND(Y$6+IF(Y$5=$C330,$E$5+$E330,0),2)),ROUND(AA329+Z330,2),MIN(ROUND(Y$6+IF(Y$5=$C330,$E$5+$E330,0),2),ROUND(AA329+Z330,2))),0)</f>
        <v>0</v>
      </c>
      <c r="Z330" s="24">
        <f>IF(AA329&gt;0,ROUND(ROUND(AA329*100,0)*ROUND(Y$7*10000,0)/12000000,0)/100,0)</f>
        <v>0</v>
      </c>
      <c r="AA330" s="24">
        <f>IF(AA329&gt;0,ROUND(AA329+Z330-Y330,2),0)</f>
        <v>0</v>
      </c>
      <c r="AB330" s="24">
        <f>IF(AA329&gt;0,ROUND(AB329+ROUND(ROUND(AB329*100,0)*ROUND(Y$7*10000,0)/12000000,0)/100+0.02,2),0)</f>
        <v>0</v>
      </c>
      <c r="AC330" s="24">
        <f>IF(AE329&gt;0,IF(AND(ROUND(AE329+AD330-ROUND(AC$6+IF(AC$5=$C330,$E$5+$E330,0),2),2)&gt;0,ROUND(AE329+AD330-ROUND(AC$6+IF(AC$5=$C330,$E$5+$E330,0),2),2)&lt;=AF330,ROUND(AE329+AD330-ROUND(AC$6+IF(AC$5=$C330,$E$5+$E330,0),2),2)*10&lt;=ROUND(AC$6+IF(AC$5=$C330,$E$5+$E330,0),2)),ROUND(AE329+AD330,2),MIN(ROUND(AC$6+IF(AC$5=$C330,$E$5+$E330,0),2),ROUND(AE329+AD330,2))),0)</f>
        <v>0</v>
      </c>
      <c r="AD330" s="24">
        <f>IF(AE329&gt;0,ROUND(ROUND(AE329*100,0)*ROUND(AC$7*10000,0)/12000000,0)/100,0)</f>
        <v>0</v>
      </c>
      <c r="AE330" s="24">
        <f>IF(AE329&gt;0,ROUND(AE329+AD330-AC330,2),0)</f>
        <v>0</v>
      </c>
      <c r="AF330" s="24">
        <f>IF(AE329&gt;0,ROUND(AF329+ROUND(ROUND(AF329*100,0)*ROUND(AC$7*10000,0)/12000000,0)/100+0.02,2),0)</f>
        <v>0</v>
      </c>
      <c r="AG330" s="24">
        <f>IF(AI329&gt;0,IF(AND(ROUND(AI329+AH330-ROUND(AG$6+IF(AG$5=$C330,$E$5+$E330,0),2),2)&gt;0,ROUND(AI329+AH330-ROUND(AG$6+IF(AG$5=$C330,$E$5+$E330,0),2),2)&lt;=AJ330,ROUND(AI329+AH330-ROUND(AG$6+IF(AG$5=$C330,$E$5+$E330,0),2),2)*10&lt;=ROUND(AG$6+IF(AG$5=$C330,$E$5+$E330,0),2)),ROUND(AI329+AH330,2),MIN(ROUND(AG$6+IF(AG$5=$C330,$E$5+$E330,0),2),ROUND(AI329+AH330,2))),0)</f>
        <v>0</v>
      </c>
      <c r="AH330" s="24">
        <f>IF(AI329&gt;0,ROUND(ROUND(AI329*100,0)*ROUND(AG$7*10000,0)/12000000,0)/100,0)</f>
        <v>0</v>
      </c>
      <c r="AI330" s="24">
        <f>IF(AI329&gt;0,ROUND(AI329+AH330-AG330,2),0)</f>
        <v>0</v>
      </c>
      <c r="AJ330" s="24">
        <f>IF(AI329&gt;0,ROUND(AJ329+ROUND(ROUND(AJ329*100,0)*ROUND(AG$7*10000,0)/12000000,0)/100+0.02,2),0)</f>
        <v>0</v>
      </c>
      <c r="AK330" s="24">
        <f>IF(AM329&gt;0,IF(AND(ROUND(AM329+AL330-ROUND(AK$6+IF(AK$5=$C330,$E$5+$E330,0),2),2)&gt;0,ROUND(AM329+AL330-ROUND(AK$6+IF(AK$5=$C330,$E$5+$E330,0),2),2)&lt;=AN330,ROUND(AM329+AL330-ROUND(AK$6+IF(AK$5=$C330,$E$5+$E330,0),2),2)*10&lt;=ROUND(AK$6+IF(AK$5=$C330,$E$5+$E330,0),2)),ROUND(AM329+AL330,2),MIN(ROUND(AK$6+IF(AK$5=$C330,$E$5+$E330,0),2),ROUND(AM329+AL330,2))),0)</f>
        <v>0</v>
      </c>
      <c r="AL330" s="24">
        <f>IF(AM329&gt;0,ROUND(ROUND(AM329*100,0)*ROUND(AK$7*10000,0)/12000000,0)/100,0)</f>
        <v>0</v>
      </c>
      <c r="AM330" s="24">
        <f>IF(AM329&gt;0,ROUND(AM329+AL330-AK330,2),0)</f>
        <v>0</v>
      </c>
      <c r="AN330" s="24">
        <f>IF(AM329&gt;0,ROUND(AN329+ROUND(ROUND(AN329*100,0)*ROUND(AK$7*10000,0)/12000000,0)/100+0.02,2),0)</f>
        <v>0</v>
      </c>
      <c r="AO330" s="24">
        <f>IF(AQ329&gt;0,IF(AND(ROUND(AQ329+AP330-ROUND(AO$6+IF(AO$5=$C330,$E$5+$E330,0),2),2)&gt;0,ROUND(AQ329+AP330-ROUND(AO$6+IF(AO$5=$C330,$E$5+$E330,0),2),2)&lt;=AR330,ROUND(AQ329+AP330-ROUND(AO$6+IF(AO$5=$C330,$E$5+$E330,0),2),2)*10&lt;=ROUND(AO$6+IF(AO$5=$C330,$E$5+$E330,0),2)),ROUND(AQ329+AP330,2),MIN(ROUND(AO$6+IF(AO$5=$C330,$E$5+$E330,0),2),ROUND(AQ329+AP330,2))),0)</f>
        <v>0</v>
      </c>
      <c r="AP330" s="24">
        <f>IF(AQ329&gt;0,ROUND(ROUND(AQ329*100,0)*ROUND(AO$7*10000,0)/12000000,0)/100,0)</f>
        <v>0</v>
      </c>
      <c r="AQ330" s="24">
        <f>IF(AQ329&gt;0,ROUND(AQ329+AP330-AO330,2),0)</f>
        <v>0</v>
      </c>
      <c r="AR330" s="24">
        <f>IF(AQ329&gt;0,ROUND(AR329+ROUND(ROUND(AR329*100,0)*ROUND(AO$7*10000,0)/12000000,0)/100+0.02,2),0)</f>
        <v>0</v>
      </c>
      <c r="AS330" s="24">
        <f>IF(AU329&gt;0,IF(AND(ROUND(AU329+AT330-ROUND(AS$6+IF(AS$5=$C330,$E$5+$E330,0),2),2)&gt;0,ROUND(AU329+AT330-ROUND(AS$6+IF(AS$5=$C330,$E$5+$E330,0),2),2)&lt;=AV330,ROUND(AU329+AT330-ROUND(AS$6+IF(AS$5=$C330,$E$5+$E330,0),2),2)*10&lt;=ROUND(AS$6+IF(AS$5=$C330,$E$5+$E330,0),2)),ROUND(AU329+AT330,2),MIN(ROUND(AS$6+IF(AS$5=$C330,$E$5+$E330,0),2),ROUND(AU329+AT330,2))),0)</f>
        <v>0</v>
      </c>
      <c r="AT330" s="24">
        <f>IF(AU329&gt;0,ROUND(ROUND(AU329*100,0)*ROUND(AS$7*10000,0)/12000000,0)/100,0)</f>
        <v>0</v>
      </c>
      <c r="AU330" s="24">
        <f>IF(AU329&gt;0,ROUND(AU329+AT330-AS330,2),0)</f>
        <v>0</v>
      </c>
      <c r="AV330" s="24">
        <f>IF(AU329&gt;0,ROUND(AV329+ROUND(ROUND(AV329*100,0)*ROUND(AS$7*10000,0)/12000000,0)/100+0.02,2),0)</f>
        <v>0</v>
      </c>
    </row>
    <row r="331" spans="1:48" x14ac:dyDescent="0.25">
      <c r="A331" s="17" t="str">
        <f>IF(F331&gt;0,321,"")</f>
        <v/>
      </c>
      <c r="B331" s="18" t="str">
        <f>IF(F331&gt;0,EDATE($E$6,321),"")</f>
        <v/>
      </c>
      <c r="C331" s="21">
        <f>IF(H330&gt;0,MIN(IF(K330&gt;0,I$5,99),IF(O330&gt;0,M$5,99),IF(S330&gt;0,Q$5,99),IF(W330&gt;0,U$5,99),IF(AA330&gt;0,Y$5,99),IF(AE330&gt;0,AC$5,99),IF(AI330&gt;0,AG$5,99),IF(AM330&gt;0,AK$5,99),IF(AQ330&gt;0,AO$5,99),IF(AU330&gt;0,AS$5,99)),0)</f>
        <v>0</v>
      </c>
      <c r="D331" t="str">
        <f>IF(C331&gt;0,INDEX($I$4:$AV$4,1,MATCH(C331,$I$5:$AV$5,0)),"")</f>
        <v/>
      </c>
      <c r="E331" s="24">
        <f>ROUND(IF(AND(I$8&gt;0,K330=0),I$6,0)+IF(AND(M$8&gt;0,O330=0),M$6,0)+IF(AND(Q$8&gt;0,S330=0),Q$6,0)+IF(AND(U$8&gt;0,W330=0),U$6,0)+IF(AND(Y$8&gt;0,AA330=0),Y$6,0)+IF(AND(AC$8&gt;0,AE330=0),AC$6,0)+IF(AND(AG$8&gt;0,AI330=0),AG$6,0)+IF(AND(AK$8&gt;0,AM330=0),AK$6,0)+IF(AND(AO$8&gt;0,AQ330=0),AO$6,0)+IF(AND(AS$8&gt;0,AU330=0),AS$6,0),2)</f>
        <v>325</v>
      </c>
      <c r="F331" s="24">
        <f>ROUND(I331+M331+Q331+U331+Y331+AC331+AG331+AK331+AO331+AS331,2)</f>
        <v>0</v>
      </c>
      <c r="G331" s="24">
        <f>ROUND(J331+N331+R331+V331+Z331+AD331+AH331+AL331+AP331+AT331,2)</f>
        <v>0</v>
      </c>
      <c r="H331" s="24">
        <f>ROUND(K331+O331+S331+W331+AA331+AE331+AI331+AM331+AQ331+AU331,2)</f>
        <v>0</v>
      </c>
      <c r="I331" s="24">
        <f>IF(K330&gt;0,IF(AND(ROUND(K330+J331-ROUND(I$6+IF(I$5=$C331,$E$5+$E331,0),2),2)&gt;0,ROUND(K330+J331-ROUND(I$6+IF(I$5=$C331,$E$5+$E331,0),2),2)&lt;=L331,ROUND(K330+J331-ROUND(I$6+IF(I$5=$C331,$E$5+$E331,0),2),2)*10&lt;=ROUND(I$6+IF(I$5=$C331,$E$5+$E331,0),2)),ROUND(K330+J331,2),MIN(ROUND(I$6+IF(I$5=$C331,$E$5+$E331,0),2),ROUND(K330+J331,2))),0)</f>
        <v>0</v>
      </c>
      <c r="J331" s="24">
        <f>IF(K330&gt;0,ROUND(ROUND(K330*100,0)*ROUND(I$7*10000,0)/12000000,0)/100,0)</f>
        <v>0</v>
      </c>
      <c r="K331" s="24">
        <f>IF(K330&gt;0,ROUND(K330+J331-I331,2),0)</f>
        <v>0</v>
      </c>
      <c r="L331" s="24">
        <f>IF(K330&gt;0,ROUND(L330+ROUND(ROUND(L330*100,0)*ROUND(I$7*10000,0)/12000000,0)/100+0.02,2),0)</f>
        <v>0</v>
      </c>
      <c r="M331" s="24">
        <f>IF(O330&gt;0,IF(AND(ROUND(O330+N331-ROUND(M$6+IF(M$5=$C331,$E$5+$E331,0),2),2)&gt;0,ROUND(O330+N331-ROUND(M$6+IF(M$5=$C331,$E$5+$E331,0),2),2)&lt;=P331,ROUND(O330+N331-ROUND(M$6+IF(M$5=$C331,$E$5+$E331,0),2),2)*10&lt;=ROUND(M$6+IF(M$5=$C331,$E$5+$E331,0),2)),ROUND(O330+N331,2),MIN(ROUND(M$6+IF(M$5=$C331,$E$5+$E331,0),2),ROUND(O330+N331,2))),0)</f>
        <v>0</v>
      </c>
      <c r="N331" s="24">
        <f>IF(O330&gt;0,ROUND(ROUND(O330*100,0)*ROUND(M$7*10000,0)/12000000,0)/100,0)</f>
        <v>0</v>
      </c>
      <c r="O331" s="24">
        <f>IF(O330&gt;0,ROUND(O330+N331-M331,2),0)</f>
        <v>0</v>
      </c>
      <c r="P331" s="24">
        <f>IF(O330&gt;0,ROUND(P330+ROUND(ROUND(P330*100,0)*ROUND(M$7*10000,0)/12000000,0)/100+0.02,2),0)</f>
        <v>0</v>
      </c>
      <c r="Q331" s="24">
        <f>IF(S330&gt;0,IF(AND(ROUND(S330+R331-ROUND(Q$6+IF(Q$5=$C331,$E$5+$E331,0),2),2)&gt;0,ROUND(S330+R331-ROUND(Q$6+IF(Q$5=$C331,$E$5+$E331,0),2),2)&lt;=T331,ROUND(S330+R331-ROUND(Q$6+IF(Q$5=$C331,$E$5+$E331,0),2),2)*10&lt;=ROUND(Q$6+IF(Q$5=$C331,$E$5+$E331,0),2)),ROUND(S330+R331,2),MIN(ROUND(Q$6+IF(Q$5=$C331,$E$5+$E331,0),2),ROUND(S330+R331,2))),0)</f>
        <v>0</v>
      </c>
      <c r="R331" s="24">
        <f>IF(S330&gt;0,ROUND(ROUND(S330*100,0)*ROUND(Q$7*10000,0)/12000000,0)/100,0)</f>
        <v>0</v>
      </c>
      <c r="S331" s="24">
        <f>IF(S330&gt;0,ROUND(S330+R331-Q331,2),0)</f>
        <v>0</v>
      </c>
      <c r="T331" s="24">
        <f>IF(S330&gt;0,ROUND(T330+ROUND(ROUND(T330*100,0)*ROUND(Q$7*10000,0)/12000000,0)/100+0.02,2),0)</f>
        <v>0</v>
      </c>
      <c r="U331" s="24">
        <f>IF(W330&gt;0,IF(AND(ROUND(W330+V331-ROUND(U$6+IF(U$5=$C331,$E$5+$E331,0),2),2)&gt;0,ROUND(W330+V331-ROUND(U$6+IF(U$5=$C331,$E$5+$E331,0),2),2)&lt;=X331,ROUND(W330+V331-ROUND(U$6+IF(U$5=$C331,$E$5+$E331,0),2),2)*10&lt;=ROUND(U$6+IF(U$5=$C331,$E$5+$E331,0),2)),ROUND(W330+V331,2),MIN(ROUND(U$6+IF(U$5=$C331,$E$5+$E331,0),2),ROUND(W330+V331,2))),0)</f>
        <v>0</v>
      </c>
      <c r="V331" s="24">
        <f>IF(W330&gt;0,ROUND(ROUND(W330*100,0)*ROUND(U$7*10000,0)/12000000,0)/100,0)</f>
        <v>0</v>
      </c>
      <c r="W331" s="24">
        <f>IF(W330&gt;0,ROUND(W330+V331-U331,2),0)</f>
        <v>0</v>
      </c>
      <c r="X331" s="24">
        <f>IF(W330&gt;0,ROUND(X330+ROUND(ROUND(X330*100,0)*ROUND(U$7*10000,0)/12000000,0)/100+0.02,2),0)</f>
        <v>0</v>
      </c>
      <c r="Y331" s="24">
        <f>IF(AA330&gt;0,IF(AND(ROUND(AA330+Z331-ROUND(Y$6+IF(Y$5=$C331,$E$5+$E331,0),2),2)&gt;0,ROUND(AA330+Z331-ROUND(Y$6+IF(Y$5=$C331,$E$5+$E331,0),2),2)&lt;=AB331,ROUND(AA330+Z331-ROUND(Y$6+IF(Y$5=$C331,$E$5+$E331,0),2),2)*10&lt;=ROUND(Y$6+IF(Y$5=$C331,$E$5+$E331,0),2)),ROUND(AA330+Z331,2),MIN(ROUND(Y$6+IF(Y$5=$C331,$E$5+$E331,0),2),ROUND(AA330+Z331,2))),0)</f>
        <v>0</v>
      </c>
      <c r="Z331" s="24">
        <f>IF(AA330&gt;0,ROUND(ROUND(AA330*100,0)*ROUND(Y$7*10000,0)/12000000,0)/100,0)</f>
        <v>0</v>
      </c>
      <c r="AA331" s="24">
        <f>IF(AA330&gt;0,ROUND(AA330+Z331-Y331,2),0)</f>
        <v>0</v>
      </c>
      <c r="AB331" s="24">
        <f>IF(AA330&gt;0,ROUND(AB330+ROUND(ROUND(AB330*100,0)*ROUND(Y$7*10000,0)/12000000,0)/100+0.02,2),0)</f>
        <v>0</v>
      </c>
      <c r="AC331" s="24">
        <f>IF(AE330&gt;0,IF(AND(ROUND(AE330+AD331-ROUND(AC$6+IF(AC$5=$C331,$E$5+$E331,0),2),2)&gt;0,ROUND(AE330+AD331-ROUND(AC$6+IF(AC$5=$C331,$E$5+$E331,0),2),2)&lt;=AF331,ROUND(AE330+AD331-ROUND(AC$6+IF(AC$5=$C331,$E$5+$E331,0),2),2)*10&lt;=ROUND(AC$6+IF(AC$5=$C331,$E$5+$E331,0),2)),ROUND(AE330+AD331,2),MIN(ROUND(AC$6+IF(AC$5=$C331,$E$5+$E331,0),2),ROUND(AE330+AD331,2))),0)</f>
        <v>0</v>
      </c>
      <c r="AD331" s="24">
        <f>IF(AE330&gt;0,ROUND(ROUND(AE330*100,0)*ROUND(AC$7*10000,0)/12000000,0)/100,0)</f>
        <v>0</v>
      </c>
      <c r="AE331" s="24">
        <f>IF(AE330&gt;0,ROUND(AE330+AD331-AC331,2),0)</f>
        <v>0</v>
      </c>
      <c r="AF331" s="24">
        <f>IF(AE330&gt;0,ROUND(AF330+ROUND(ROUND(AF330*100,0)*ROUND(AC$7*10000,0)/12000000,0)/100+0.02,2),0)</f>
        <v>0</v>
      </c>
      <c r="AG331" s="24">
        <f>IF(AI330&gt;0,IF(AND(ROUND(AI330+AH331-ROUND(AG$6+IF(AG$5=$C331,$E$5+$E331,0),2),2)&gt;0,ROUND(AI330+AH331-ROUND(AG$6+IF(AG$5=$C331,$E$5+$E331,0),2),2)&lt;=AJ331,ROUND(AI330+AH331-ROUND(AG$6+IF(AG$5=$C331,$E$5+$E331,0),2),2)*10&lt;=ROUND(AG$6+IF(AG$5=$C331,$E$5+$E331,0),2)),ROUND(AI330+AH331,2),MIN(ROUND(AG$6+IF(AG$5=$C331,$E$5+$E331,0),2),ROUND(AI330+AH331,2))),0)</f>
        <v>0</v>
      </c>
      <c r="AH331" s="24">
        <f>IF(AI330&gt;0,ROUND(ROUND(AI330*100,0)*ROUND(AG$7*10000,0)/12000000,0)/100,0)</f>
        <v>0</v>
      </c>
      <c r="AI331" s="24">
        <f>IF(AI330&gt;0,ROUND(AI330+AH331-AG331,2),0)</f>
        <v>0</v>
      </c>
      <c r="AJ331" s="24">
        <f>IF(AI330&gt;0,ROUND(AJ330+ROUND(ROUND(AJ330*100,0)*ROUND(AG$7*10000,0)/12000000,0)/100+0.02,2),0)</f>
        <v>0</v>
      </c>
      <c r="AK331" s="24">
        <f>IF(AM330&gt;0,IF(AND(ROUND(AM330+AL331-ROUND(AK$6+IF(AK$5=$C331,$E$5+$E331,0),2),2)&gt;0,ROUND(AM330+AL331-ROUND(AK$6+IF(AK$5=$C331,$E$5+$E331,0),2),2)&lt;=AN331,ROUND(AM330+AL331-ROUND(AK$6+IF(AK$5=$C331,$E$5+$E331,0),2),2)*10&lt;=ROUND(AK$6+IF(AK$5=$C331,$E$5+$E331,0),2)),ROUND(AM330+AL331,2),MIN(ROUND(AK$6+IF(AK$5=$C331,$E$5+$E331,0),2),ROUND(AM330+AL331,2))),0)</f>
        <v>0</v>
      </c>
      <c r="AL331" s="24">
        <f>IF(AM330&gt;0,ROUND(ROUND(AM330*100,0)*ROUND(AK$7*10000,0)/12000000,0)/100,0)</f>
        <v>0</v>
      </c>
      <c r="AM331" s="24">
        <f>IF(AM330&gt;0,ROUND(AM330+AL331-AK331,2),0)</f>
        <v>0</v>
      </c>
      <c r="AN331" s="24">
        <f>IF(AM330&gt;0,ROUND(AN330+ROUND(ROUND(AN330*100,0)*ROUND(AK$7*10000,0)/12000000,0)/100+0.02,2),0)</f>
        <v>0</v>
      </c>
      <c r="AO331" s="24">
        <f>IF(AQ330&gt;0,IF(AND(ROUND(AQ330+AP331-ROUND(AO$6+IF(AO$5=$C331,$E$5+$E331,0),2),2)&gt;0,ROUND(AQ330+AP331-ROUND(AO$6+IF(AO$5=$C331,$E$5+$E331,0),2),2)&lt;=AR331,ROUND(AQ330+AP331-ROUND(AO$6+IF(AO$5=$C331,$E$5+$E331,0),2),2)*10&lt;=ROUND(AO$6+IF(AO$5=$C331,$E$5+$E331,0),2)),ROUND(AQ330+AP331,2),MIN(ROUND(AO$6+IF(AO$5=$C331,$E$5+$E331,0),2),ROUND(AQ330+AP331,2))),0)</f>
        <v>0</v>
      </c>
      <c r="AP331" s="24">
        <f>IF(AQ330&gt;0,ROUND(ROUND(AQ330*100,0)*ROUND(AO$7*10000,0)/12000000,0)/100,0)</f>
        <v>0</v>
      </c>
      <c r="AQ331" s="24">
        <f>IF(AQ330&gt;0,ROUND(AQ330+AP331-AO331,2),0)</f>
        <v>0</v>
      </c>
      <c r="AR331" s="24">
        <f>IF(AQ330&gt;0,ROUND(AR330+ROUND(ROUND(AR330*100,0)*ROUND(AO$7*10000,0)/12000000,0)/100+0.02,2),0)</f>
        <v>0</v>
      </c>
      <c r="AS331" s="24">
        <f>IF(AU330&gt;0,IF(AND(ROUND(AU330+AT331-ROUND(AS$6+IF(AS$5=$C331,$E$5+$E331,0),2),2)&gt;0,ROUND(AU330+AT331-ROUND(AS$6+IF(AS$5=$C331,$E$5+$E331,0),2),2)&lt;=AV331,ROUND(AU330+AT331-ROUND(AS$6+IF(AS$5=$C331,$E$5+$E331,0),2),2)*10&lt;=ROUND(AS$6+IF(AS$5=$C331,$E$5+$E331,0),2)),ROUND(AU330+AT331,2),MIN(ROUND(AS$6+IF(AS$5=$C331,$E$5+$E331,0),2),ROUND(AU330+AT331,2))),0)</f>
        <v>0</v>
      </c>
      <c r="AT331" s="24">
        <f>IF(AU330&gt;0,ROUND(ROUND(AU330*100,0)*ROUND(AS$7*10000,0)/12000000,0)/100,0)</f>
        <v>0</v>
      </c>
      <c r="AU331" s="24">
        <f>IF(AU330&gt;0,ROUND(AU330+AT331-AS331,2),0)</f>
        <v>0</v>
      </c>
      <c r="AV331" s="24">
        <f>IF(AU330&gt;0,ROUND(AV330+ROUND(ROUND(AV330*100,0)*ROUND(AS$7*10000,0)/12000000,0)/100+0.02,2),0)</f>
        <v>0</v>
      </c>
    </row>
    <row r="332" spans="1:48" x14ac:dyDescent="0.25">
      <c r="A332" s="17" t="str">
        <f>IF(F332&gt;0,322,"")</f>
        <v/>
      </c>
      <c r="B332" s="18" t="str">
        <f>IF(F332&gt;0,EDATE($E$6,322),"")</f>
        <v/>
      </c>
      <c r="C332" s="21">
        <f>IF(H331&gt;0,MIN(IF(K331&gt;0,I$5,99),IF(O331&gt;0,M$5,99),IF(S331&gt;0,Q$5,99),IF(W331&gt;0,U$5,99),IF(AA331&gt;0,Y$5,99),IF(AE331&gt;0,AC$5,99),IF(AI331&gt;0,AG$5,99),IF(AM331&gt;0,AK$5,99),IF(AQ331&gt;0,AO$5,99),IF(AU331&gt;0,AS$5,99)),0)</f>
        <v>0</v>
      </c>
      <c r="D332" t="str">
        <f>IF(C332&gt;0,INDEX($I$4:$AV$4,1,MATCH(C332,$I$5:$AV$5,0)),"")</f>
        <v/>
      </c>
      <c r="E332" s="24">
        <f>ROUND(IF(AND(I$8&gt;0,K331=0),I$6,0)+IF(AND(M$8&gt;0,O331=0),M$6,0)+IF(AND(Q$8&gt;0,S331=0),Q$6,0)+IF(AND(U$8&gt;0,W331=0),U$6,0)+IF(AND(Y$8&gt;0,AA331=0),Y$6,0)+IF(AND(AC$8&gt;0,AE331=0),AC$6,0)+IF(AND(AG$8&gt;0,AI331=0),AG$6,0)+IF(AND(AK$8&gt;0,AM331=0),AK$6,0)+IF(AND(AO$8&gt;0,AQ331=0),AO$6,0)+IF(AND(AS$8&gt;0,AU331=0),AS$6,0),2)</f>
        <v>325</v>
      </c>
      <c r="F332" s="24">
        <f>ROUND(I332+M332+Q332+U332+Y332+AC332+AG332+AK332+AO332+AS332,2)</f>
        <v>0</v>
      </c>
      <c r="G332" s="24">
        <f>ROUND(J332+N332+R332+V332+Z332+AD332+AH332+AL332+AP332+AT332,2)</f>
        <v>0</v>
      </c>
      <c r="H332" s="24">
        <f>ROUND(K332+O332+S332+W332+AA332+AE332+AI332+AM332+AQ332+AU332,2)</f>
        <v>0</v>
      </c>
      <c r="I332" s="24">
        <f>IF(K331&gt;0,IF(AND(ROUND(K331+J332-ROUND(I$6+IF(I$5=$C332,$E$5+$E332,0),2),2)&gt;0,ROUND(K331+J332-ROUND(I$6+IF(I$5=$C332,$E$5+$E332,0),2),2)&lt;=L332,ROUND(K331+J332-ROUND(I$6+IF(I$5=$C332,$E$5+$E332,0),2),2)*10&lt;=ROUND(I$6+IF(I$5=$C332,$E$5+$E332,0),2)),ROUND(K331+J332,2),MIN(ROUND(I$6+IF(I$5=$C332,$E$5+$E332,0),2),ROUND(K331+J332,2))),0)</f>
        <v>0</v>
      </c>
      <c r="J332" s="24">
        <f>IF(K331&gt;0,ROUND(ROUND(K331*100,0)*ROUND(I$7*10000,0)/12000000,0)/100,0)</f>
        <v>0</v>
      </c>
      <c r="K332" s="24">
        <f>IF(K331&gt;0,ROUND(K331+J332-I332,2),0)</f>
        <v>0</v>
      </c>
      <c r="L332" s="24">
        <f>IF(K331&gt;0,ROUND(L331+ROUND(ROUND(L331*100,0)*ROUND(I$7*10000,0)/12000000,0)/100+0.02,2),0)</f>
        <v>0</v>
      </c>
      <c r="M332" s="24">
        <f>IF(O331&gt;0,IF(AND(ROUND(O331+N332-ROUND(M$6+IF(M$5=$C332,$E$5+$E332,0),2),2)&gt;0,ROUND(O331+N332-ROUND(M$6+IF(M$5=$C332,$E$5+$E332,0),2),2)&lt;=P332,ROUND(O331+N332-ROUND(M$6+IF(M$5=$C332,$E$5+$E332,0),2),2)*10&lt;=ROUND(M$6+IF(M$5=$C332,$E$5+$E332,0),2)),ROUND(O331+N332,2),MIN(ROUND(M$6+IF(M$5=$C332,$E$5+$E332,0),2),ROUND(O331+N332,2))),0)</f>
        <v>0</v>
      </c>
      <c r="N332" s="24">
        <f>IF(O331&gt;0,ROUND(ROUND(O331*100,0)*ROUND(M$7*10000,0)/12000000,0)/100,0)</f>
        <v>0</v>
      </c>
      <c r="O332" s="24">
        <f>IF(O331&gt;0,ROUND(O331+N332-M332,2),0)</f>
        <v>0</v>
      </c>
      <c r="P332" s="24">
        <f>IF(O331&gt;0,ROUND(P331+ROUND(ROUND(P331*100,0)*ROUND(M$7*10000,0)/12000000,0)/100+0.02,2),0)</f>
        <v>0</v>
      </c>
      <c r="Q332" s="24">
        <f>IF(S331&gt;0,IF(AND(ROUND(S331+R332-ROUND(Q$6+IF(Q$5=$C332,$E$5+$E332,0),2),2)&gt;0,ROUND(S331+R332-ROUND(Q$6+IF(Q$5=$C332,$E$5+$E332,0),2),2)&lt;=T332,ROUND(S331+R332-ROUND(Q$6+IF(Q$5=$C332,$E$5+$E332,0),2),2)*10&lt;=ROUND(Q$6+IF(Q$5=$C332,$E$5+$E332,0),2)),ROUND(S331+R332,2),MIN(ROUND(Q$6+IF(Q$5=$C332,$E$5+$E332,0),2),ROUND(S331+R332,2))),0)</f>
        <v>0</v>
      </c>
      <c r="R332" s="24">
        <f>IF(S331&gt;0,ROUND(ROUND(S331*100,0)*ROUND(Q$7*10000,0)/12000000,0)/100,0)</f>
        <v>0</v>
      </c>
      <c r="S332" s="24">
        <f>IF(S331&gt;0,ROUND(S331+R332-Q332,2),0)</f>
        <v>0</v>
      </c>
      <c r="T332" s="24">
        <f>IF(S331&gt;0,ROUND(T331+ROUND(ROUND(T331*100,0)*ROUND(Q$7*10000,0)/12000000,0)/100+0.02,2),0)</f>
        <v>0</v>
      </c>
      <c r="U332" s="24">
        <f>IF(W331&gt;0,IF(AND(ROUND(W331+V332-ROUND(U$6+IF(U$5=$C332,$E$5+$E332,0),2),2)&gt;0,ROUND(W331+V332-ROUND(U$6+IF(U$5=$C332,$E$5+$E332,0),2),2)&lt;=X332,ROUND(W331+V332-ROUND(U$6+IF(U$5=$C332,$E$5+$E332,0),2),2)*10&lt;=ROUND(U$6+IF(U$5=$C332,$E$5+$E332,0),2)),ROUND(W331+V332,2),MIN(ROUND(U$6+IF(U$5=$C332,$E$5+$E332,0),2),ROUND(W331+V332,2))),0)</f>
        <v>0</v>
      </c>
      <c r="V332" s="24">
        <f>IF(W331&gt;0,ROUND(ROUND(W331*100,0)*ROUND(U$7*10000,0)/12000000,0)/100,0)</f>
        <v>0</v>
      </c>
      <c r="W332" s="24">
        <f>IF(W331&gt;0,ROUND(W331+V332-U332,2),0)</f>
        <v>0</v>
      </c>
      <c r="X332" s="24">
        <f>IF(W331&gt;0,ROUND(X331+ROUND(ROUND(X331*100,0)*ROUND(U$7*10000,0)/12000000,0)/100+0.02,2),0)</f>
        <v>0</v>
      </c>
      <c r="Y332" s="24">
        <f>IF(AA331&gt;0,IF(AND(ROUND(AA331+Z332-ROUND(Y$6+IF(Y$5=$C332,$E$5+$E332,0),2),2)&gt;0,ROUND(AA331+Z332-ROUND(Y$6+IF(Y$5=$C332,$E$5+$E332,0),2),2)&lt;=AB332,ROUND(AA331+Z332-ROUND(Y$6+IF(Y$5=$C332,$E$5+$E332,0),2),2)*10&lt;=ROUND(Y$6+IF(Y$5=$C332,$E$5+$E332,0),2)),ROUND(AA331+Z332,2),MIN(ROUND(Y$6+IF(Y$5=$C332,$E$5+$E332,0),2),ROUND(AA331+Z332,2))),0)</f>
        <v>0</v>
      </c>
      <c r="Z332" s="24">
        <f>IF(AA331&gt;0,ROUND(ROUND(AA331*100,0)*ROUND(Y$7*10000,0)/12000000,0)/100,0)</f>
        <v>0</v>
      </c>
      <c r="AA332" s="24">
        <f>IF(AA331&gt;0,ROUND(AA331+Z332-Y332,2),0)</f>
        <v>0</v>
      </c>
      <c r="AB332" s="24">
        <f>IF(AA331&gt;0,ROUND(AB331+ROUND(ROUND(AB331*100,0)*ROUND(Y$7*10000,0)/12000000,0)/100+0.02,2),0)</f>
        <v>0</v>
      </c>
      <c r="AC332" s="24">
        <f>IF(AE331&gt;0,IF(AND(ROUND(AE331+AD332-ROUND(AC$6+IF(AC$5=$C332,$E$5+$E332,0),2),2)&gt;0,ROUND(AE331+AD332-ROUND(AC$6+IF(AC$5=$C332,$E$5+$E332,0),2),2)&lt;=AF332,ROUND(AE331+AD332-ROUND(AC$6+IF(AC$5=$C332,$E$5+$E332,0),2),2)*10&lt;=ROUND(AC$6+IF(AC$5=$C332,$E$5+$E332,0),2)),ROUND(AE331+AD332,2),MIN(ROUND(AC$6+IF(AC$5=$C332,$E$5+$E332,0),2),ROUND(AE331+AD332,2))),0)</f>
        <v>0</v>
      </c>
      <c r="AD332" s="24">
        <f>IF(AE331&gt;0,ROUND(ROUND(AE331*100,0)*ROUND(AC$7*10000,0)/12000000,0)/100,0)</f>
        <v>0</v>
      </c>
      <c r="AE332" s="24">
        <f>IF(AE331&gt;0,ROUND(AE331+AD332-AC332,2),0)</f>
        <v>0</v>
      </c>
      <c r="AF332" s="24">
        <f>IF(AE331&gt;0,ROUND(AF331+ROUND(ROUND(AF331*100,0)*ROUND(AC$7*10000,0)/12000000,0)/100+0.02,2),0)</f>
        <v>0</v>
      </c>
      <c r="AG332" s="24">
        <f>IF(AI331&gt;0,IF(AND(ROUND(AI331+AH332-ROUND(AG$6+IF(AG$5=$C332,$E$5+$E332,0),2),2)&gt;0,ROUND(AI331+AH332-ROUND(AG$6+IF(AG$5=$C332,$E$5+$E332,0),2),2)&lt;=AJ332,ROUND(AI331+AH332-ROUND(AG$6+IF(AG$5=$C332,$E$5+$E332,0),2),2)*10&lt;=ROUND(AG$6+IF(AG$5=$C332,$E$5+$E332,0),2)),ROUND(AI331+AH332,2),MIN(ROUND(AG$6+IF(AG$5=$C332,$E$5+$E332,0),2),ROUND(AI331+AH332,2))),0)</f>
        <v>0</v>
      </c>
      <c r="AH332" s="24">
        <f>IF(AI331&gt;0,ROUND(ROUND(AI331*100,0)*ROUND(AG$7*10000,0)/12000000,0)/100,0)</f>
        <v>0</v>
      </c>
      <c r="AI332" s="24">
        <f>IF(AI331&gt;0,ROUND(AI331+AH332-AG332,2),0)</f>
        <v>0</v>
      </c>
      <c r="AJ332" s="24">
        <f>IF(AI331&gt;0,ROUND(AJ331+ROUND(ROUND(AJ331*100,0)*ROUND(AG$7*10000,0)/12000000,0)/100+0.02,2),0)</f>
        <v>0</v>
      </c>
      <c r="AK332" s="24">
        <f>IF(AM331&gt;0,IF(AND(ROUND(AM331+AL332-ROUND(AK$6+IF(AK$5=$C332,$E$5+$E332,0),2),2)&gt;0,ROUND(AM331+AL332-ROUND(AK$6+IF(AK$5=$C332,$E$5+$E332,0),2),2)&lt;=AN332,ROUND(AM331+AL332-ROUND(AK$6+IF(AK$5=$C332,$E$5+$E332,0),2),2)*10&lt;=ROUND(AK$6+IF(AK$5=$C332,$E$5+$E332,0),2)),ROUND(AM331+AL332,2),MIN(ROUND(AK$6+IF(AK$5=$C332,$E$5+$E332,0),2),ROUND(AM331+AL332,2))),0)</f>
        <v>0</v>
      </c>
      <c r="AL332" s="24">
        <f>IF(AM331&gt;0,ROUND(ROUND(AM331*100,0)*ROUND(AK$7*10000,0)/12000000,0)/100,0)</f>
        <v>0</v>
      </c>
      <c r="AM332" s="24">
        <f>IF(AM331&gt;0,ROUND(AM331+AL332-AK332,2),0)</f>
        <v>0</v>
      </c>
      <c r="AN332" s="24">
        <f>IF(AM331&gt;0,ROUND(AN331+ROUND(ROUND(AN331*100,0)*ROUND(AK$7*10000,0)/12000000,0)/100+0.02,2),0)</f>
        <v>0</v>
      </c>
      <c r="AO332" s="24">
        <f>IF(AQ331&gt;0,IF(AND(ROUND(AQ331+AP332-ROUND(AO$6+IF(AO$5=$C332,$E$5+$E332,0),2),2)&gt;0,ROUND(AQ331+AP332-ROUND(AO$6+IF(AO$5=$C332,$E$5+$E332,0),2),2)&lt;=AR332,ROUND(AQ331+AP332-ROUND(AO$6+IF(AO$5=$C332,$E$5+$E332,0),2),2)*10&lt;=ROUND(AO$6+IF(AO$5=$C332,$E$5+$E332,0),2)),ROUND(AQ331+AP332,2),MIN(ROUND(AO$6+IF(AO$5=$C332,$E$5+$E332,0),2),ROUND(AQ331+AP332,2))),0)</f>
        <v>0</v>
      </c>
      <c r="AP332" s="24">
        <f>IF(AQ331&gt;0,ROUND(ROUND(AQ331*100,0)*ROUND(AO$7*10000,0)/12000000,0)/100,0)</f>
        <v>0</v>
      </c>
      <c r="AQ332" s="24">
        <f>IF(AQ331&gt;0,ROUND(AQ331+AP332-AO332,2),0)</f>
        <v>0</v>
      </c>
      <c r="AR332" s="24">
        <f>IF(AQ331&gt;0,ROUND(AR331+ROUND(ROUND(AR331*100,0)*ROUND(AO$7*10000,0)/12000000,0)/100+0.02,2),0)</f>
        <v>0</v>
      </c>
      <c r="AS332" s="24">
        <f>IF(AU331&gt;0,IF(AND(ROUND(AU331+AT332-ROUND(AS$6+IF(AS$5=$C332,$E$5+$E332,0),2),2)&gt;0,ROUND(AU331+AT332-ROUND(AS$6+IF(AS$5=$C332,$E$5+$E332,0),2),2)&lt;=AV332,ROUND(AU331+AT332-ROUND(AS$6+IF(AS$5=$C332,$E$5+$E332,0),2),2)*10&lt;=ROUND(AS$6+IF(AS$5=$C332,$E$5+$E332,0),2)),ROUND(AU331+AT332,2),MIN(ROUND(AS$6+IF(AS$5=$C332,$E$5+$E332,0),2),ROUND(AU331+AT332,2))),0)</f>
        <v>0</v>
      </c>
      <c r="AT332" s="24">
        <f>IF(AU331&gt;0,ROUND(ROUND(AU331*100,0)*ROUND(AS$7*10000,0)/12000000,0)/100,0)</f>
        <v>0</v>
      </c>
      <c r="AU332" s="24">
        <f>IF(AU331&gt;0,ROUND(AU331+AT332-AS332,2),0)</f>
        <v>0</v>
      </c>
      <c r="AV332" s="24">
        <f>IF(AU331&gt;0,ROUND(AV331+ROUND(ROUND(AV331*100,0)*ROUND(AS$7*10000,0)/12000000,0)/100+0.02,2),0)</f>
        <v>0</v>
      </c>
    </row>
    <row r="333" spans="1:48" x14ac:dyDescent="0.25">
      <c r="A333" s="17" t="str">
        <f>IF(F333&gt;0,323,"")</f>
        <v/>
      </c>
      <c r="B333" s="18" t="str">
        <f>IF(F333&gt;0,EDATE($E$6,323),"")</f>
        <v/>
      </c>
      <c r="C333" s="21">
        <f>IF(H332&gt;0,MIN(IF(K332&gt;0,I$5,99),IF(O332&gt;0,M$5,99),IF(S332&gt;0,Q$5,99),IF(W332&gt;0,U$5,99),IF(AA332&gt;0,Y$5,99),IF(AE332&gt;0,AC$5,99),IF(AI332&gt;0,AG$5,99),IF(AM332&gt;0,AK$5,99),IF(AQ332&gt;0,AO$5,99),IF(AU332&gt;0,AS$5,99)),0)</f>
        <v>0</v>
      </c>
      <c r="D333" t="str">
        <f>IF(C333&gt;0,INDEX($I$4:$AV$4,1,MATCH(C333,$I$5:$AV$5,0)),"")</f>
        <v/>
      </c>
      <c r="E333" s="24">
        <f>ROUND(IF(AND(I$8&gt;0,K332=0),I$6,0)+IF(AND(M$8&gt;0,O332=0),M$6,0)+IF(AND(Q$8&gt;0,S332=0),Q$6,0)+IF(AND(U$8&gt;0,W332=0),U$6,0)+IF(AND(Y$8&gt;0,AA332=0),Y$6,0)+IF(AND(AC$8&gt;0,AE332=0),AC$6,0)+IF(AND(AG$8&gt;0,AI332=0),AG$6,0)+IF(AND(AK$8&gt;0,AM332=0),AK$6,0)+IF(AND(AO$8&gt;0,AQ332=0),AO$6,0)+IF(AND(AS$8&gt;0,AU332=0),AS$6,0),2)</f>
        <v>325</v>
      </c>
      <c r="F333" s="24">
        <f>ROUND(I333+M333+Q333+U333+Y333+AC333+AG333+AK333+AO333+AS333,2)</f>
        <v>0</v>
      </c>
      <c r="G333" s="24">
        <f>ROUND(J333+N333+R333+V333+Z333+AD333+AH333+AL333+AP333+AT333,2)</f>
        <v>0</v>
      </c>
      <c r="H333" s="24">
        <f>ROUND(K333+O333+S333+W333+AA333+AE333+AI333+AM333+AQ333+AU333,2)</f>
        <v>0</v>
      </c>
      <c r="I333" s="24">
        <f>IF(K332&gt;0,IF(AND(ROUND(K332+J333-ROUND(I$6+IF(I$5=$C333,$E$5+$E333,0),2),2)&gt;0,ROUND(K332+J333-ROUND(I$6+IF(I$5=$C333,$E$5+$E333,0),2),2)&lt;=L333,ROUND(K332+J333-ROUND(I$6+IF(I$5=$C333,$E$5+$E333,0),2),2)*10&lt;=ROUND(I$6+IF(I$5=$C333,$E$5+$E333,0),2)),ROUND(K332+J333,2),MIN(ROUND(I$6+IF(I$5=$C333,$E$5+$E333,0),2),ROUND(K332+J333,2))),0)</f>
        <v>0</v>
      </c>
      <c r="J333" s="24">
        <f>IF(K332&gt;0,ROUND(ROUND(K332*100,0)*ROUND(I$7*10000,0)/12000000,0)/100,0)</f>
        <v>0</v>
      </c>
      <c r="K333" s="24">
        <f>IF(K332&gt;0,ROUND(K332+J333-I333,2),0)</f>
        <v>0</v>
      </c>
      <c r="L333" s="24">
        <f>IF(K332&gt;0,ROUND(L332+ROUND(ROUND(L332*100,0)*ROUND(I$7*10000,0)/12000000,0)/100+0.02,2),0)</f>
        <v>0</v>
      </c>
      <c r="M333" s="24">
        <f>IF(O332&gt;0,IF(AND(ROUND(O332+N333-ROUND(M$6+IF(M$5=$C333,$E$5+$E333,0),2),2)&gt;0,ROUND(O332+N333-ROUND(M$6+IF(M$5=$C333,$E$5+$E333,0),2),2)&lt;=P333,ROUND(O332+N333-ROUND(M$6+IF(M$5=$C333,$E$5+$E333,0),2),2)*10&lt;=ROUND(M$6+IF(M$5=$C333,$E$5+$E333,0),2)),ROUND(O332+N333,2),MIN(ROUND(M$6+IF(M$5=$C333,$E$5+$E333,0),2),ROUND(O332+N333,2))),0)</f>
        <v>0</v>
      </c>
      <c r="N333" s="24">
        <f>IF(O332&gt;0,ROUND(ROUND(O332*100,0)*ROUND(M$7*10000,0)/12000000,0)/100,0)</f>
        <v>0</v>
      </c>
      <c r="O333" s="24">
        <f>IF(O332&gt;0,ROUND(O332+N333-M333,2),0)</f>
        <v>0</v>
      </c>
      <c r="P333" s="24">
        <f>IF(O332&gt;0,ROUND(P332+ROUND(ROUND(P332*100,0)*ROUND(M$7*10000,0)/12000000,0)/100+0.02,2),0)</f>
        <v>0</v>
      </c>
      <c r="Q333" s="24">
        <f>IF(S332&gt;0,IF(AND(ROUND(S332+R333-ROUND(Q$6+IF(Q$5=$C333,$E$5+$E333,0),2),2)&gt;0,ROUND(S332+R333-ROUND(Q$6+IF(Q$5=$C333,$E$5+$E333,0),2),2)&lt;=T333,ROUND(S332+R333-ROUND(Q$6+IF(Q$5=$C333,$E$5+$E333,0),2),2)*10&lt;=ROUND(Q$6+IF(Q$5=$C333,$E$5+$E333,0),2)),ROUND(S332+R333,2),MIN(ROUND(Q$6+IF(Q$5=$C333,$E$5+$E333,0),2),ROUND(S332+R333,2))),0)</f>
        <v>0</v>
      </c>
      <c r="R333" s="24">
        <f>IF(S332&gt;0,ROUND(ROUND(S332*100,0)*ROUND(Q$7*10000,0)/12000000,0)/100,0)</f>
        <v>0</v>
      </c>
      <c r="S333" s="24">
        <f>IF(S332&gt;0,ROUND(S332+R333-Q333,2),0)</f>
        <v>0</v>
      </c>
      <c r="T333" s="24">
        <f>IF(S332&gt;0,ROUND(T332+ROUND(ROUND(T332*100,0)*ROUND(Q$7*10000,0)/12000000,0)/100+0.02,2),0)</f>
        <v>0</v>
      </c>
      <c r="U333" s="24">
        <f>IF(W332&gt;0,IF(AND(ROUND(W332+V333-ROUND(U$6+IF(U$5=$C333,$E$5+$E333,0),2),2)&gt;0,ROUND(W332+V333-ROUND(U$6+IF(U$5=$C333,$E$5+$E333,0),2),2)&lt;=X333,ROUND(W332+V333-ROUND(U$6+IF(U$5=$C333,$E$5+$E333,0),2),2)*10&lt;=ROUND(U$6+IF(U$5=$C333,$E$5+$E333,0),2)),ROUND(W332+V333,2),MIN(ROUND(U$6+IF(U$5=$C333,$E$5+$E333,0),2),ROUND(W332+V333,2))),0)</f>
        <v>0</v>
      </c>
      <c r="V333" s="24">
        <f>IF(W332&gt;0,ROUND(ROUND(W332*100,0)*ROUND(U$7*10000,0)/12000000,0)/100,0)</f>
        <v>0</v>
      </c>
      <c r="W333" s="24">
        <f>IF(W332&gt;0,ROUND(W332+V333-U333,2),0)</f>
        <v>0</v>
      </c>
      <c r="X333" s="24">
        <f>IF(W332&gt;0,ROUND(X332+ROUND(ROUND(X332*100,0)*ROUND(U$7*10000,0)/12000000,0)/100+0.02,2),0)</f>
        <v>0</v>
      </c>
      <c r="Y333" s="24">
        <f>IF(AA332&gt;0,IF(AND(ROUND(AA332+Z333-ROUND(Y$6+IF(Y$5=$C333,$E$5+$E333,0),2),2)&gt;0,ROUND(AA332+Z333-ROUND(Y$6+IF(Y$5=$C333,$E$5+$E333,0),2),2)&lt;=AB333,ROUND(AA332+Z333-ROUND(Y$6+IF(Y$5=$C333,$E$5+$E333,0),2),2)*10&lt;=ROUND(Y$6+IF(Y$5=$C333,$E$5+$E333,0),2)),ROUND(AA332+Z333,2),MIN(ROUND(Y$6+IF(Y$5=$C333,$E$5+$E333,0),2),ROUND(AA332+Z333,2))),0)</f>
        <v>0</v>
      </c>
      <c r="Z333" s="24">
        <f>IF(AA332&gt;0,ROUND(ROUND(AA332*100,0)*ROUND(Y$7*10000,0)/12000000,0)/100,0)</f>
        <v>0</v>
      </c>
      <c r="AA333" s="24">
        <f>IF(AA332&gt;0,ROUND(AA332+Z333-Y333,2),0)</f>
        <v>0</v>
      </c>
      <c r="AB333" s="24">
        <f>IF(AA332&gt;0,ROUND(AB332+ROUND(ROUND(AB332*100,0)*ROUND(Y$7*10000,0)/12000000,0)/100+0.02,2),0)</f>
        <v>0</v>
      </c>
      <c r="AC333" s="24">
        <f>IF(AE332&gt;0,IF(AND(ROUND(AE332+AD333-ROUND(AC$6+IF(AC$5=$C333,$E$5+$E333,0),2),2)&gt;0,ROUND(AE332+AD333-ROUND(AC$6+IF(AC$5=$C333,$E$5+$E333,0),2),2)&lt;=AF333,ROUND(AE332+AD333-ROUND(AC$6+IF(AC$5=$C333,$E$5+$E333,0),2),2)*10&lt;=ROUND(AC$6+IF(AC$5=$C333,$E$5+$E333,0),2)),ROUND(AE332+AD333,2),MIN(ROUND(AC$6+IF(AC$5=$C333,$E$5+$E333,0),2),ROUND(AE332+AD333,2))),0)</f>
        <v>0</v>
      </c>
      <c r="AD333" s="24">
        <f>IF(AE332&gt;0,ROUND(ROUND(AE332*100,0)*ROUND(AC$7*10000,0)/12000000,0)/100,0)</f>
        <v>0</v>
      </c>
      <c r="AE333" s="24">
        <f>IF(AE332&gt;0,ROUND(AE332+AD333-AC333,2),0)</f>
        <v>0</v>
      </c>
      <c r="AF333" s="24">
        <f>IF(AE332&gt;0,ROUND(AF332+ROUND(ROUND(AF332*100,0)*ROUND(AC$7*10000,0)/12000000,0)/100+0.02,2),0)</f>
        <v>0</v>
      </c>
      <c r="AG333" s="24">
        <f>IF(AI332&gt;0,IF(AND(ROUND(AI332+AH333-ROUND(AG$6+IF(AG$5=$C333,$E$5+$E333,0),2),2)&gt;0,ROUND(AI332+AH333-ROUND(AG$6+IF(AG$5=$C333,$E$5+$E333,0),2),2)&lt;=AJ333,ROUND(AI332+AH333-ROUND(AG$6+IF(AG$5=$C333,$E$5+$E333,0),2),2)*10&lt;=ROUND(AG$6+IF(AG$5=$C333,$E$5+$E333,0),2)),ROUND(AI332+AH333,2),MIN(ROUND(AG$6+IF(AG$5=$C333,$E$5+$E333,0),2),ROUND(AI332+AH333,2))),0)</f>
        <v>0</v>
      </c>
      <c r="AH333" s="24">
        <f>IF(AI332&gt;0,ROUND(ROUND(AI332*100,0)*ROUND(AG$7*10000,0)/12000000,0)/100,0)</f>
        <v>0</v>
      </c>
      <c r="AI333" s="24">
        <f>IF(AI332&gt;0,ROUND(AI332+AH333-AG333,2),0)</f>
        <v>0</v>
      </c>
      <c r="AJ333" s="24">
        <f>IF(AI332&gt;0,ROUND(AJ332+ROUND(ROUND(AJ332*100,0)*ROUND(AG$7*10000,0)/12000000,0)/100+0.02,2),0)</f>
        <v>0</v>
      </c>
      <c r="AK333" s="24">
        <f>IF(AM332&gt;0,IF(AND(ROUND(AM332+AL333-ROUND(AK$6+IF(AK$5=$C333,$E$5+$E333,0),2),2)&gt;0,ROUND(AM332+AL333-ROUND(AK$6+IF(AK$5=$C333,$E$5+$E333,0),2),2)&lt;=AN333,ROUND(AM332+AL333-ROUND(AK$6+IF(AK$5=$C333,$E$5+$E333,0),2),2)*10&lt;=ROUND(AK$6+IF(AK$5=$C333,$E$5+$E333,0),2)),ROUND(AM332+AL333,2),MIN(ROUND(AK$6+IF(AK$5=$C333,$E$5+$E333,0),2),ROUND(AM332+AL333,2))),0)</f>
        <v>0</v>
      </c>
      <c r="AL333" s="24">
        <f>IF(AM332&gt;0,ROUND(ROUND(AM332*100,0)*ROUND(AK$7*10000,0)/12000000,0)/100,0)</f>
        <v>0</v>
      </c>
      <c r="AM333" s="24">
        <f>IF(AM332&gt;0,ROUND(AM332+AL333-AK333,2),0)</f>
        <v>0</v>
      </c>
      <c r="AN333" s="24">
        <f>IF(AM332&gt;0,ROUND(AN332+ROUND(ROUND(AN332*100,0)*ROUND(AK$7*10000,0)/12000000,0)/100+0.02,2),0)</f>
        <v>0</v>
      </c>
      <c r="AO333" s="24">
        <f>IF(AQ332&gt;0,IF(AND(ROUND(AQ332+AP333-ROUND(AO$6+IF(AO$5=$C333,$E$5+$E333,0),2),2)&gt;0,ROUND(AQ332+AP333-ROUND(AO$6+IF(AO$5=$C333,$E$5+$E333,0),2),2)&lt;=AR333,ROUND(AQ332+AP333-ROUND(AO$6+IF(AO$5=$C333,$E$5+$E333,0),2),2)*10&lt;=ROUND(AO$6+IF(AO$5=$C333,$E$5+$E333,0),2)),ROUND(AQ332+AP333,2),MIN(ROUND(AO$6+IF(AO$5=$C333,$E$5+$E333,0),2),ROUND(AQ332+AP333,2))),0)</f>
        <v>0</v>
      </c>
      <c r="AP333" s="24">
        <f>IF(AQ332&gt;0,ROUND(ROUND(AQ332*100,0)*ROUND(AO$7*10000,0)/12000000,0)/100,0)</f>
        <v>0</v>
      </c>
      <c r="AQ333" s="24">
        <f>IF(AQ332&gt;0,ROUND(AQ332+AP333-AO333,2),0)</f>
        <v>0</v>
      </c>
      <c r="AR333" s="24">
        <f>IF(AQ332&gt;0,ROUND(AR332+ROUND(ROUND(AR332*100,0)*ROUND(AO$7*10000,0)/12000000,0)/100+0.02,2),0)</f>
        <v>0</v>
      </c>
      <c r="AS333" s="24">
        <f>IF(AU332&gt;0,IF(AND(ROUND(AU332+AT333-ROUND(AS$6+IF(AS$5=$C333,$E$5+$E333,0),2),2)&gt;0,ROUND(AU332+AT333-ROUND(AS$6+IF(AS$5=$C333,$E$5+$E333,0),2),2)&lt;=AV333,ROUND(AU332+AT333-ROUND(AS$6+IF(AS$5=$C333,$E$5+$E333,0),2),2)*10&lt;=ROUND(AS$6+IF(AS$5=$C333,$E$5+$E333,0),2)),ROUND(AU332+AT333,2),MIN(ROUND(AS$6+IF(AS$5=$C333,$E$5+$E333,0),2),ROUND(AU332+AT333,2))),0)</f>
        <v>0</v>
      </c>
      <c r="AT333" s="24">
        <f>IF(AU332&gt;0,ROUND(ROUND(AU332*100,0)*ROUND(AS$7*10000,0)/12000000,0)/100,0)</f>
        <v>0</v>
      </c>
      <c r="AU333" s="24">
        <f>IF(AU332&gt;0,ROUND(AU332+AT333-AS333,2),0)</f>
        <v>0</v>
      </c>
      <c r="AV333" s="24">
        <f>IF(AU332&gt;0,ROUND(AV332+ROUND(ROUND(AV332*100,0)*ROUND(AS$7*10000,0)/12000000,0)/100+0.02,2),0)</f>
        <v>0</v>
      </c>
    </row>
    <row r="334" spans="1:48" x14ac:dyDescent="0.25">
      <c r="A334" s="17" t="str">
        <f>IF(F334&gt;0,324,"")</f>
        <v/>
      </c>
      <c r="B334" s="18" t="str">
        <f>IF(F334&gt;0,EDATE($E$6,324),"")</f>
        <v/>
      </c>
      <c r="C334" s="21">
        <f>IF(H333&gt;0,MIN(IF(K333&gt;0,I$5,99),IF(O333&gt;0,M$5,99),IF(S333&gt;0,Q$5,99),IF(W333&gt;0,U$5,99),IF(AA333&gt;0,Y$5,99),IF(AE333&gt;0,AC$5,99),IF(AI333&gt;0,AG$5,99),IF(AM333&gt;0,AK$5,99),IF(AQ333&gt;0,AO$5,99),IF(AU333&gt;0,AS$5,99)),0)</f>
        <v>0</v>
      </c>
      <c r="D334" t="str">
        <f>IF(C334&gt;0,INDEX($I$4:$AV$4,1,MATCH(C334,$I$5:$AV$5,0)),"")</f>
        <v/>
      </c>
      <c r="E334" s="24">
        <f>ROUND(IF(AND(I$8&gt;0,K333=0),I$6,0)+IF(AND(M$8&gt;0,O333=0),M$6,0)+IF(AND(Q$8&gt;0,S333=0),Q$6,0)+IF(AND(U$8&gt;0,W333=0),U$6,0)+IF(AND(Y$8&gt;0,AA333=0),Y$6,0)+IF(AND(AC$8&gt;0,AE333=0),AC$6,0)+IF(AND(AG$8&gt;0,AI333=0),AG$6,0)+IF(AND(AK$8&gt;0,AM333=0),AK$6,0)+IF(AND(AO$8&gt;0,AQ333=0),AO$6,0)+IF(AND(AS$8&gt;0,AU333=0),AS$6,0),2)</f>
        <v>325</v>
      </c>
      <c r="F334" s="24">
        <f>ROUND(I334+M334+Q334+U334+Y334+AC334+AG334+AK334+AO334+AS334,2)</f>
        <v>0</v>
      </c>
      <c r="G334" s="24">
        <f>ROUND(J334+N334+R334+V334+Z334+AD334+AH334+AL334+AP334+AT334,2)</f>
        <v>0</v>
      </c>
      <c r="H334" s="24">
        <f>ROUND(K334+O334+S334+W334+AA334+AE334+AI334+AM334+AQ334+AU334,2)</f>
        <v>0</v>
      </c>
      <c r="I334" s="24">
        <f>IF(K333&gt;0,IF(AND(ROUND(K333+J334-ROUND(I$6+IF(I$5=$C334,$E$5+$E334,0),2),2)&gt;0,ROUND(K333+J334-ROUND(I$6+IF(I$5=$C334,$E$5+$E334,0),2),2)&lt;=L334,ROUND(K333+J334-ROUND(I$6+IF(I$5=$C334,$E$5+$E334,0),2),2)*10&lt;=ROUND(I$6+IF(I$5=$C334,$E$5+$E334,0),2)),ROUND(K333+J334,2),MIN(ROUND(I$6+IF(I$5=$C334,$E$5+$E334,0),2),ROUND(K333+J334,2))),0)</f>
        <v>0</v>
      </c>
      <c r="J334" s="24">
        <f>IF(K333&gt;0,ROUND(ROUND(K333*100,0)*ROUND(I$7*10000,0)/12000000,0)/100,0)</f>
        <v>0</v>
      </c>
      <c r="K334" s="24">
        <f>IF(K333&gt;0,ROUND(K333+J334-I334,2),0)</f>
        <v>0</v>
      </c>
      <c r="L334" s="24">
        <f>IF(K333&gt;0,ROUND(L333+ROUND(ROUND(L333*100,0)*ROUND(I$7*10000,0)/12000000,0)/100+0.02,2),0)</f>
        <v>0</v>
      </c>
      <c r="M334" s="24">
        <f>IF(O333&gt;0,IF(AND(ROUND(O333+N334-ROUND(M$6+IF(M$5=$C334,$E$5+$E334,0),2),2)&gt;0,ROUND(O333+N334-ROUND(M$6+IF(M$5=$C334,$E$5+$E334,0),2),2)&lt;=P334,ROUND(O333+N334-ROUND(M$6+IF(M$5=$C334,$E$5+$E334,0),2),2)*10&lt;=ROUND(M$6+IF(M$5=$C334,$E$5+$E334,0),2)),ROUND(O333+N334,2),MIN(ROUND(M$6+IF(M$5=$C334,$E$5+$E334,0),2),ROUND(O333+N334,2))),0)</f>
        <v>0</v>
      </c>
      <c r="N334" s="24">
        <f>IF(O333&gt;0,ROUND(ROUND(O333*100,0)*ROUND(M$7*10000,0)/12000000,0)/100,0)</f>
        <v>0</v>
      </c>
      <c r="O334" s="24">
        <f>IF(O333&gt;0,ROUND(O333+N334-M334,2),0)</f>
        <v>0</v>
      </c>
      <c r="P334" s="24">
        <f>IF(O333&gt;0,ROUND(P333+ROUND(ROUND(P333*100,0)*ROUND(M$7*10000,0)/12000000,0)/100+0.02,2),0)</f>
        <v>0</v>
      </c>
      <c r="Q334" s="24">
        <f>IF(S333&gt;0,IF(AND(ROUND(S333+R334-ROUND(Q$6+IF(Q$5=$C334,$E$5+$E334,0),2),2)&gt;0,ROUND(S333+R334-ROUND(Q$6+IF(Q$5=$C334,$E$5+$E334,0),2),2)&lt;=T334,ROUND(S333+R334-ROUND(Q$6+IF(Q$5=$C334,$E$5+$E334,0),2),2)*10&lt;=ROUND(Q$6+IF(Q$5=$C334,$E$5+$E334,0),2)),ROUND(S333+R334,2),MIN(ROUND(Q$6+IF(Q$5=$C334,$E$5+$E334,0),2),ROUND(S333+R334,2))),0)</f>
        <v>0</v>
      </c>
      <c r="R334" s="24">
        <f>IF(S333&gt;0,ROUND(ROUND(S333*100,0)*ROUND(Q$7*10000,0)/12000000,0)/100,0)</f>
        <v>0</v>
      </c>
      <c r="S334" s="24">
        <f>IF(S333&gt;0,ROUND(S333+R334-Q334,2),0)</f>
        <v>0</v>
      </c>
      <c r="T334" s="24">
        <f>IF(S333&gt;0,ROUND(T333+ROUND(ROUND(T333*100,0)*ROUND(Q$7*10000,0)/12000000,0)/100+0.02,2),0)</f>
        <v>0</v>
      </c>
      <c r="U334" s="24">
        <f>IF(W333&gt;0,IF(AND(ROUND(W333+V334-ROUND(U$6+IF(U$5=$C334,$E$5+$E334,0),2),2)&gt;0,ROUND(W333+V334-ROUND(U$6+IF(U$5=$C334,$E$5+$E334,0),2),2)&lt;=X334,ROUND(W333+V334-ROUND(U$6+IF(U$5=$C334,$E$5+$E334,0),2),2)*10&lt;=ROUND(U$6+IF(U$5=$C334,$E$5+$E334,0),2)),ROUND(W333+V334,2),MIN(ROUND(U$6+IF(U$5=$C334,$E$5+$E334,0),2),ROUND(W333+V334,2))),0)</f>
        <v>0</v>
      </c>
      <c r="V334" s="24">
        <f>IF(W333&gt;0,ROUND(ROUND(W333*100,0)*ROUND(U$7*10000,0)/12000000,0)/100,0)</f>
        <v>0</v>
      </c>
      <c r="W334" s="24">
        <f>IF(W333&gt;0,ROUND(W333+V334-U334,2),0)</f>
        <v>0</v>
      </c>
      <c r="X334" s="24">
        <f>IF(W333&gt;0,ROUND(X333+ROUND(ROUND(X333*100,0)*ROUND(U$7*10000,0)/12000000,0)/100+0.02,2),0)</f>
        <v>0</v>
      </c>
      <c r="Y334" s="24">
        <f>IF(AA333&gt;0,IF(AND(ROUND(AA333+Z334-ROUND(Y$6+IF(Y$5=$C334,$E$5+$E334,0),2),2)&gt;0,ROUND(AA333+Z334-ROUND(Y$6+IF(Y$5=$C334,$E$5+$E334,0),2),2)&lt;=AB334,ROUND(AA333+Z334-ROUND(Y$6+IF(Y$5=$C334,$E$5+$E334,0),2),2)*10&lt;=ROUND(Y$6+IF(Y$5=$C334,$E$5+$E334,0),2)),ROUND(AA333+Z334,2),MIN(ROUND(Y$6+IF(Y$5=$C334,$E$5+$E334,0),2),ROUND(AA333+Z334,2))),0)</f>
        <v>0</v>
      </c>
      <c r="Z334" s="24">
        <f>IF(AA333&gt;0,ROUND(ROUND(AA333*100,0)*ROUND(Y$7*10000,0)/12000000,0)/100,0)</f>
        <v>0</v>
      </c>
      <c r="AA334" s="24">
        <f>IF(AA333&gt;0,ROUND(AA333+Z334-Y334,2),0)</f>
        <v>0</v>
      </c>
      <c r="AB334" s="24">
        <f>IF(AA333&gt;0,ROUND(AB333+ROUND(ROUND(AB333*100,0)*ROUND(Y$7*10000,0)/12000000,0)/100+0.02,2),0)</f>
        <v>0</v>
      </c>
      <c r="AC334" s="24">
        <f>IF(AE333&gt;0,IF(AND(ROUND(AE333+AD334-ROUND(AC$6+IF(AC$5=$C334,$E$5+$E334,0),2),2)&gt;0,ROUND(AE333+AD334-ROUND(AC$6+IF(AC$5=$C334,$E$5+$E334,0),2),2)&lt;=AF334,ROUND(AE333+AD334-ROUND(AC$6+IF(AC$5=$C334,$E$5+$E334,0),2),2)*10&lt;=ROUND(AC$6+IF(AC$5=$C334,$E$5+$E334,0),2)),ROUND(AE333+AD334,2),MIN(ROUND(AC$6+IF(AC$5=$C334,$E$5+$E334,0),2),ROUND(AE333+AD334,2))),0)</f>
        <v>0</v>
      </c>
      <c r="AD334" s="24">
        <f>IF(AE333&gt;0,ROUND(ROUND(AE333*100,0)*ROUND(AC$7*10000,0)/12000000,0)/100,0)</f>
        <v>0</v>
      </c>
      <c r="AE334" s="24">
        <f>IF(AE333&gt;0,ROUND(AE333+AD334-AC334,2),0)</f>
        <v>0</v>
      </c>
      <c r="AF334" s="24">
        <f>IF(AE333&gt;0,ROUND(AF333+ROUND(ROUND(AF333*100,0)*ROUND(AC$7*10000,0)/12000000,0)/100+0.02,2),0)</f>
        <v>0</v>
      </c>
      <c r="AG334" s="24">
        <f>IF(AI333&gt;0,IF(AND(ROUND(AI333+AH334-ROUND(AG$6+IF(AG$5=$C334,$E$5+$E334,0),2),2)&gt;0,ROUND(AI333+AH334-ROUND(AG$6+IF(AG$5=$C334,$E$5+$E334,0),2),2)&lt;=AJ334,ROUND(AI333+AH334-ROUND(AG$6+IF(AG$5=$C334,$E$5+$E334,0),2),2)*10&lt;=ROUND(AG$6+IF(AG$5=$C334,$E$5+$E334,0),2)),ROUND(AI333+AH334,2),MIN(ROUND(AG$6+IF(AG$5=$C334,$E$5+$E334,0),2),ROUND(AI333+AH334,2))),0)</f>
        <v>0</v>
      </c>
      <c r="AH334" s="24">
        <f>IF(AI333&gt;0,ROUND(ROUND(AI333*100,0)*ROUND(AG$7*10000,0)/12000000,0)/100,0)</f>
        <v>0</v>
      </c>
      <c r="AI334" s="24">
        <f>IF(AI333&gt;0,ROUND(AI333+AH334-AG334,2),0)</f>
        <v>0</v>
      </c>
      <c r="AJ334" s="24">
        <f>IF(AI333&gt;0,ROUND(AJ333+ROUND(ROUND(AJ333*100,0)*ROUND(AG$7*10000,0)/12000000,0)/100+0.02,2),0)</f>
        <v>0</v>
      </c>
      <c r="AK334" s="24">
        <f>IF(AM333&gt;0,IF(AND(ROUND(AM333+AL334-ROUND(AK$6+IF(AK$5=$C334,$E$5+$E334,0),2),2)&gt;0,ROUND(AM333+AL334-ROUND(AK$6+IF(AK$5=$C334,$E$5+$E334,0),2),2)&lt;=AN334,ROUND(AM333+AL334-ROUND(AK$6+IF(AK$5=$C334,$E$5+$E334,0),2),2)*10&lt;=ROUND(AK$6+IF(AK$5=$C334,$E$5+$E334,0),2)),ROUND(AM333+AL334,2),MIN(ROUND(AK$6+IF(AK$5=$C334,$E$5+$E334,0),2),ROUND(AM333+AL334,2))),0)</f>
        <v>0</v>
      </c>
      <c r="AL334" s="24">
        <f>IF(AM333&gt;0,ROUND(ROUND(AM333*100,0)*ROUND(AK$7*10000,0)/12000000,0)/100,0)</f>
        <v>0</v>
      </c>
      <c r="AM334" s="24">
        <f>IF(AM333&gt;0,ROUND(AM333+AL334-AK334,2),0)</f>
        <v>0</v>
      </c>
      <c r="AN334" s="24">
        <f>IF(AM333&gt;0,ROUND(AN333+ROUND(ROUND(AN333*100,0)*ROUND(AK$7*10000,0)/12000000,0)/100+0.02,2),0)</f>
        <v>0</v>
      </c>
      <c r="AO334" s="24">
        <f>IF(AQ333&gt;0,IF(AND(ROUND(AQ333+AP334-ROUND(AO$6+IF(AO$5=$C334,$E$5+$E334,0),2),2)&gt;0,ROUND(AQ333+AP334-ROUND(AO$6+IF(AO$5=$C334,$E$5+$E334,0),2),2)&lt;=AR334,ROUND(AQ333+AP334-ROUND(AO$6+IF(AO$5=$C334,$E$5+$E334,0),2),2)*10&lt;=ROUND(AO$6+IF(AO$5=$C334,$E$5+$E334,0),2)),ROUND(AQ333+AP334,2),MIN(ROUND(AO$6+IF(AO$5=$C334,$E$5+$E334,0),2),ROUND(AQ333+AP334,2))),0)</f>
        <v>0</v>
      </c>
      <c r="AP334" s="24">
        <f>IF(AQ333&gt;0,ROUND(ROUND(AQ333*100,0)*ROUND(AO$7*10000,0)/12000000,0)/100,0)</f>
        <v>0</v>
      </c>
      <c r="AQ334" s="24">
        <f>IF(AQ333&gt;0,ROUND(AQ333+AP334-AO334,2),0)</f>
        <v>0</v>
      </c>
      <c r="AR334" s="24">
        <f>IF(AQ333&gt;0,ROUND(AR333+ROUND(ROUND(AR333*100,0)*ROUND(AO$7*10000,0)/12000000,0)/100+0.02,2),0)</f>
        <v>0</v>
      </c>
      <c r="AS334" s="24">
        <f>IF(AU333&gt;0,IF(AND(ROUND(AU333+AT334-ROUND(AS$6+IF(AS$5=$C334,$E$5+$E334,0),2),2)&gt;0,ROUND(AU333+AT334-ROUND(AS$6+IF(AS$5=$C334,$E$5+$E334,0),2),2)&lt;=AV334,ROUND(AU333+AT334-ROUND(AS$6+IF(AS$5=$C334,$E$5+$E334,0),2),2)*10&lt;=ROUND(AS$6+IF(AS$5=$C334,$E$5+$E334,0),2)),ROUND(AU333+AT334,2),MIN(ROUND(AS$6+IF(AS$5=$C334,$E$5+$E334,0),2),ROUND(AU333+AT334,2))),0)</f>
        <v>0</v>
      </c>
      <c r="AT334" s="24">
        <f>IF(AU333&gt;0,ROUND(ROUND(AU333*100,0)*ROUND(AS$7*10000,0)/12000000,0)/100,0)</f>
        <v>0</v>
      </c>
      <c r="AU334" s="24">
        <f>IF(AU333&gt;0,ROUND(AU333+AT334-AS334,2),0)</f>
        <v>0</v>
      </c>
      <c r="AV334" s="24">
        <f>IF(AU333&gt;0,ROUND(AV333+ROUND(ROUND(AV333*100,0)*ROUND(AS$7*10000,0)/12000000,0)/100+0.02,2),0)</f>
        <v>0</v>
      </c>
    </row>
    <row r="335" spans="1:48" x14ac:dyDescent="0.25">
      <c r="A335" s="17" t="str">
        <f>IF(F335&gt;0,325,"")</f>
        <v/>
      </c>
      <c r="B335" s="18" t="str">
        <f>IF(F335&gt;0,EDATE($E$6,325),"")</f>
        <v/>
      </c>
      <c r="C335" s="21">
        <f>IF(H334&gt;0,MIN(IF(K334&gt;0,I$5,99),IF(O334&gt;0,M$5,99),IF(S334&gt;0,Q$5,99),IF(W334&gt;0,U$5,99),IF(AA334&gt;0,Y$5,99),IF(AE334&gt;0,AC$5,99),IF(AI334&gt;0,AG$5,99),IF(AM334&gt;0,AK$5,99),IF(AQ334&gt;0,AO$5,99),IF(AU334&gt;0,AS$5,99)),0)</f>
        <v>0</v>
      </c>
      <c r="D335" t="str">
        <f>IF(C335&gt;0,INDEX($I$4:$AV$4,1,MATCH(C335,$I$5:$AV$5,0)),"")</f>
        <v/>
      </c>
      <c r="E335" s="24">
        <f>ROUND(IF(AND(I$8&gt;0,K334=0),I$6,0)+IF(AND(M$8&gt;0,O334=0),M$6,0)+IF(AND(Q$8&gt;0,S334=0),Q$6,0)+IF(AND(U$8&gt;0,W334=0),U$6,0)+IF(AND(Y$8&gt;0,AA334=0),Y$6,0)+IF(AND(AC$8&gt;0,AE334=0),AC$6,0)+IF(AND(AG$8&gt;0,AI334=0),AG$6,0)+IF(AND(AK$8&gt;0,AM334=0),AK$6,0)+IF(AND(AO$8&gt;0,AQ334=0),AO$6,0)+IF(AND(AS$8&gt;0,AU334=0),AS$6,0),2)</f>
        <v>325</v>
      </c>
      <c r="F335" s="24">
        <f>ROUND(I335+M335+Q335+U335+Y335+AC335+AG335+AK335+AO335+AS335,2)</f>
        <v>0</v>
      </c>
      <c r="G335" s="24">
        <f>ROUND(J335+N335+R335+V335+Z335+AD335+AH335+AL335+AP335+AT335,2)</f>
        <v>0</v>
      </c>
      <c r="H335" s="24">
        <f>ROUND(K335+O335+S335+W335+AA335+AE335+AI335+AM335+AQ335+AU335,2)</f>
        <v>0</v>
      </c>
      <c r="I335" s="24">
        <f>IF(K334&gt;0,IF(AND(ROUND(K334+J335-ROUND(I$6+IF(I$5=$C335,$E$5+$E335,0),2),2)&gt;0,ROUND(K334+J335-ROUND(I$6+IF(I$5=$C335,$E$5+$E335,0),2),2)&lt;=L335,ROUND(K334+J335-ROUND(I$6+IF(I$5=$C335,$E$5+$E335,0),2),2)*10&lt;=ROUND(I$6+IF(I$5=$C335,$E$5+$E335,0),2)),ROUND(K334+J335,2),MIN(ROUND(I$6+IF(I$5=$C335,$E$5+$E335,0),2),ROUND(K334+J335,2))),0)</f>
        <v>0</v>
      </c>
      <c r="J335" s="24">
        <f>IF(K334&gt;0,ROUND(ROUND(K334*100,0)*ROUND(I$7*10000,0)/12000000,0)/100,0)</f>
        <v>0</v>
      </c>
      <c r="K335" s="24">
        <f>IF(K334&gt;0,ROUND(K334+J335-I335,2),0)</f>
        <v>0</v>
      </c>
      <c r="L335" s="24">
        <f>IF(K334&gt;0,ROUND(L334+ROUND(ROUND(L334*100,0)*ROUND(I$7*10000,0)/12000000,0)/100+0.02,2),0)</f>
        <v>0</v>
      </c>
      <c r="M335" s="24">
        <f>IF(O334&gt;0,IF(AND(ROUND(O334+N335-ROUND(M$6+IF(M$5=$C335,$E$5+$E335,0),2),2)&gt;0,ROUND(O334+N335-ROUND(M$6+IF(M$5=$C335,$E$5+$E335,0),2),2)&lt;=P335,ROUND(O334+N335-ROUND(M$6+IF(M$5=$C335,$E$5+$E335,0),2),2)*10&lt;=ROUND(M$6+IF(M$5=$C335,$E$5+$E335,0),2)),ROUND(O334+N335,2),MIN(ROUND(M$6+IF(M$5=$C335,$E$5+$E335,0),2),ROUND(O334+N335,2))),0)</f>
        <v>0</v>
      </c>
      <c r="N335" s="24">
        <f>IF(O334&gt;0,ROUND(ROUND(O334*100,0)*ROUND(M$7*10000,0)/12000000,0)/100,0)</f>
        <v>0</v>
      </c>
      <c r="O335" s="24">
        <f>IF(O334&gt;0,ROUND(O334+N335-M335,2),0)</f>
        <v>0</v>
      </c>
      <c r="P335" s="24">
        <f>IF(O334&gt;0,ROUND(P334+ROUND(ROUND(P334*100,0)*ROUND(M$7*10000,0)/12000000,0)/100+0.02,2),0)</f>
        <v>0</v>
      </c>
      <c r="Q335" s="24">
        <f>IF(S334&gt;0,IF(AND(ROUND(S334+R335-ROUND(Q$6+IF(Q$5=$C335,$E$5+$E335,0),2),2)&gt;0,ROUND(S334+R335-ROUND(Q$6+IF(Q$5=$C335,$E$5+$E335,0),2),2)&lt;=T335,ROUND(S334+R335-ROUND(Q$6+IF(Q$5=$C335,$E$5+$E335,0),2),2)*10&lt;=ROUND(Q$6+IF(Q$5=$C335,$E$5+$E335,0),2)),ROUND(S334+R335,2),MIN(ROUND(Q$6+IF(Q$5=$C335,$E$5+$E335,0),2),ROUND(S334+R335,2))),0)</f>
        <v>0</v>
      </c>
      <c r="R335" s="24">
        <f>IF(S334&gt;0,ROUND(ROUND(S334*100,0)*ROUND(Q$7*10000,0)/12000000,0)/100,0)</f>
        <v>0</v>
      </c>
      <c r="S335" s="24">
        <f>IF(S334&gt;0,ROUND(S334+R335-Q335,2),0)</f>
        <v>0</v>
      </c>
      <c r="T335" s="24">
        <f>IF(S334&gt;0,ROUND(T334+ROUND(ROUND(T334*100,0)*ROUND(Q$7*10000,0)/12000000,0)/100+0.02,2),0)</f>
        <v>0</v>
      </c>
      <c r="U335" s="24">
        <f>IF(W334&gt;0,IF(AND(ROUND(W334+V335-ROUND(U$6+IF(U$5=$C335,$E$5+$E335,0),2),2)&gt;0,ROUND(W334+V335-ROUND(U$6+IF(U$5=$C335,$E$5+$E335,0),2),2)&lt;=X335,ROUND(W334+V335-ROUND(U$6+IF(U$5=$C335,$E$5+$E335,0),2),2)*10&lt;=ROUND(U$6+IF(U$5=$C335,$E$5+$E335,0),2)),ROUND(W334+V335,2),MIN(ROUND(U$6+IF(U$5=$C335,$E$5+$E335,0),2),ROUND(W334+V335,2))),0)</f>
        <v>0</v>
      </c>
      <c r="V335" s="24">
        <f>IF(W334&gt;0,ROUND(ROUND(W334*100,0)*ROUND(U$7*10000,0)/12000000,0)/100,0)</f>
        <v>0</v>
      </c>
      <c r="W335" s="24">
        <f>IF(W334&gt;0,ROUND(W334+V335-U335,2),0)</f>
        <v>0</v>
      </c>
      <c r="X335" s="24">
        <f>IF(W334&gt;0,ROUND(X334+ROUND(ROUND(X334*100,0)*ROUND(U$7*10000,0)/12000000,0)/100+0.02,2),0)</f>
        <v>0</v>
      </c>
      <c r="Y335" s="24">
        <f>IF(AA334&gt;0,IF(AND(ROUND(AA334+Z335-ROUND(Y$6+IF(Y$5=$C335,$E$5+$E335,0),2),2)&gt;0,ROUND(AA334+Z335-ROUND(Y$6+IF(Y$5=$C335,$E$5+$E335,0),2),2)&lt;=AB335,ROUND(AA334+Z335-ROUND(Y$6+IF(Y$5=$C335,$E$5+$E335,0),2),2)*10&lt;=ROUND(Y$6+IF(Y$5=$C335,$E$5+$E335,0),2)),ROUND(AA334+Z335,2),MIN(ROUND(Y$6+IF(Y$5=$C335,$E$5+$E335,0),2),ROUND(AA334+Z335,2))),0)</f>
        <v>0</v>
      </c>
      <c r="Z335" s="24">
        <f>IF(AA334&gt;0,ROUND(ROUND(AA334*100,0)*ROUND(Y$7*10000,0)/12000000,0)/100,0)</f>
        <v>0</v>
      </c>
      <c r="AA335" s="24">
        <f>IF(AA334&gt;0,ROUND(AA334+Z335-Y335,2),0)</f>
        <v>0</v>
      </c>
      <c r="AB335" s="24">
        <f>IF(AA334&gt;0,ROUND(AB334+ROUND(ROUND(AB334*100,0)*ROUND(Y$7*10000,0)/12000000,0)/100+0.02,2),0)</f>
        <v>0</v>
      </c>
      <c r="AC335" s="24">
        <f>IF(AE334&gt;0,IF(AND(ROUND(AE334+AD335-ROUND(AC$6+IF(AC$5=$C335,$E$5+$E335,0),2),2)&gt;0,ROUND(AE334+AD335-ROUND(AC$6+IF(AC$5=$C335,$E$5+$E335,0),2),2)&lt;=AF335,ROUND(AE334+AD335-ROUND(AC$6+IF(AC$5=$C335,$E$5+$E335,0),2),2)*10&lt;=ROUND(AC$6+IF(AC$5=$C335,$E$5+$E335,0),2)),ROUND(AE334+AD335,2),MIN(ROUND(AC$6+IF(AC$5=$C335,$E$5+$E335,0),2),ROUND(AE334+AD335,2))),0)</f>
        <v>0</v>
      </c>
      <c r="AD335" s="24">
        <f>IF(AE334&gt;0,ROUND(ROUND(AE334*100,0)*ROUND(AC$7*10000,0)/12000000,0)/100,0)</f>
        <v>0</v>
      </c>
      <c r="AE335" s="24">
        <f>IF(AE334&gt;0,ROUND(AE334+AD335-AC335,2),0)</f>
        <v>0</v>
      </c>
      <c r="AF335" s="24">
        <f>IF(AE334&gt;0,ROUND(AF334+ROUND(ROUND(AF334*100,0)*ROUND(AC$7*10000,0)/12000000,0)/100+0.02,2),0)</f>
        <v>0</v>
      </c>
      <c r="AG335" s="24">
        <f>IF(AI334&gt;0,IF(AND(ROUND(AI334+AH335-ROUND(AG$6+IF(AG$5=$C335,$E$5+$E335,0),2),2)&gt;0,ROUND(AI334+AH335-ROUND(AG$6+IF(AG$5=$C335,$E$5+$E335,0),2),2)&lt;=AJ335,ROUND(AI334+AH335-ROUND(AG$6+IF(AG$5=$C335,$E$5+$E335,0),2),2)*10&lt;=ROUND(AG$6+IF(AG$5=$C335,$E$5+$E335,0),2)),ROUND(AI334+AH335,2),MIN(ROUND(AG$6+IF(AG$5=$C335,$E$5+$E335,0),2),ROUND(AI334+AH335,2))),0)</f>
        <v>0</v>
      </c>
      <c r="AH335" s="24">
        <f>IF(AI334&gt;0,ROUND(ROUND(AI334*100,0)*ROUND(AG$7*10000,0)/12000000,0)/100,0)</f>
        <v>0</v>
      </c>
      <c r="AI335" s="24">
        <f>IF(AI334&gt;0,ROUND(AI334+AH335-AG335,2),0)</f>
        <v>0</v>
      </c>
      <c r="AJ335" s="24">
        <f>IF(AI334&gt;0,ROUND(AJ334+ROUND(ROUND(AJ334*100,0)*ROUND(AG$7*10000,0)/12000000,0)/100+0.02,2),0)</f>
        <v>0</v>
      </c>
      <c r="AK335" s="24">
        <f>IF(AM334&gt;0,IF(AND(ROUND(AM334+AL335-ROUND(AK$6+IF(AK$5=$C335,$E$5+$E335,0),2),2)&gt;0,ROUND(AM334+AL335-ROUND(AK$6+IF(AK$5=$C335,$E$5+$E335,0),2),2)&lt;=AN335,ROUND(AM334+AL335-ROUND(AK$6+IF(AK$5=$C335,$E$5+$E335,0),2),2)*10&lt;=ROUND(AK$6+IF(AK$5=$C335,$E$5+$E335,0),2)),ROUND(AM334+AL335,2),MIN(ROUND(AK$6+IF(AK$5=$C335,$E$5+$E335,0),2),ROUND(AM334+AL335,2))),0)</f>
        <v>0</v>
      </c>
      <c r="AL335" s="24">
        <f>IF(AM334&gt;0,ROUND(ROUND(AM334*100,0)*ROUND(AK$7*10000,0)/12000000,0)/100,0)</f>
        <v>0</v>
      </c>
      <c r="AM335" s="24">
        <f>IF(AM334&gt;0,ROUND(AM334+AL335-AK335,2),0)</f>
        <v>0</v>
      </c>
      <c r="AN335" s="24">
        <f>IF(AM334&gt;0,ROUND(AN334+ROUND(ROUND(AN334*100,0)*ROUND(AK$7*10000,0)/12000000,0)/100+0.02,2),0)</f>
        <v>0</v>
      </c>
      <c r="AO335" s="24">
        <f>IF(AQ334&gt;0,IF(AND(ROUND(AQ334+AP335-ROUND(AO$6+IF(AO$5=$C335,$E$5+$E335,0),2),2)&gt;0,ROUND(AQ334+AP335-ROUND(AO$6+IF(AO$5=$C335,$E$5+$E335,0),2),2)&lt;=AR335,ROUND(AQ334+AP335-ROUND(AO$6+IF(AO$5=$C335,$E$5+$E335,0),2),2)*10&lt;=ROUND(AO$6+IF(AO$5=$C335,$E$5+$E335,0),2)),ROUND(AQ334+AP335,2),MIN(ROUND(AO$6+IF(AO$5=$C335,$E$5+$E335,0),2),ROUND(AQ334+AP335,2))),0)</f>
        <v>0</v>
      </c>
      <c r="AP335" s="24">
        <f>IF(AQ334&gt;0,ROUND(ROUND(AQ334*100,0)*ROUND(AO$7*10000,0)/12000000,0)/100,0)</f>
        <v>0</v>
      </c>
      <c r="AQ335" s="24">
        <f>IF(AQ334&gt;0,ROUND(AQ334+AP335-AO335,2),0)</f>
        <v>0</v>
      </c>
      <c r="AR335" s="24">
        <f>IF(AQ334&gt;0,ROUND(AR334+ROUND(ROUND(AR334*100,0)*ROUND(AO$7*10000,0)/12000000,0)/100+0.02,2),0)</f>
        <v>0</v>
      </c>
      <c r="AS335" s="24">
        <f>IF(AU334&gt;0,IF(AND(ROUND(AU334+AT335-ROUND(AS$6+IF(AS$5=$C335,$E$5+$E335,0),2),2)&gt;0,ROUND(AU334+AT335-ROUND(AS$6+IF(AS$5=$C335,$E$5+$E335,0),2),2)&lt;=AV335,ROUND(AU334+AT335-ROUND(AS$6+IF(AS$5=$C335,$E$5+$E335,0),2),2)*10&lt;=ROUND(AS$6+IF(AS$5=$C335,$E$5+$E335,0),2)),ROUND(AU334+AT335,2),MIN(ROUND(AS$6+IF(AS$5=$C335,$E$5+$E335,0),2),ROUND(AU334+AT335,2))),0)</f>
        <v>0</v>
      </c>
      <c r="AT335" s="24">
        <f>IF(AU334&gt;0,ROUND(ROUND(AU334*100,0)*ROUND(AS$7*10000,0)/12000000,0)/100,0)</f>
        <v>0</v>
      </c>
      <c r="AU335" s="24">
        <f>IF(AU334&gt;0,ROUND(AU334+AT335-AS335,2),0)</f>
        <v>0</v>
      </c>
      <c r="AV335" s="24">
        <f>IF(AU334&gt;0,ROUND(AV334+ROUND(ROUND(AV334*100,0)*ROUND(AS$7*10000,0)/12000000,0)/100+0.02,2),0)</f>
        <v>0</v>
      </c>
    </row>
    <row r="336" spans="1:48" x14ac:dyDescent="0.25">
      <c r="A336" s="17" t="str">
        <f>IF(F336&gt;0,326,"")</f>
        <v/>
      </c>
      <c r="B336" s="18" t="str">
        <f>IF(F336&gt;0,EDATE($E$6,326),"")</f>
        <v/>
      </c>
      <c r="C336" s="21">
        <f>IF(H335&gt;0,MIN(IF(K335&gt;0,I$5,99),IF(O335&gt;0,M$5,99),IF(S335&gt;0,Q$5,99),IF(W335&gt;0,U$5,99),IF(AA335&gt;0,Y$5,99),IF(AE335&gt;0,AC$5,99),IF(AI335&gt;0,AG$5,99),IF(AM335&gt;0,AK$5,99),IF(AQ335&gt;0,AO$5,99),IF(AU335&gt;0,AS$5,99)),0)</f>
        <v>0</v>
      </c>
      <c r="D336" t="str">
        <f>IF(C336&gt;0,INDEX($I$4:$AV$4,1,MATCH(C336,$I$5:$AV$5,0)),"")</f>
        <v/>
      </c>
      <c r="E336" s="24">
        <f>ROUND(IF(AND(I$8&gt;0,K335=0),I$6,0)+IF(AND(M$8&gt;0,O335=0),M$6,0)+IF(AND(Q$8&gt;0,S335=0),Q$6,0)+IF(AND(U$8&gt;0,W335=0),U$6,0)+IF(AND(Y$8&gt;0,AA335=0),Y$6,0)+IF(AND(AC$8&gt;0,AE335=0),AC$6,0)+IF(AND(AG$8&gt;0,AI335=0),AG$6,0)+IF(AND(AK$8&gt;0,AM335=0),AK$6,0)+IF(AND(AO$8&gt;0,AQ335=0),AO$6,0)+IF(AND(AS$8&gt;0,AU335=0),AS$6,0),2)</f>
        <v>325</v>
      </c>
      <c r="F336" s="24">
        <f>ROUND(I336+M336+Q336+U336+Y336+AC336+AG336+AK336+AO336+AS336,2)</f>
        <v>0</v>
      </c>
      <c r="G336" s="24">
        <f>ROUND(J336+N336+R336+V336+Z336+AD336+AH336+AL336+AP336+AT336,2)</f>
        <v>0</v>
      </c>
      <c r="H336" s="24">
        <f>ROUND(K336+O336+S336+W336+AA336+AE336+AI336+AM336+AQ336+AU336,2)</f>
        <v>0</v>
      </c>
      <c r="I336" s="24">
        <f>IF(K335&gt;0,IF(AND(ROUND(K335+J336-ROUND(I$6+IF(I$5=$C336,$E$5+$E336,0),2),2)&gt;0,ROUND(K335+J336-ROUND(I$6+IF(I$5=$C336,$E$5+$E336,0),2),2)&lt;=L336,ROUND(K335+J336-ROUND(I$6+IF(I$5=$C336,$E$5+$E336,0),2),2)*10&lt;=ROUND(I$6+IF(I$5=$C336,$E$5+$E336,0),2)),ROUND(K335+J336,2),MIN(ROUND(I$6+IF(I$5=$C336,$E$5+$E336,0),2),ROUND(K335+J336,2))),0)</f>
        <v>0</v>
      </c>
      <c r="J336" s="24">
        <f>IF(K335&gt;0,ROUND(ROUND(K335*100,0)*ROUND(I$7*10000,0)/12000000,0)/100,0)</f>
        <v>0</v>
      </c>
      <c r="K336" s="24">
        <f>IF(K335&gt;0,ROUND(K335+J336-I336,2),0)</f>
        <v>0</v>
      </c>
      <c r="L336" s="24">
        <f>IF(K335&gt;0,ROUND(L335+ROUND(ROUND(L335*100,0)*ROUND(I$7*10000,0)/12000000,0)/100+0.02,2),0)</f>
        <v>0</v>
      </c>
      <c r="M336" s="24">
        <f>IF(O335&gt;0,IF(AND(ROUND(O335+N336-ROUND(M$6+IF(M$5=$C336,$E$5+$E336,0),2),2)&gt;0,ROUND(O335+N336-ROUND(M$6+IF(M$5=$C336,$E$5+$E336,0),2),2)&lt;=P336,ROUND(O335+N336-ROUND(M$6+IF(M$5=$C336,$E$5+$E336,0),2),2)*10&lt;=ROUND(M$6+IF(M$5=$C336,$E$5+$E336,0),2)),ROUND(O335+N336,2),MIN(ROUND(M$6+IF(M$5=$C336,$E$5+$E336,0),2),ROUND(O335+N336,2))),0)</f>
        <v>0</v>
      </c>
      <c r="N336" s="24">
        <f>IF(O335&gt;0,ROUND(ROUND(O335*100,0)*ROUND(M$7*10000,0)/12000000,0)/100,0)</f>
        <v>0</v>
      </c>
      <c r="O336" s="24">
        <f>IF(O335&gt;0,ROUND(O335+N336-M336,2),0)</f>
        <v>0</v>
      </c>
      <c r="P336" s="24">
        <f>IF(O335&gt;0,ROUND(P335+ROUND(ROUND(P335*100,0)*ROUND(M$7*10000,0)/12000000,0)/100+0.02,2),0)</f>
        <v>0</v>
      </c>
      <c r="Q336" s="24">
        <f>IF(S335&gt;0,IF(AND(ROUND(S335+R336-ROUND(Q$6+IF(Q$5=$C336,$E$5+$E336,0),2),2)&gt;0,ROUND(S335+R336-ROUND(Q$6+IF(Q$5=$C336,$E$5+$E336,0),2),2)&lt;=T336,ROUND(S335+R336-ROUND(Q$6+IF(Q$5=$C336,$E$5+$E336,0),2),2)*10&lt;=ROUND(Q$6+IF(Q$5=$C336,$E$5+$E336,0),2)),ROUND(S335+R336,2),MIN(ROUND(Q$6+IF(Q$5=$C336,$E$5+$E336,0),2),ROUND(S335+R336,2))),0)</f>
        <v>0</v>
      </c>
      <c r="R336" s="24">
        <f>IF(S335&gt;0,ROUND(ROUND(S335*100,0)*ROUND(Q$7*10000,0)/12000000,0)/100,0)</f>
        <v>0</v>
      </c>
      <c r="S336" s="24">
        <f>IF(S335&gt;0,ROUND(S335+R336-Q336,2),0)</f>
        <v>0</v>
      </c>
      <c r="T336" s="24">
        <f>IF(S335&gt;0,ROUND(T335+ROUND(ROUND(T335*100,0)*ROUND(Q$7*10000,0)/12000000,0)/100+0.02,2),0)</f>
        <v>0</v>
      </c>
      <c r="U336" s="24">
        <f>IF(W335&gt;0,IF(AND(ROUND(W335+V336-ROUND(U$6+IF(U$5=$C336,$E$5+$E336,0),2),2)&gt;0,ROUND(W335+V336-ROUND(U$6+IF(U$5=$C336,$E$5+$E336,0),2),2)&lt;=X336,ROUND(W335+V336-ROUND(U$6+IF(U$5=$C336,$E$5+$E336,0),2),2)*10&lt;=ROUND(U$6+IF(U$5=$C336,$E$5+$E336,0),2)),ROUND(W335+V336,2),MIN(ROUND(U$6+IF(U$5=$C336,$E$5+$E336,0),2),ROUND(W335+V336,2))),0)</f>
        <v>0</v>
      </c>
      <c r="V336" s="24">
        <f>IF(W335&gt;0,ROUND(ROUND(W335*100,0)*ROUND(U$7*10000,0)/12000000,0)/100,0)</f>
        <v>0</v>
      </c>
      <c r="W336" s="24">
        <f>IF(W335&gt;0,ROUND(W335+V336-U336,2),0)</f>
        <v>0</v>
      </c>
      <c r="X336" s="24">
        <f>IF(W335&gt;0,ROUND(X335+ROUND(ROUND(X335*100,0)*ROUND(U$7*10000,0)/12000000,0)/100+0.02,2),0)</f>
        <v>0</v>
      </c>
      <c r="Y336" s="24">
        <f>IF(AA335&gt;0,IF(AND(ROUND(AA335+Z336-ROUND(Y$6+IF(Y$5=$C336,$E$5+$E336,0),2),2)&gt;0,ROUND(AA335+Z336-ROUND(Y$6+IF(Y$5=$C336,$E$5+$E336,0),2),2)&lt;=AB336,ROUND(AA335+Z336-ROUND(Y$6+IF(Y$5=$C336,$E$5+$E336,0),2),2)*10&lt;=ROUND(Y$6+IF(Y$5=$C336,$E$5+$E336,0),2)),ROUND(AA335+Z336,2),MIN(ROUND(Y$6+IF(Y$5=$C336,$E$5+$E336,0),2),ROUND(AA335+Z336,2))),0)</f>
        <v>0</v>
      </c>
      <c r="Z336" s="24">
        <f>IF(AA335&gt;0,ROUND(ROUND(AA335*100,0)*ROUND(Y$7*10000,0)/12000000,0)/100,0)</f>
        <v>0</v>
      </c>
      <c r="AA336" s="24">
        <f>IF(AA335&gt;0,ROUND(AA335+Z336-Y336,2),0)</f>
        <v>0</v>
      </c>
      <c r="AB336" s="24">
        <f>IF(AA335&gt;0,ROUND(AB335+ROUND(ROUND(AB335*100,0)*ROUND(Y$7*10000,0)/12000000,0)/100+0.02,2),0)</f>
        <v>0</v>
      </c>
      <c r="AC336" s="24">
        <f>IF(AE335&gt;0,IF(AND(ROUND(AE335+AD336-ROUND(AC$6+IF(AC$5=$C336,$E$5+$E336,0),2),2)&gt;0,ROUND(AE335+AD336-ROUND(AC$6+IF(AC$5=$C336,$E$5+$E336,0),2),2)&lt;=AF336,ROUND(AE335+AD336-ROUND(AC$6+IF(AC$5=$C336,$E$5+$E336,0),2),2)*10&lt;=ROUND(AC$6+IF(AC$5=$C336,$E$5+$E336,0),2)),ROUND(AE335+AD336,2),MIN(ROUND(AC$6+IF(AC$5=$C336,$E$5+$E336,0),2),ROUND(AE335+AD336,2))),0)</f>
        <v>0</v>
      </c>
      <c r="AD336" s="24">
        <f>IF(AE335&gt;0,ROUND(ROUND(AE335*100,0)*ROUND(AC$7*10000,0)/12000000,0)/100,0)</f>
        <v>0</v>
      </c>
      <c r="AE336" s="24">
        <f>IF(AE335&gt;0,ROUND(AE335+AD336-AC336,2),0)</f>
        <v>0</v>
      </c>
      <c r="AF336" s="24">
        <f>IF(AE335&gt;0,ROUND(AF335+ROUND(ROUND(AF335*100,0)*ROUND(AC$7*10000,0)/12000000,0)/100+0.02,2),0)</f>
        <v>0</v>
      </c>
      <c r="AG336" s="24">
        <f>IF(AI335&gt;0,IF(AND(ROUND(AI335+AH336-ROUND(AG$6+IF(AG$5=$C336,$E$5+$E336,0),2),2)&gt;0,ROUND(AI335+AH336-ROUND(AG$6+IF(AG$5=$C336,$E$5+$E336,0),2),2)&lt;=AJ336,ROUND(AI335+AH336-ROUND(AG$6+IF(AG$5=$C336,$E$5+$E336,0),2),2)*10&lt;=ROUND(AG$6+IF(AG$5=$C336,$E$5+$E336,0),2)),ROUND(AI335+AH336,2),MIN(ROUND(AG$6+IF(AG$5=$C336,$E$5+$E336,0),2),ROUND(AI335+AH336,2))),0)</f>
        <v>0</v>
      </c>
      <c r="AH336" s="24">
        <f>IF(AI335&gt;0,ROUND(ROUND(AI335*100,0)*ROUND(AG$7*10000,0)/12000000,0)/100,0)</f>
        <v>0</v>
      </c>
      <c r="AI336" s="24">
        <f>IF(AI335&gt;0,ROUND(AI335+AH336-AG336,2),0)</f>
        <v>0</v>
      </c>
      <c r="AJ336" s="24">
        <f>IF(AI335&gt;0,ROUND(AJ335+ROUND(ROUND(AJ335*100,0)*ROUND(AG$7*10000,0)/12000000,0)/100+0.02,2),0)</f>
        <v>0</v>
      </c>
      <c r="AK336" s="24">
        <f>IF(AM335&gt;0,IF(AND(ROUND(AM335+AL336-ROUND(AK$6+IF(AK$5=$C336,$E$5+$E336,0),2),2)&gt;0,ROUND(AM335+AL336-ROUND(AK$6+IF(AK$5=$C336,$E$5+$E336,0),2),2)&lt;=AN336,ROUND(AM335+AL336-ROUND(AK$6+IF(AK$5=$C336,$E$5+$E336,0),2),2)*10&lt;=ROUND(AK$6+IF(AK$5=$C336,$E$5+$E336,0),2)),ROUND(AM335+AL336,2),MIN(ROUND(AK$6+IF(AK$5=$C336,$E$5+$E336,0),2),ROUND(AM335+AL336,2))),0)</f>
        <v>0</v>
      </c>
      <c r="AL336" s="24">
        <f>IF(AM335&gt;0,ROUND(ROUND(AM335*100,0)*ROUND(AK$7*10000,0)/12000000,0)/100,0)</f>
        <v>0</v>
      </c>
      <c r="AM336" s="24">
        <f>IF(AM335&gt;0,ROUND(AM335+AL336-AK336,2),0)</f>
        <v>0</v>
      </c>
      <c r="AN336" s="24">
        <f>IF(AM335&gt;0,ROUND(AN335+ROUND(ROUND(AN335*100,0)*ROUND(AK$7*10000,0)/12000000,0)/100+0.02,2),0)</f>
        <v>0</v>
      </c>
      <c r="AO336" s="24">
        <f>IF(AQ335&gt;0,IF(AND(ROUND(AQ335+AP336-ROUND(AO$6+IF(AO$5=$C336,$E$5+$E336,0),2),2)&gt;0,ROUND(AQ335+AP336-ROUND(AO$6+IF(AO$5=$C336,$E$5+$E336,0),2),2)&lt;=AR336,ROUND(AQ335+AP336-ROUND(AO$6+IF(AO$5=$C336,$E$5+$E336,0),2),2)*10&lt;=ROUND(AO$6+IF(AO$5=$C336,$E$5+$E336,0),2)),ROUND(AQ335+AP336,2),MIN(ROUND(AO$6+IF(AO$5=$C336,$E$5+$E336,0),2),ROUND(AQ335+AP336,2))),0)</f>
        <v>0</v>
      </c>
      <c r="AP336" s="24">
        <f>IF(AQ335&gt;0,ROUND(ROUND(AQ335*100,0)*ROUND(AO$7*10000,0)/12000000,0)/100,0)</f>
        <v>0</v>
      </c>
      <c r="AQ336" s="24">
        <f>IF(AQ335&gt;0,ROUND(AQ335+AP336-AO336,2),0)</f>
        <v>0</v>
      </c>
      <c r="AR336" s="24">
        <f>IF(AQ335&gt;0,ROUND(AR335+ROUND(ROUND(AR335*100,0)*ROUND(AO$7*10000,0)/12000000,0)/100+0.02,2),0)</f>
        <v>0</v>
      </c>
      <c r="AS336" s="24">
        <f>IF(AU335&gt;0,IF(AND(ROUND(AU335+AT336-ROUND(AS$6+IF(AS$5=$C336,$E$5+$E336,0),2),2)&gt;0,ROUND(AU335+AT336-ROUND(AS$6+IF(AS$5=$C336,$E$5+$E336,0),2),2)&lt;=AV336,ROUND(AU335+AT336-ROUND(AS$6+IF(AS$5=$C336,$E$5+$E336,0),2),2)*10&lt;=ROUND(AS$6+IF(AS$5=$C336,$E$5+$E336,0),2)),ROUND(AU335+AT336,2),MIN(ROUND(AS$6+IF(AS$5=$C336,$E$5+$E336,0),2),ROUND(AU335+AT336,2))),0)</f>
        <v>0</v>
      </c>
      <c r="AT336" s="24">
        <f>IF(AU335&gt;0,ROUND(ROUND(AU335*100,0)*ROUND(AS$7*10000,0)/12000000,0)/100,0)</f>
        <v>0</v>
      </c>
      <c r="AU336" s="24">
        <f>IF(AU335&gt;0,ROUND(AU335+AT336-AS336,2),0)</f>
        <v>0</v>
      </c>
      <c r="AV336" s="24">
        <f>IF(AU335&gt;0,ROUND(AV335+ROUND(ROUND(AV335*100,0)*ROUND(AS$7*10000,0)/12000000,0)/100+0.02,2),0)</f>
        <v>0</v>
      </c>
    </row>
    <row r="337" spans="1:48" x14ac:dyDescent="0.25">
      <c r="A337" s="17" t="str">
        <f>IF(F337&gt;0,327,"")</f>
        <v/>
      </c>
      <c r="B337" s="18" t="str">
        <f>IF(F337&gt;0,EDATE($E$6,327),"")</f>
        <v/>
      </c>
      <c r="C337" s="21">
        <f>IF(H336&gt;0,MIN(IF(K336&gt;0,I$5,99),IF(O336&gt;0,M$5,99),IF(S336&gt;0,Q$5,99),IF(W336&gt;0,U$5,99),IF(AA336&gt;0,Y$5,99),IF(AE336&gt;0,AC$5,99),IF(AI336&gt;0,AG$5,99),IF(AM336&gt;0,AK$5,99),IF(AQ336&gt;0,AO$5,99),IF(AU336&gt;0,AS$5,99)),0)</f>
        <v>0</v>
      </c>
      <c r="D337" t="str">
        <f>IF(C337&gt;0,INDEX($I$4:$AV$4,1,MATCH(C337,$I$5:$AV$5,0)),"")</f>
        <v/>
      </c>
      <c r="E337" s="24">
        <f>ROUND(IF(AND(I$8&gt;0,K336=0),I$6,0)+IF(AND(M$8&gt;0,O336=0),M$6,0)+IF(AND(Q$8&gt;0,S336=0),Q$6,0)+IF(AND(U$8&gt;0,W336=0),U$6,0)+IF(AND(Y$8&gt;0,AA336=0),Y$6,0)+IF(AND(AC$8&gt;0,AE336=0),AC$6,0)+IF(AND(AG$8&gt;0,AI336=0),AG$6,0)+IF(AND(AK$8&gt;0,AM336=0),AK$6,0)+IF(AND(AO$8&gt;0,AQ336=0),AO$6,0)+IF(AND(AS$8&gt;0,AU336=0),AS$6,0),2)</f>
        <v>325</v>
      </c>
      <c r="F337" s="24">
        <f>ROUND(I337+M337+Q337+U337+Y337+AC337+AG337+AK337+AO337+AS337,2)</f>
        <v>0</v>
      </c>
      <c r="G337" s="24">
        <f>ROUND(J337+N337+R337+V337+Z337+AD337+AH337+AL337+AP337+AT337,2)</f>
        <v>0</v>
      </c>
      <c r="H337" s="24">
        <f>ROUND(K337+O337+S337+W337+AA337+AE337+AI337+AM337+AQ337+AU337,2)</f>
        <v>0</v>
      </c>
      <c r="I337" s="24">
        <f>IF(K336&gt;0,IF(AND(ROUND(K336+J337-ROUND(I$6+IF(I$5=$C337,$E$5+$E337,0),2),2)&gt;0,ROUND(K336+J337-ROUND(I$6+IF(I$5=$C337,$E$5+$E337,0),2),2)&lt;=L337,ROUND(K336+J337-ROUND(I$6+IF(I$5=$C337,$E$5+$E337,0),2),2)*10&lt;=ROUND(I$6+IF(I$5=$C337,$E$5+$E337,0),2)),ROUND(K336+J337,2),MIN(ROUND(I$6+IF(I$5=$C337,$E$5+$E337,0),2),ROUND(K336+J337,2))),0)</f>
        <v>0</v>
      </c>
      <c r="J337" s="24">
        <f>IF(K336&gt;0,ROUND(ROUND(K336*100,0)*ROUND(I$7*10000,0)/12000000,0)/100,0)</f>
        <v>0</v>
      </c>
      <c r="K337" s="24">
        <f>IF(K336&gt;0,ROUND(K336+J337-I337,2),0)</f>
        <v>0</v>
      </c>
      <c r="L337" s="24">
        <f>IF(K336&gt;0,ROUND(L336+ROUND(ROUND(L336*100,0)*ROUND(I$7*10000,0)/12000000,0)/100+0.02,2),0)</f>
        <v>0</v>
      </c>
      <c r="M337" s="24">
        <f>IF(O336&gt;0,IF(AND(ROUND(O336+N337-ROUND(M$6+IF(M$5=$C337,$E$5+$E337,0),2),2)&gt;0,ROUND(O336+N337-ROUND(M$6+IF(M$5=$C337,$E$5+$E337,0),2),2)&lt;=P337,ROUND(O336+N337-ROUND(M$6+IF(M$5=$C337,$E$5+$E337,0),2),2)*10&lt;=ROUND(M$6+IF(M$5=$C337,$E$5+$E337,0),2)),ROUND(O336+N337,2),MIN(ROUND(M$6+IF(M$5=$C337,$E$5+$E337,0),2),ROUND(O336+N337,2))),0)</f>
        <v>0</v>
      </c>
      <c r="N337" s="24">
        <f>IF(O336&gt;0,ROUND(ROUND(O336*100,0)*ROUND(M$7*10000,0)/12000000,0)/100,0)</f>
        <v>0</v>
      </c>
      <c r="O337" s="24">
        <f>IF(O336&gt;0,ROUND(O336+N337-M337,2),0)</f>
        <v>0</v>
      </c>
      <c r="P337" s="24">
        <f>IF(O336&gt;0,ROUND(P336+ROUND(ROUND(P336*100,0)*ROUND(M$7*10000,0)/12000000,0)/100+0.02,2),0)</f>
        <v>0</v>
      </c>
      <c r="Q337" s="24">
        <f>IF(S336&gt;0,IF(AND(ROUND(S336+R337-ROUND(Q$6+IF(Q$5=$C337,$E$5+$E337,0),2),2)&gt;0,ROUND(S336+R337-ROUND(Q$6+IF(Q$5=$C337,$E$5+$E337,0),2),2)&lt;=T337,ROUND(S336+R337-ROUND(Q$6+IF(Q$5=$C337,$E$5+$E337,0),2),2)*10&lt;=ROUND(Q$6+IF(Q$5=$C337,$E$5+$E337,0),2)),ROUND(S336+R337,2),MIN(ROUND(Q$6+IF(Q$5=$C337,$E$5+$E337,0),2),ROUND(S336+R337,2))),0)</f>
        <v>0</v>
      </c>
      <c r="R337" s="24">
        <f>IF(S336&gt;0,ROUND(ROUND(S336*100,0)*ROUND(Q$7*10000,0)/12000000,0)/100,0)</f>
        <v>0</v>
      </c>
      <c r="S337" s="24">
        <f>IF(S336&gt;0,ROUND(S336+R337-Q337,2),0)</f>
        <v>0</v>
      </c>
      <c r="T337" s="24">
        <f>IF(S336&gt;0,ROUND(T336+ROUND(ROUND(T336*100,0)*ROUND(Q$7*10000,0)/12000000,0)/100+0.02,2),0)</f>
        <v>0</v>
      </c>
      <c r="U337" s="24">
        <f>IF(W336&gt;0,IF(AND(ROUND(W336+V337-ROUND(U$6+IF(U$5=$C337,$E$5+$E337,0),2),2)&gt;0,ROUND(W336+V337-ROUND(U$6+IF(U$5=$C337,$E$5+$E337,0),2),2)&lt;=X337,ROUND(W336+V337-ROUND(U$6+IF(U$5=$C337,$E$5+$E337,0),2),2)*10&lt;=ROUND(U$6+IF(U$5=$C337,$E$5+$E337,0),2)),ROUND(W336+V337,2),MIN(ROUND(U$6+IF(U$5=$C337,$E$5+$E337,0),2),ROUND(W336+V337,2))),0)</f>
        <v>0</v>
      </c>
      <c r="V337" s="24">
        <f>IF(W336&gt;0,ROUND(ROUND(W336*100,0)*ROUND(U$7*10000,0)/12000000,0)/100,0)</f>
        <v>0</v>
      </c>
      <c r="W337" s="24">
        <f>IF(W336&gt;0,ROUND(W336+V337-U337,2),0)</f>
        <v>0</v>
      </c>
      <c r="X337" s="24">
        <f>IF(W336&gt;0,ROUND(X336+ROUND(ROUND(X336*100,0)*ROUND(U$7*10000,0)/12000000,0)/100+0.02,2),0)</f>
        <v>0</v>
      </c>
      <c r="Y337" s="24">
        <f>IF(AA336&gt;0,IF(AND(ROUND(AA336+Z337-ROUND(Y$6+IF(Y$5=$C337,$E$5+$E337,0),2),2)&gt;0,ROUND(AA336+Z337-ROUND(Y$6+IF(Y$5=$C337,$E$5+$E337,0),2),2)&lt;=AB337,ROUND(AA336+Z337-ROUND(Y$6+IF(Y$5=$C337,$E$5+$E337,0),2),2)*10&lt;=ROUND(Y$6+IF(Y$5=$C337,$E$5+$E337,0),2)),ROUND(AA336+Z337,2),MIN(ROUND(Y$6+IF(Y$5=$C337,$E$5+$E337,0),2),ROUND(AA336+Z337,2))),0)</f>
        <v>0</v>
      </c>
      <c r="Z337" s="24">
        <f>IF(AA336&gt;0,ROUND(ROUND(AA336*100,0)*ROUND(Y$7*10000,0)/12000000,0)/100,0)</f>
        <v>0</v>
      </c>
      <c r="AA337" s="24">
        <f>IF(AA336&gt;0,ROUND(AA336+Z337-Y337,2),0)</f>
        <v>0</v>
      </c>
      <c r="AB337" s="24">
        <f>IF(AA336&gt;0,ROUND(AB336+ROUND(ROUND(AB336*100,0)*ROUND(Y$7*10000,0)/12000000,0)/100+0.02,2),0)</f>
        <v>0</v>
      </c>
      <c r="AC337" s="24">
        <f>IF(AE336&gt;0,IF(AND(ROUND(AE336+AD337-ROUND(AC$6+IF(AC$5=$C337,$E$5+$E337,0),2),2)&gt;0,ROUND(AE336+AD337-ROUND(AC$6+IF(AC$5=$C337,$E$5+$E337,0),2),2)&lt;=AF337,ROUND(AE336+AD337-ROUND(AC$6+IF(AC$5=$C337,$E$5+$E337,0),2),2)*10&lt;=ROUND(AC$6+IF(AC$5=$C337,$E$5+$E337,0),2)),ROUND(AE336+AD337,2),MIN(ROUND(AC$6+IF(AC$5=$C337,$E$5+$E337,0),2),ROUND(AE336+AD337,2))),0)</f>
        <v>0</v>
      </c>
      <c r="AD337" s="24">
        <f>IF(AE336&gt;0,ROUND(ROUND(AE336*100,0)*ROUND(AC$7*10000,0)/12000000,0)/100,0)</f>
        <v>0</v>
      </c>
      <c r="AE337" s="24">
        <f>IF(AE336&gt;0,ROUND(AE336+AD337-AC337,2),0)</f>
        <v>0</v>
      </c>
      <c r="AF337" s="24">
        <f>IF(AE336&gt;0,ROUND(AF336+ROUND(ROUND(AF336*100,0)*ROUND(AC$7*10000,0)/12000000,0)/100+0.02,2),0)</f>
        <v>0</v>
      </c>
      <c r="AG337" s="24">
        <f>IF(AI336&gt;0,IF(AND(ROUND(AI336+AH337-ROUND(AG$6+IF(AG$5=$C337,$E$5+$E337,0),2),2)&gt;0,ROUND(AI336+AH337-ROUND(AG$6+IF(AG$5=$C337,$E$5+$E337,0),2),2)&lt;=AJ337,ROUND(AI336+AH337-ROUND(AG$6+IF(AG$5=$C337,$E$5+$E337,0),2),2)*10&lt;=ROUND(AG$6+IF(AG$5=$C337,$E$5+$E337,0),2)),ROUND(AI336+AH337,2),MIN(ROUND(AG$6+IF(AG$5=$C337,$E$5+$E337,0),2),ROUND(AI336+AH337,2))),0)</f>
        <v>0</v>
      </c>
      <c r="AH337" s="24">
        <f>IF(AI336&gt;0,ROUND(ROUND(AI336*100,0)*ROUND(AG$7*10000,0)/12000000,0)/100,0)</f>
        <v>0</v>
      </c>
      <c r="AI337" s="24">
        <f>IF(AI336&gt;0,ROUND(AI336+AH337-AG337,2),0)</f>
        <v>0</v>
      </c>
      <c r="AJ337" s="24">
        <f>IF(AI336&gt;0,ROUND(AJ336+ROUND(ROUND(AJ336*100,0)*ROUND(AG$7*10000,0)/12000000,0)/100+0.02,2),0)</f>
        <v>0</v>
      </c>
      <c r="AK337" s="24">
        <f>IF(AM336&gt;0,IF(AND(ROUND(AM336+AL337-ROUND(AK$6+IF(AK$5=$C337,$E$5+$E337,0),2),2)&gt;0,ROUND(AM336+AL337-ROUND(AK$6+IF(AK$5=$C337,$E$5+$E337,0),2),2)&lt;=AN337,ROUND(AM336+AL337-ROUND(AK$6+IF(AK$5=$C337,$E$5+$E337,0),2),2)*10&lt;=ROUND(AK$6+IF(AK$5=$C337,$E$5+$E337,0),2)),ROUND(AM336+AL337,2),MIN(ROUND(AK$6+IF(AK$5=$C337,$E$5+$E337,0),2),ROUND(AM336+AL337,2))),0)</f>
        <v>0</v>
      </c>
      <c r="AL337" s="24">
        <f>IF(AM336&gt;0,ROUND(ROUND(AM336*100,0)*ROUND(AK$7*10000,0)/12000000,0)/100,0)</f>
        <v>0</v>
      </c>
      <c r="AM337" s="24">
        <f>IF(AM336&gt;0,ROUND(AM336+AL337-AK337,2),0)</f>
        <v>0</v>
      </c>
      <c r="AN337" s="24">
        <f>IF(AM336&gt;0,ROUND(AN336+ROUND(ROUND(AN336*100,0)*ROUND(AK$7*10000,0)/12000000,0)/100+0.02,2),0)</f>
        <v>0</v>
      </c>
      <c r="AO337" s="24">
        <f>IF(AQ336&gt;0,IF(AND(ROUND(AQ336+AP337-ROUND(AO$6+IF(AO$5=$C337,$E$5+$E337,0),2),2)&gt;0,ROUND(AQ336+AP337-ROUND(AO$6+IF(AO$5=$C337,$E$5+$E337,0),2),2)&lt;=AR337,ROUND(AQ336+AP337-ROUND(AO$6+IF(AO$5=$C337,$E$5+$E337,0),2),2)*10&lt;=ROUND(AO$6+IF(AO$5=$C337,$E$5+$E337,0),2)),ROUND(AQ336+AP337,2),MIN(ROUND(AO$6+IF(AO$5=$C337,$E$5+$E337,0),2),ROUND(AQ336+AP337,2))),0)</f>
        <v>0</v>
      </c>
      <c r="AP337" s="24">
        <f>IF(AQ336&gt;0,ROUND(ROUND(AQ336*100,0)*ROUND(AO$7*10000,0)/12000000,0)/100,0)</f>
        <v>0</v>
      </c>
      <c r="AQ337" s="24">
        <f>IF(AQ336&gt;0,ROUND(AQ336+AP337-AO337,2),0)</f>
        <v>0</v>
      </c>
      <c r="AR337" s="24">
        <f>IF(AQ336&gt;0,ROUND(AR336+ROUND(ROUND(AR336*100,0)*ROUND(AO$7*10000,0)/12000000,0)/100+0.02,2),0)</f>
        <v>0</v>
      </c>
      <c r="AS337" s="24">
        <f>IF(AU336&gt;0,IF(AND(ROUND(AU336+AT337-ROUND(AS$6+IF(AS$5=$C337,$E$5+$E337,0),2),2)&gt;0,ROUND(AU336+AT337-ROUND(AS$6+IF(AS$5=$C337,$E$5+$E337,0),2),2)&lt;=AV337,ROUND(AU336+AT337-ROUND(AS$6+IF(AS$5=$C337,$E$5+$E337,0),2),2)*10&lt;=ROUND(AS$6+IF(AS$5=$C337,$E$5+$E337,0),2)),ROUND(AU336+AT337,2),MIN(ROUND(AS$6+IF(AS$5=$C337,$E$5+$E337,0),2),ROUND(AU336+AT337,2))),0)</f>
        <v>0</v>
      </c>
      <c r="AT337" s="24">
        <f>IF(AU336&gt;0,ROUND(ROUND(AU336*100,0)*ROUND(AS$7*10000,0)/12000000,0)/100,0)</f>
        <v>0</v>
      </c>
      <c r="AU337" s="24">
        <f>IF(AU336&gt;0,ROUND(AU336+AT337-AS337,2),0)</f>
        <v>0</v>
      </c>
      <c r="AV337" s="24">
        <f>IF(AU336&gt;0,ROUND(AV336+ROUND(ROUND(AV336*100,0)*ROUND(AS$7*10000,0)/12000000,0)/100+0.02,2),0)</f>
        <v>0</v>
      </c>
    </row>
    <row r="338" spans="1:48" x14ac:dyDescent="0.25">
      <c r="A338" s="17" t="str">
        <f>IF(F338&gt;0,328,"")</f>
        <v/>
      </c>
      <c r="B338" s="18" t="str">
        <f>IF(F338&gt;0,EDATE($E$6,328),"")</f>
        <v/>
      </c>
      <c r="C338" s="21">
        <f>IF(H337&gt;0,MIN(IF(K337&gt;0,I$5,99),IF(O337&gt;0,M$5,99),IF(S337&gt;0,Q$5,99),IF(W337&gt;0,U$5,99),IF(AA337&gt;0,Y$5,99),IF(AE337&gt;0,AC$5,99),IF(AI337&gt;0,AG$5,99),IF(AM337&gt;0,AK$5,99),IF(AQ337&gt;0,AO$5,99),IF(AU337&gt;0,AS$5,99)),0)</f>
        <v>0</v>
      </c>
      <c r="D338" t="str">
        <f>IF(C338&gt;0,INDEX($I$4:$AV$4,1,MATCH(C338,$I$5:$AV$5,0)),"")</f>
        <v/>
      </c>
      <c r="E338" s="24">
        <f>ROUND(IF(AND(I$8&gt;0,K337=0),I$6,0)+IF(AND(M$8&gt;0,O337=0),M$6,0)+IF(AND(Q$8&gt;0,S337=0),Q$6,0)+IF(AND(U$8&gt;0,W337=0),U$6,0)+IF(AND(Y$8&gt;0,AA337=0),Y$6,0)+IF(AND(AC$8&gt;0,AE337=0),AC$6,0)+IF(AND(AG$8&gt;0,AI337=0),AG$6,0)+IF(AND(AK$8&gt;0,AM337=0),AK$6,0)+IF(AND(AO$8&gt;0,AQ337=0),AO$6,0)+IF(AND(AS$8&gt;0,AU337=0),AS$6,0),2)</f>
        <v>325</v>
      </c>
      <c r="F338" s="24">
        <f>ROUND(I338+M338+Q338+U338+Y338+AC338+AG338+AK338+AO338+AS338,2)</f>
        <v>0</v>
      </c>
      <c r="G338" s="24">
        <f>ROUND(J338+N338+R338+V338+Z338+AD338+AH338+AL338+AP338+AT338,2)</f>
        <v>0</v>
      </c>
      <c r="H338" s="24">
        <f>ROUND(K338+O338+S338+W338+AA338+AE338+AI338+AM338+AQ338+AU338,2)</f>
        <v>0</v>
      </c>
      <c r="I338" s="24">
        <f>IF(K337&gt;0,IF(AND(ROUND(K337+J338-ROUND(I$6+IF(I$5=$C338,$E$5+$E338,0),2),2)&gt;0,ROUND(K337+J338-ROUND(I$6+IF(I$5=$C338,$E$5+$E338,0),2),2)&lt;=L338,ROUND(K337+J338-ROUND(I$6+IF(I$5=$C338,$E$5+$E338,0),2),2)*10&lt;=ROUND(I$6+IF(I$5=$C338,$E$5+$E338,0),2)),ROUND(K337+J338,2),MIN(ROUND(I$6+IF(I$5=$C338,$E$5+$E338,0),2),ROUND(K337+J338,2))),0)</f>
        <v>0</v>
      </c>
      <c r="J338" s="24">
        <f>IF(K337&gt;0,ROUND(ROUND(K337*100,0)*ROUND(I$7*10000,0)/12000000,0)/100,0)</f>
        <v>0</v>
      </c>
      <c r="K338" s="24">
        <f>IF(K337&gt;0,ROUND(K337+J338-I338,2),0)</f>
        <v>0</v>
      </c>
      <c r="L338" s="24">
        <f>IF(K337&gt;0,ROUND(L337+ROUND(ROUND(L337*100,0)*ROUND(I$7*10000,0)/12000000,0)/100+0.02,2),0)</f>
        <v>0</v>
      </c>
      <c r="M338" s="24">
        <f>IF(O337&gt;0,IF(AND(ROUND(O337+N338-ROUND(M$6+IF(M$5=$C338,$E$5+$E338,0),2),2)&gt;0,ROUND(O337+N338-ROUND(M$6+IF(M$5=$C338,$E$5+$E338,0),2),2)&lt;=P338,ROUND(O337+N338-ROUND(M$6+IF(M$5=$C338,$E$5+$E338,0),2),2)*10&lt;=ROUND(M$6+IF(M$5=$C338,$E$5+$E338,0),2)),ROUND(O337+N338,2),MIN(ROUND(M$6+IF(M$5=$C338,$E$5+$E338,0),2),ROUND(O337+N338,2))),0)</f>
        <v>0</v>
      </c>
      <c r="N338" s="24">
        <f>IF(O337&gt;0,ROUND(ROUND(O337*100,0)*ROUND(M$7*10000,0)/12000000,0)/100,0)</f>
        <v>0</v>
      </c>
      <c r="O338" s="24">
        <f>IF(O337&gt;0,ROUND(O337+N338-M338,2),0)</f>
        <v>0</v>
      </c>
      <c r="P338" s="24">
        <f>IF(O337&gt;0,ROUND(P337+ROUND(ROUND(P337*100,0)*ROUND(M$7*10000,0)/12000000,0)/100+0.02,2),0)</f>
        <v>0</v>
      </c>
      <c r="Q338" s="24">
        <f>IF(S337&gt;0,IF(AND(ROUND(S337+R338-ROUND(Q$6+IF(Q$5=$C338,$E$5+$E338,0),2),2)&gt;0,ROUND(S337+R338-ROUND(Q$6+IF(Q$5=$C338,$E$5+$E338,0),2),2)&lt;=T338,ROUND(S337+R338-ROUND(Q$6+IF(Q$5=$C338,$E$5+$E338,0),2),2)*10&lt;=ROUND(Q$6+IF(Q$5=$C338,$E$5+$E338,0),2)),ROUND(S337+R338,2),MIN(ROUND(Q$6+IF(Q$5=$C338,$E$5+$E338,0),2),ROUND(S337+R338,2))),0)</f>
        <v>0</v>
      </c>
      <c r="R338" s="24">
        <f>IF(S337&gt;0,ROUND(ROUND(S337*100,0)*ROUND(Q$7*10000,0)/12000000,0)/100,0)</f>
        <v>0</v>
      </c>
      <c r="S338" s="24">
        <f>IF(S337&gt;0,ROUND(S337+R338-Q338,2),0)</f>
        <v>0</v>
      </c>
      <c r="T338" s="24">
        <f>IF(S337&gt;0,ROUND(T337+ROUND(ROUND(T337*100,0)*ROUND(Q$7*10000,0)/12000000,0)/100+0.02,2),0)</f>
        <v>0</v>
      </c>
      <c r="U338" s="24">
        <f>IF(W337&gt;0,IF(AND(ROUND(W337+V338-ROUND(U$6+IF(U$5=$C338,$E$5+$E338,0),2),2)&gt;0,ROUND(W337+V338-ROUND(U$6+IF(U$5=$C338,$E$5+$E338,0),2),2)&lt;=X338,ROUND(W337+V338-ROUND(U$6+IF(U$5=$C338,$E$5+$E338,0),2),2)*10&lt;=ROUND(U$6+IF(U$5=$C338,$E$5+$E338,0),2)),ROUND(W337+V338,2),MIN(ROUND(U$6+IF(U$5=$C338,$E$5+$E338,0),2),ROUND(W337+V338,2))),0)</f>
        <v>0</v>
      </c>
      <c r="V338" s="24">
        <f>IF(W337&gt;0,ROUND(ROUND(W337*100,0)*ROUND(U$7*10000,0)/12000000,0)/100,0)</f>
        <v>0</v>
      </c>
      <c r="W338" s="24">
        <f>IF(W337&gt;0,ROUND(W337+V338-U338,2),0)</f>
        <v>0</v>
      </c>
      <c r="X338" s="24">
        <f>IF(W337&gt;0,ROUND(X337+ROUND(ROUND(X337*100,0)*ROUND(U$7*10000,0)/12000000,0)/100+0.02,2),0)</f>
        <v>0</v>
      </c>
      <c r="Y338" s="24">
        <f>IF(AA337&gt;0,IF(AND(ROUND(AA337+Z338-ROUND(Y$6+IF(Y$5=$C338,$E$5+$E338,0),2),2)&gt;0,ROUND(AA337+Z338-ROUND(Y$6+IF(Y$5=$C338,$E$5+$E338,0),2),2)&lt;=AB338,ROUND(AA337+Z338-ROUND(Y$6+IF(Y$5=$C338,$E$5+$E338,0),2),2)*10&lt;=ROUND(Y$6+IF(Y$5=$C338,$E$5+$E338,0),2)),ROUND(AA337+Z338,2),MIN(ROUND(Y$6+IF(Y$5=$C338,$E$5+$E338,0),2),ROUND(AA337+Z338,2))),0)</f>
        <v>0</v>
      </c>
      <c r="Z338" s="24">
        <f>IF(AA337&gt;0,ROUND(ROUND(AA337*100,0)*ROUND(Y$7*10000,0)/12000000,0)/100,0)</f>
        <v>0</v>
      </c>
      <c r="AA338" s="24">
        <f>IF(AA337&gt;0,ROUND(AA337+Z338-Y338,2),0)</f>
        <v>0</v>
      </c>
      <c r="AB338" s="24">
        <f>IF(AA337&gt;0,ROUND(AB337+ROUND(ROUND(AB337*100,0)*ROUND(Y$7*10000,0)/12000000,0)/100+0.02,2),0)</f>
        <v>0</v>
      </c>
      <c r="AC338" s="24">
        <f>IF(AE337&gt;0,IF(AND(ROUND(AE337+AD338-ROUND(AC$6+IF(AC$5=$C338,$E$5+$E338,0),2),2)&gt;0,ROUND(AE337+AD338-ROUND(AC$6+IF(AC$5=$C338,$E$5+$E338,0),2),2)&lt;=AF338,ROUND(AE337+AD338-ROUND(AC$6+IF(AC$5=$C338,$E$5+$E338,0),2),2)*10&lt;=ROUND(AC$6+IF(AC$5=$C338,$E$5+$E338,0),2)),ROUND(AE337+AD338,2),MIN(ROUND(AC$6+IF(AC$5=$C338,$E$5+$E338,0),2),ROUND(AE337+AD338,2))),0)</f>
        <v>0</v>
      </c>
      <c r="AD338" s="24">
        <f>IF(AE337&gt;0,ROUND(ROUND(AE337*100,0)*ROUND(AC$7*10000,0)/12000000,0)/100,0)</f>
        <v>0</v>
      </c>
      <c r="AE338" s="24">
        <f>IF(AE337&gt;0,ROUND(AE337+AD338-AC338,2),0)</f>
        <v>0</v>
      </c>
      <c r="AF338" s="24">
        <f>IF(AE337&gt;0,ROUND(AF337+ROUND(ROUND(AF337*100,0)*ROUND(AC$7*10000,0)/12000000,0)/100+0.02,2),0)</f>
        <v>0</v>
      </c>
      <c r="AG338" s="24">
        <f>IF(AI337&gt;0,IF(AND(ROUND(AI337+AH338-ROUND(AG$6+IF(AG$5=$C338,$E$5+$E338,0),2),2)&gt;0,ROUND(AI337+AH338-ROUND(AG$6+IF(AG$5=$C338,$E$5+$E338,0),2),2)&lt;=AJ338,ROUND(AI337+AH338-ROUND(AG$6+IF(AG$5=$C338,$E$5+$E338,0),2),2)*10&lt;=ROUND(AG$6+IF(AG$5=$C338,$E$5+$E338,0),2)),ROUND(AI337+AH338,2),MIN(ROUND(AG$6+IF(AG$5=$C338,$E$5+$E338,0),2),ROUND(AI337+AH338,2))),0)</f>
        <v>0</v>
      </c>
      <c r="AH338" s="24">
        <f>IF(AI337&gt;0,ROUND(ROUND(AI337*100,0)*ROUND(AG$7*10000,0)/12000000,0)/100,0)</f>
        <v>0</v>
      </c>
      <c r="AI338" s="24">
        <f>IF(AI337&gt;0,ROUND(AI337+AH338-AG338,2),0)</f>
        <v>0</v>
      </c>
      <c r="AJ338" s="24">
        <f>IF(AI337&gt;0,ROUND(AJ337+ROUND(ROUND(AJ337*100,0)*ROUND(AG$7*10000,0)/12000000,0)/100+0.02,2),0)</f>
        <v>0</v>
      </c>
      <c r="AK338" s="24">
        <f>IF(AM337&gt;0,IF(AND(ROUND(AM337+AL338-ROUND(AK$6+IF(AK$5=$C338,$E$5+$E338,0),2),2)&gt;0,ROUND(AM337+AL338-ROUND(AK$6+IF(AK$5=$C338,$E$5+$E338,0),2),2)&lt;=AN338,ROUND(AM337+AL338-ROUND(AK$6+IF(AK$5=$C338,$E$5+$E338,0),2),2)*10&lt;=ROUND(AK$6+IF(AK$5=$C338,$E$5+$E338,0),2)),ROUND(AM337+AL338,2),MIN(ROUND(AK$6+IF(AK$5=$C338,$E$5+$E338,0),2),ROUND(AM337+AL338,2))),0)</f>
        <v>0</v>
      </c>
      <c r="AL338" s="24">
        <f>IF(AM337&gt;0,ROUND(ROUND(AM337*100,0)*ROUND(AK$7*10000,0)/12000000,0)/100,0)</f>
        <v>0</v>
      </c>
      <c r="AM338" s="24">
        <f>IF(AM337&gt;0,ROUND(AM337+AL338-AK338,2),0)</f>
        <v>0</v>
      </c>
      <c r="AN338" s="24">
        <f>IF(AM337&gt;0,ROUND(AN337+ROUND(ROUND(AN337*100,0)*ROUND(AK$7*10000,0)/12000000,0)/100+0.02,2),0)</f>
        <v>0</v>
      </c>
      <c r="AO338" s="24">
        <f>IF(AQ337&gt;0,IF(AND(ROUND(AQ337+AP338-ROUND(AO$6+IF(AO$5=$C338,$E$5+$E338,0),2),2)&gt;0,ROUND(AQ337+AP338-ROUND(AO$6+IF(AO$5=$C338,$E$5+$E338,0),2),2)&lt;=AR338,ROUND(AQ337+AP338-ROUND(AO$6+IF(AO$5=$C338,$E$5+$E338,0),2),2)*10&lt;=ROUND(AO$6+IF(AO$5=$C338,$E$5+$E338,0),2)),ROUND(AQ337+AP338,2),MIN(ROUND(AO$6+IF(AO$5=$C338,$E$5+$E338,0),2),ROUND(AQ337+AP338,2))),0)</f>
        <v>0</v>
      </c>
      <c r="AP338" s="24">
        <f>IF(AQ337&gt;0,ROUND(ROUND(AQ337*100,0)*ROUND(AO$7*10000,0)/12000000,0)/100,0)</f>
        <v>0</v>
      </c>
      <c r="AQ338" s="24">
        <f>IF(AQ337&gt;0,ROUND(AQ337+AP338-AO338,2),0)</f>
        <v>0</v>
      </c>
      <c r="AR338" s="24">
        <f>IF(AQ337&gt;0,ROUND(AR337+ROUND(ROUND(AR337*100,0)*ROUND(AO$7*10000,0)/12000000,0)/100+0.02,2),0)</f>
        <v>0</v>
      </c>
      <c r="AS338" s="24">
        <f>IF(AU337&gt;0,IF(AND(ROUND(AU337+AT338-ROUND(AS$6+IF(AS$5=$C338,$E$5+$E338,0),2),2)&gt;0,ROUND(AU337+AT338-ROUND(AS$6+IF(AS$5=$C338,$E$5+$E338,0),2),2)&lt;=AV338,ROUND(AU337+AT338-ROUND(AS$6+IF(AS$5=$C338,$E$5+$E338,0),2),2)*10&lt;=ROUND(AS$6+IF(AS$5=$C338,$E$5+$E338,0),2)),ROUND(AU337+AT338,2),MIN(ROUND(AS$6+IF(AS$5=$C338,$E$5+$E338,0),2),ROUND(AU337+AT338,2))),0)</f>
        <v>0</v>
      </c>
      <c r="AT338" s="24">
        <f>IF(AU337&gt;0,ROUND(ROUND(AU337*100,0)*ROUND(AS$7*10000,0)/12000000,0)/100,0)</f>
        <v>0</v>
      </c>
      <c r="AU338" s="24">
        <f>IF(AU337&gt;0,ROUND(AU337+AT338-AS338,2),0)</f>
        <v>0</v>
      </c>
      <c r="AV338" s="24">
        <f>IF(AU337&gt;0,ROUND(AV337+ROUND(ROUND(AV337*100,0)*ROUND(AS$7*10000,0)/12000000,0)/100+0.02,2),0)</f>
        <v>0</v>
      </c>
    </row>
    <row r="339" spans="1:48" x14ac:dyDescent="0.25">
      <c r="A339" s="17" t="str">
        <f>IF(F339&gt;0,329,"")</f>
        <v/>
      </c>
      <c r="B339" s="18" t="str">
        <f>IF(F339&gt;0,EDATE($E$6,329),"")</f>
        <v/>
      </c>
      <c r="C339" s="21">
        <f>IF(H338&gt;0,MIN(IF(K338&gt;0,I$5,99),IF(O338&gt;0,M$5,99),IF(S338&gt;0,Q$5,99),IF(W338&gt;0,U$5,99),IF(AA338&gt;0,Y$5,99),IF(AE338&gt;0,AC$5,99),IF(AI338&gt;0,AG$5,99),IF(AM338&gt;0,AK$5,99),IF(AQ338&gt;0,AO$5,99),IF(AU338&gt;0,AS$5,99)),0)</f>
        <v>0</v>
      </c>
      <c r="D339" t="str">
        <f>IF(C339&gt;0,INDEX($I$4:$AV$4,1,MATCH(C339,$I$5:$AV$5,0)),"")</f>
        <v/>
      </c>
      <c r="E339" s="24">
        <f>ROUND(IF(AND(I$8&gt;0,K338=0),I$6,0)+IF(AND(M$8&gt;0,O338=0),M$6,0)+IF(AND(Q$8&gt;0,S338=0),Q$6,0)+IF(AND(U$8&gt;0,W338=0),U$6,0)+IF(AND(Y$8&gt;0,AA338=0),Y$6,0)+IF(AND(AC$8&gt;0,AE338=0),AC$6,0)+IF(AND(AG$8&gt;0,AI338=0),AG$6,0)+IF(AND(AK$8&gt;0,AM338=0),AK$6,0)+IF(AND(AO$8&gt;0,AQ338=0),AO$6,0)+IF(AND(AS$8&gt;0,AU338=0),AS$6,0),2)</f>
        <v>325</v>
      </c>
      <c r="F339" s="24">
        <f>ROUND(I339+M339+Q339+U339+Y339+AC339+AG339+AK339+AO339+AS339,2)</f>
        <v>0</v>
      </c>
      <c r="G339" s="24">
        <f>ROUND(J339+N339+R339+V339+Z339+AD339+AH339+AL339+AP339+AT339,2)</f>
        <v>0</v>
      </c>
      <c r="H339" s="24">
        <f>ROUND(K339+O339+S339+W339+AA339+AE339+AI339+AM339+AQ339+AU339,2)</f>
        <v>0</v>
      </c>
      <c r="I339" s="24">
        <f>IF(K338&gt;0,IF(AND(ROUND(K338+J339-ROUND(I$6+IF(I$5=$C339,$E$5+$E339,0),2),2)&gt;0,ROUND(K338+J339-ROUND(I$6+IF(I$5=$C339,$E$5+$E339,0),2),2)&lt;=L339,ROUND(K338+J339-ROUND(I$6+IF(I$5=$C339,$E$5+$E339,0),2),2)*10&lt;=ROUND(I$6+IF(I$5=$C339,$E$5+$E339,0),2)),ROUND(K338+J339,2),MIN(ROUND(I$6+IF(I$5=$C339,$E$5+$E339,0),2),ROUND(K338+J339,2))),0)</f>
        <v>0</v>
      </c>
      <c r="J339" s="24">
        <f>IF(K338&gt;0,ROUND(ROUND(K338*100,0)*ROUND(I$7*10000,0)/12000000,0)/100,0)</f>
        <v>0</v>
      </c>
      <c r="K339" s="24">
        <f>IF(K338&gt;0,ROUND(K338+J339-I339,2),0)</f>
        <v>0</v>
      </c>
      <c r="L339" s="24">
        <f>IF(K338&gt;0,ROUND(L338+ROUND(ROUND(L338*100,0)*ROUND(I$7*10000,0)/12000000,0)/100+0.02,2),0)</f>
        <v>0</v>
      </c>
      <c r="M339" s="24">
        <f>IF(O338&gt;0,IF(AND(ROUND(O338+N339-ROUND(M$6+IF(M$5=$C339,$E$5+$E339,0),2),2)&gt;0,ROUND(O338+N339-ROUND(M$6+IF(M$5=$C339,$E$5+$E339,0),2),2)&lt;=P339,ROUND(O338+N339-ROUND(M$6+IF(M$5=$C339,$E$5+$E339,0),2),2)*10&lt;=ROUND(M$6+IF(M$5=$C339,$E$5+$E339,0),2)),ROUND(O338+N339,2),MIN(ROUND(M$6+IF(M$5=$C339,$E$5+$E339,0),2),ROUND(O338+N339,2))),0)</f>
        <v>0</v>
      </c>
      <c r="N339" s="24">
        <f>IF(O338&gt;0,ROUND(ROUND(O338*100,0)*ROUND(M$7*10000,0)/12000000,0)/100,0)</f>
        <v>0</v>
      </c>
      <c r="O339" s="24">
        <f>IF(O338&gt;0,ROUND(O338+N339-M339,2),0)</f>
        <v>0</v>
      </c>
      <c r="P339" s="24">
        <f>IF(O338&gt;0,ROUND(P338+ROUND(ROUND(P338*100,0)*ROUND(M$7*10000,0)/12000000,0)/100+0.02,2),0)</f>
        <v>0</v>
      </c>
      <c r="Q339" s="24">
        <f>IF(S338&gt;0,IF(AND(ROUND(S338+R339-ROUND(Q$6+IF(Q$5=$C339,$E$5+$E339,0),2),2)&gt;0,ROUND(S338+R339-ROUND(Q$6+IF(Q$5=$C339,$E$5+$E339,0),2),2)&lt;=T339,ROUND(S338+R339-ROUND(Q$6+IF(Q$5=$C339,$E$5+$E339,0),2),2)*10&lt;=ROUND(Q$6+IF(Q$5=$C339,$E$5+$E339,0),2)),ROUND(S338+R339,2),MIN(ROUND(Q$6+IF(Q$5=$C339,$E$5+$E339,0),2),ROUND(S338+R339,2))),0)</f>
        <v>0</v>
      </c>
      <c r="R339" s="24">
        <f>IF(S338&gt;0,ROUND(ROUND(S338*100,0)*ROUND(Q$7*10000,0)/12000000,0)/100,0)</f>
        <v>0</v>
      </c>
      <c r="S339" s="24">
        <f>IF(S338&gt;0,ROUND(S338+R339-Q339,2),0)</f>
        <v>0</v>
      </c>
      <c r="T339" s="24">
        <f>IF(S338&gt;0,ROUND(T338+ROUND(ROUND(T338*100,0)*ROUND(Q$7*10000,0)/12000000,0)/100+0.02,2),0)</f>
        <v>0</v>
      </c>
      <c r="U339" s="24">
        <f>IF(W338&gt;0,IF(AND(ROUND(W338+V339-ROUND(U$6+IF(U$5=$C339,$E$5+$E339,0),2),2)&gt;0,ROUND(W338+V339-ROUND(U$6+IF(U$5=$C339,$E$5+$E339,0),2),2)&lt;=X339,ROUND(W338+V339-ROUND(U$6+IF(U$5=$C339,$E$5+$E339,0),2),2)*10&lt;=ROUND(U$6+IF(U$5=$C339,$E$5+$E339,0),2)),ROUND(W338+V339,2),MIN(ROUND(U$6+IF(U$5=$C339,$E$5+$E339,0),2),ROUND(W338+V339,2))),0)</f>
        <v>0</v>
      </c>
      <c r="V339" s="24">
        <f>IF(W338&gt;0,ROUND(ROUND(W338*100,0)*ROUND(U$7*10000,0)/12000000,0)/100,0)</f>
        <v>0</v>
      </c>
      <c r="W339" s="24">
        <f>IF(W338&gt;0,ROUND(W338+V339-U339,2),0)</f>
        <v>0</v>
      </c>
      <c r="X339" s="24">
        <f>IF(W338&gt;0,ROUND(X338+ROUND(ROUND(X338*100,0)*ROUND(U$7*10000,0)/12000000,0)/100+0.02,2),0)</f>
        <v>0</v>
      </c>
      <c r="Y339" s="24">
        <f>IF(AA338&gt;0,IF(AND(ROUND(AA338+Z339-ROUND(Y$6+IF(Y$5=$C339,$E$5+$E339,0),2),2)&gt;0,ROUND(AA338+Z339-ROUND(Y$6+IF(Y$5=$C339,$E$5+$E339,0),2),2)&lt;=AB339,ROUND(AA338+Z339-ROUND(Y$6+IF(Y$5=$C339,$E$5+$E339,0),2),2)*10&lt;=ROUND(Y$6+IF(Y$5=$C339,$E$5+$E339,0),2)),ROUND(AA338+Z339,2),MIN(ROUND(Y$6+IF(Y$5=$C339,$E$5+$E339,0),2),ROUND(AA338+Z339,2))),0)</f>
        <v>0</v>
      </c>
      <c r="Z339" s="24">
        <f>IF(AA338&gt;0,ROUND(ROUND(AA338*100,0)*ROUND(Y$7*10000,0)/12000000,0)/100,0)</f>
        <v>0</v>
      </c>
      <c r="AA339" s="24">
        <f>IF(AA338&gt;0,ROUND(AA338+Z339-Y339,2),0)</f>
        <v>0</v>
      </c>
      <c r="AB339" s="24">
        <f>IF(AA338&gt;0,ROUND(AB338+ROUND(ROUND(AB338*100,0)*ROUND(Y$7*10000,0)/12000000,0)/100+0.02,2),0)</f>
        <v>0</v>
      </c>
      <c r="AC339" s="24">
        <f>IF(AE338&gt;0,IF(AND(ROUND(AE338+AD339-ROUND(AC$6+IF(AC$5=$C339,$E$5+$E339,0),2),2)&gt;0,ROUND(AE338+AD339-ROUND(AC$6+IF(AC$5=$C339,$E$5+$E339,0),2),2)&lt;=AF339,ROUND(AE338+AD339-ROUND(AC$6+IF(AC$5=$C339,$E$5+$E339,0),2),2)*10&lt;=ROUND(AC$6+IF(AC$5=$C339,$E$5+$E339,0),2)),ROUND(AE338+AD339,2),MIN(ROUND(AC$6+IF(AC$5=$C339,$E$5+$E339,0),2),ROUND(AE338+AD339,2))),0)</f>
        <v>0</v>
      </c>
      <c r="AD339" s="24">
        <f>IF(AE338&gt;0,ROUND(ROUND(AE338*100,0)*ROUND(AC$7*10000,0)/12000000,0)/100,0)</f>
        <v>0</v>
      </c>
      <c r="AE339" s="24">
        <f>IF(AE338&gt;0,ROUND(AE338+AD339-AC339,2),0)</f>
        <v>0</v>
      </c>
      <c r="AF339" s="24">
        <f>IF(AE338&gt;0,ROUND(AF338+ROUND(ROUND(AF338*100,0)*ROUND(AC$7*10000,0)/12000000,0)/100+0.02,2),0)</f>
        <v>0</v>
      </c>
      <c r="AG339" s="24">
        <f>IF(AI338&gt;0,IF(AND(ROUND(AI338+AH339-ROUND(AG$6+IF(AG$5=$C339,$E$5+$E339,0),2),2)&gt;0,ROUND(AI338+AH339-ROUND(AG$6+IF(AG$5=$C339,$E$5+$E339,0),2),2)&lt;=AJ339,ROUND(AI338+AH339-ROUND(AG$6+IF(AG$5=$C339,$E$5+$E339,0),2),2)*10&lt;=ROUND(AG$6+IF(AG$5=$C339,$E$5+$E339,0),2)),ROUND(AI338+AH339,2),MIN(ROUND(AG$6+IF(AG$5=$C339,$E$5+$E339,0),2),ROUND(AI338+AH339,2))),0)</f>
        <v>0</v>
      </c>
      <c r="AH339" s="24">
        <f>IF(AI338&gt;0,ROUND(ROUND(AI338*100,0)*ROUND(AG$7*10000,0)/12000000,0)/100,0)</f>
        <v>0</v>
      </c>
      <c r="AI339" s="24">
        <f>IF(AI338&gt;0,ROUND(AI338+AH339-AG339,2),0)</f>
        <v>0</v>
      </c>
      <c r="AJ339" s="24">
        <f>IF(AI338&gt;0,ROUND(AJ338+ROUND(ROUND(AJ338*100,0)*ROUND(AG$7*10000,0)/12000000,0)/100+0.02,2),0)</f>
        <v>0</v>
      </c>
      <c r="AK339" s="24">
        <f>IF(AM338&gt;0,IF(AND(ROUND(AM338+AL339-ROUND(AK$6+IF(AK$5=$C339,$E$5+$E339,0),2),2)&gt;0,ROUND(AM338+AL339-ROUND(AK$6+IF(AK$5=$C339,$E$5+$E339,0),2),2)&lt;=AN339,ROUND(AM338+AL339-ROUND(AK$6+IF(AK$5=$C339,$E$5+$E339,0),2),2)*10&lt;=ROUND(AK$6+IF(AK$5=$C339,$E$5+$E339,0),2)),ROUND(AM338+AL339,2),MIN(ROUND(AK$6+IF(AK$5=$C339,$E$5+$E339,0),2),ROUND(AM338+AL339,2))),0)</f>
        <v>0</v>
      </c>
      <c r="AL339" s="24">
        <f>IF(AM338&gt;0,ROUND(ROUND(AM338*100,0)*ROUND(AK$7*10000,0)/12000000,0)/100,0)</f>
        <v>0</v>
      </c>
      <c r="AM339" s="24">
        <f>IF(AM338&gt;0,ROUND(AM338+AL339-AK339,2),0)</f>
        <v>0</v>
      </c>
      <c r="AN339" s="24">
        <f>IF(AM338&gt;0,ROUND(AN338+ROUND(ROUND(AN338*100,0)*ROUND(AK$7*10000,0)/12000000,0)/100+0.02,2),0)</f>
        <v>0</v>
      </c>
      <c r="AO339" s="24">
        <f>IF(AQ338&gt;0,IF(AND(ROUND(AQ338+AP339-ROUND(AO$6+IF(AO$5=$C339,$E$5+$E339,0),2),2)&gt;0,ROUND(AQ338+AP339-ROUND(AO$6+IF(AO$5=$C339,$E$5+$E339,0),2),2)&lt;=AR339,ROUND(AQ338+AP339-ROUND(AO$6+IF(AO$5=$C339,$E$5+$E339,0),2),2)*10&lt;=ROUND(AO$6+IF(AO$5=$C339,$E$5+$E339,0),2)),ROUND(AQ338+AP339,2),MIN(ROUND(AO$6+IF(AO$5=$C339,$E$5+$E339,0),2),ROUND(AQ338+AP339,2))),0)</f>
        <v>0</v>
      </c>
      <c r="AP339" s="24">
        <f>IF(AQ338&gt;0,ROUND(ROUND(AQ338*100,0)*ROUND(AO$7*10000,0)/12000000,0)/100,0)</f>
        <v>0</v>
      </c>
      <c r="AQ339" s="24">
        <f>IF(AQ338&gt;0,ROUND(AQ338+AP339-AO339,2),0)</f>
        <v>0</v>
      </c>
      <c r="AR339" s="24">
        <f>IF(AQ338&gt;0,ROUND(AR338+ROUND(ROUND(AR338*100,0)*ROUND(AO$7*10000,0)/12000000,0)/100+0.02,2),0)</f>
        <v>0</v>
      </c>
      <c r="AS339" s="24">
        <f>IF(AU338&gt;0,IF(AND(ROUND(AU338+AT339-ROUND(AS$6+IF(AS$5=$C339,$E$5+$E339,0),2),2)&gt;0,ROUND(AU338+AT339-ROUND(AS$6+IF(AS$5=$C339,$E$5+$E339,0),2),2)&lt;=AV339,ROUND(AU338+AT339-ROUND(AS$6+IF(AS$5=$C339,$E$5+$E339,0),2),2)*10&lt;=ROUND(AS$6+IF(AS$5=$C339,$E$5+$E339,0),2)),ROUND(AU338+AT339,2),MIN(ROUND(AS$6+IF(AS$5=$C339,$E$5+$E339,0),2),ROUND(AU338+AT339,2))),0)</f>
        <v>0</v>
      </c>
      <c r="AT339" s="24">
        <f>IF(AU338&gt;0,ROUND(ROUND(AU338*100,0)*ROUND(AS$7*10000,0)/12000000,0)/100,0)</f>
        <v>0</v>
      </c>
      <c r="AU339" s="24">
        <f>IF(AU338&gt;0,ROUND(AU338+AT339-AS339,2),0)</f>
        <v>0</v>
      </c>
      <c r="AV339" s="24">
        <f>IF(AU338&gt;0,ROUND(AV338+ROUND(ROUND(AV338*100,0)*ROUND(AS$7*10000,0)/12000000,0)/100+0.02,2),0)</f>
        <v>0</v>
      </c>
    </row>
    <row r="340" spans="1:48" x14ac:dyDescent="0.25">
      <c r="A340" s="17" t="str">
        <f>IF(F340&gt;0,330,"")</f>
        <v/>
      </c>
      <c r="B340" s="18" t="str">
        <f>IF(F340&gt;0,EDATE($E$6,330),"")</f>
        <v/>
      </c>
      <c r="C340" s="21">
        <f>IF(H339&gt;0,MIN(IF(K339&gt;0,I$5,99),IF(O339&gt;0,M$5,99),IF(S339&gt;0,Q$5,99),IF(W339&gt;0,U$5,99),IF(AA339&gt;0,Y$5,99),IF(AE339&gt;0,AC$5,99),IF(AI339&gt;0,AG$5,99),IF(AM339&gt;0,AK$5,99),IF(AQ339&gt;0,AO$5,99),IF(AU339&gt;0,AS$5,99)),0)</f>
        <v>0</v>
      </c>
      <c r="D340" t="str">
        <f>IF(C340&gt;0,INDEX($I$4:$AV$4,1,MATCH(C340,$I$5:$AV$5,0)),"")</f>
        <v/>
      </c>
      <c r="E340" s="24">
        <f>ROUND(IF(AND(I$8&gt;0,K339=0),I$6,0)+IF(AND(M$8&gt;0,O339=0),M$6,0)+IF(AND(Q$8&gt;0,S339=0),Q$6,0)+IF(AND(U$8&gt;0,W339=0),U$6,0)+IF(AND(Y$8&gt;0,AA339=0),Y$6,0)+IF(AND(AC$8&gt;0,AE339=0),AC$6,0)+IF(AND(AG$8&gt;0,AI339=0),AG$6,0)+IF(AND(AK$8&gt;0,AM339=0),AK$6,0)+IF(AND(AO$8&gt;0,AQ339=0),AO$6,0)+IF(AND(AS$8&gt;0,AU339=0),AS$6,0),2)</f>
        <v>325</v>
      </c>
      <c r="F340" s="24">
        <f>ROUND(I340+M340+Q340+U340+Y340+AC340+AG340+AK340+AO340+AS340,2)</f>
        <v>0</v>
      </c>
      <c r="G340" s="24">
        <f>ROUND(J340+N340+R340+V340+Z340+AD340+AH340+AL340+AP340+AT340,2)</f>
        <v>0</v>
      </c>
      <c r="H340" s="24">
        <f>ROUND(K340+O340+S340+W340+AA340+AE340+AI340+AM340+AQ340+AU340,2)</f>
        <v>0</v>
      </c>
      <c r="I340" s="24">
        <f>IF(K339&gt;0,IF(AND(ROUND(K339+J340-ROUND(I$6+IF(I$5=$C340,$E$5+$E340,0),2),2)&gt;0,ROUND(K339+J340-ROUND(I$6+IF(I$5=$C340,$E$5+$E340,0),2),2)&lt;=L340,ROUND(K339+J340-ROUND(I$6+IF(I$5=$C340,$E$5+$E340,0),2),2)*10&lt;=ROUND(I$6+IF(I$5=$C340,$E$5+$E340,0),2)),ROUND(K339+J340,2),MIN(ROUND(I$6+IF(I$5=$C340,$E$5+$E340,0),2),ROUND(K339+J340,2))),0)</f>
        <v>0</v>
      </c>
      <c r="J340" s="24">
        <f>IF(K339&gt;0,ROUND(ROUND(K339*100,0)*ROUND(I$7*10000,0)/12000000,0)/100,0)</f>
        <v>0</v>
      </c>
      <c r="K340" s="24">
        <f>IF(K339&gt;0,ROUND(K339+J340-I340,2),0)</f>
        <v>0</v>
      </c>
      <c r="L340" s="24">
        <f>IF(K339&gt;0,ROUND(L339+ROUND(ROUND(L339*100,0)*ROUND(I$7*10000,0)/12000000,0)/100+0.02,2),0)</f>
        <v>0</v>
      </c>
      <c r="M340" s="24">
        <f>IF(O339&gt;0,IF(AND(ROUND(O339+N340-ROUND(M$6+IF(M$5=$C340,$E$5+$E340,0),2),2)&gt;0,ROUND(O339+N340-ROUND(M$6+IF(M$5=$C340,$E$5+$E340,0),2),2)&lt;=P340,ROUND(O339+N340-ROUND(M$6+IF(M$5=$C340,$E$5+$E340,0),2),2)*10&lt;=ROUND(M$6+IF(M$5=$C340,$E$5+$E340,0),2)),ROUND(O339+N340,2),MIN(ROUND(M$6+IF(M$5=$C340,$E$5+$E340,0),2),ROUND(O339+N340,2))),0)</f>
        <v>0</v>
      </c>
      <c r="N340" s="24">
        <f>IF(O339&gt;0,ROUND(ROUND(O339*100,0)*ROUND(M$7*10000,0)/12000000,0)/100,0)</f>
        <v>0</v>
      </c>
      <c r="O340" s="24">
        <f>IF(O339&gt;0,ROUND(O339+N340-M340,2),0)</f>
        <v>0</v>
      </c>
      <c r="P340" s="24">
        <f>IF(O339&gt;0,ROUND(P339+ROUND(ROUND(P339*100,0)*ROUND(M$7*10000,0)/12000000,0)/100+0.02,2),0)</f>
        <v>0</v>
      </c>
      <c r="Q340" s="24">
        <f>IF(S339&gt;0,IF(AND(ROUND(S339+R340-ROUND(Q$6+IF(Q$5=$C340,$E$5+$E340,0),2),2)&gt;0,ROUND(S339+R340-ROUND(Q$6+IF(Q$5=$C340,$E$5+$E340,0),2),2)&lt;=T340,ROUND(S339+R340-ROUND(Q$6+IF(Q$5=$C340,$E$5+$E340,0),2),2)*10&lt;=ROUND(Q$6+IF(Q$5=$C340,$E$5+$E340,0),2)),ROUND(S339+R340,2),MIN(ROUND(Q$6+IF(Q$5=$C340,$E$5+$E340,0),2),ROUND(S339+R340,2))),0)</f>
        <v>0</v>
      </c>
      <c r="R340" s="24">
        <f>IF(S339&gt;0,ROUND(ROUND(S339*100,0)*ROUND(Q$7*10000,0)/12000000,0)/100,0)</f>
        <v>0</v>
      </c>
      <c r="S340" s="24">
        <f>IF(S339&gt;0,ROUND(S339+R340-Q340,2),0)</f>
        <v>0</v>
      </c>
      <c r="T340" s="24">
        <f>IF(S339&gt;0,ROUND(T339+ROUND(ROUND(T339*100,0)*ROUND(Q$7*10000,0)/12000000,0)/100+0.02,2),0)</f>
        <v>0</v>
      </c>
      <c r="U340" s="24">
        <f>IF(W339&gt;0,IF(AND(ROUND(W339+V340-ROUND(U$6+IF(U$5=$C340,$E$5+$E340,0),2),2)&gt;0,ROUND(W339+V340-ROUND(U$6+IF(U$5=$C340,$E$5+$E340,0),2),2)&lt;=X340,ROUND(W339+V340-ROUND(U$6+IF(U$5=$C340,$E$5+$E340,0),2),2)*10&lt;=ROUND(U$6+IF(U$5=$C340,$E$5+$E340,0),2)),ROUND(W339+V340,2),MIN(ROUND(U$6+IF(U$5=$C340,$E$5+$E340,0),2),ROUND(W339+V340,2))),0)</f>
        <v>0</v>
      </c>
      <c r="V340" s="24">
        <f>IF(W339&gt;0,ROUND(ROUND(W339*100,0)*ROUND(U$7*10000,0)/12000000,0)/100,0)</f>
        <v>0</v>
      </c>
      <c r="W340" s="24">
        <f>IF(W339&gt;0,ROUND(W339+V340-U340,2),0)</f>
        <v>0</v>
      </c>
      <c r="X340" s="24">
        <f>IF(W339&gt;0,ROUND(X339+ROUND(ROUND(X339*100,0)*ROUND(U$7*10000,0)/12000000,0)/100+0.02,2),0)</f>
        <v>0</v>
      </c>
      <c r="Y340" s="24">
        <f>IF(AA339&gt;0,IF(AND(ROUND(AA339+Z340-ROUND(Y$6+IF(Y$5=$C340,$E$5+$E340,0),2),2)&gt;0,ROUND(AA339+Z340-ROUND(Y$6+IF(Y$5=$C340,$E$5+$E340,0),2),2)&lt;=AB340,ROUND(AA339+Z340-ROUND(Y$6+IF(Y$5=$C340,$E$5+$E340,0),2),2)*10&lt;=ROUND(Y$6+IF(Y$5=$C340,$E$5+$E340,0),2)),ROUND(AA339+Z340,2),MIN(ROUND(Y$6+IF(Y$5=$C340,$E$5+$E340,0),2),ROUND(AA339+Z340,2))),0)</f>
        <v>0</v>
      </c>
      <c r="Z340" s="24">
        <f>IF(AA339&gt;0,ROUND(ROUND(AA339*100,0)*ROUND(Y$7*10000,0)/12000000,0)/100,0)</f>
        <v>0</v>
      </c>
      <c r="AA340" s="24">
        <f>IF(AA339&gt;0,ROUND(AA339+Z340-Y340,2),0)</f>
        <v>0</v>
      </c>
      <c r="AB340" s="24">
        <f>IF(AA339&gt;0,ROUND(AB339+ROUND(ROUND(AB339*100,0)*ROUND(Y$7*10000,0)/12000000,0)/100+0.02,2),0)</f>
        <v>0</v>
      </c>
      <c r="AC340" s="24">
        <f>IF(AE339&gt;0,IF(AND(ROUND(AE339+AD340-ROUND(AC$6+IF(AC$5=$C340,$E$5+$E340,0),2),2)&gt;0,ROUND(AE339+AD340-ROUND(AC$6+IF(AC$5=$C340,$E$5+$E340,0),2),2)&lt;=AF340,ROUND(AE339+AD340-ROUND(AC$6+IF(AC$5=$C340,$E$5+$E340,0),2),2)*10&lt;=ROUND(AC$6+IF(AC$5=$C340,$E$5+$E340,0),2)),ROUND(AE339+AD340,2),MIN(ROUND(AC$6+IF(AC$5=$C340,$E$5+$E340,0),2),ROUND(AE339+AD340,2))),0)</f>
        <v>0</v>
      </c>
      <c r="AD340" s="24">
        <f>IF(AE339&gt;0,ROUND(ROUND(AE339*100,0)*ROUND(AC$7*10000,0)/12000000,0)/100,0)</f>
        <v>0</v>
      </c>
      <c r="AE340" s="24">
        <f>IF(AE339&gt;0,ROUND(AE339+AD340-AC340,2),0)</f>
        <v>0</v>
      </c>
      <c r="AF340" s="24">
        <f>IF(AE339&gt;0,ROUND(AF339+ROUND(ROUND(AF339*100,0)*ROUND(AC$7*10000,0)/12000000,0)/100+0.02,2),0)</f>
        <v>0</v>
      </c>
      <c r="AG340" s="24">
        <f>IF(AI339&gt;0,IF(AND(ROUND(AI339+AH340-ROUND(AG$6+IF(AG$5=$C340,$E$5+$E340,0),2),2)&gt;0,ROUND(AI339+AH340-ROUND(AG$6+IF(AG$5=$C340,$E$5+$E340,0),2),2)&lt;=AJ340,ROUND(AI339+AH340-ROUND(AG$6+IF(AG$5=$C340,$E$5+$E340,0),2),2)*10&lt;=ROUND(AG$6+IF(AG$5=$C340,$E$5+$E340,0),2)),ROUND(AI339+AH340,2),MIN(ROUND(AG$6+IF(AG$5=$C340,$E$5+$E340,0),2),ROUND(AI339+AH340,2))),0)</f>
        <v>0</v>
      </c>
      <c r="AH340" s="24">
        <f>IF(AI339&gt;0,ROUND(ROUND(AI339*100,0)*ROUND(AG$7*10000,0)/12000000,0)/100,0)</f>
        <v>0</v>
      </c>
      <c r="AI340" s="24">
        <f>IF(AI339&gt;0,ROUND(AI339+AH340-AG340,2),0)</f>
        <v>0</v>
      </c>
      <c r="AJ340" s="24">
        <f>IF(AI339&gt;0,ROUND(AJ339+ROUND(ROUND(AJ339*100,0)*ROUND(AG$7*10000,0)/12000000,0)/100+0.02,2),0)</f>
        <v>0</v>
      </c>
      <c r="AK340" s="24">
        <f>IF(AM339&gt;0,IF(AND(ROUND(AM339+AL340-ROUND(AK$6+IF(AK$5=$C340,$E$5+$E340,0),2),2)&gt;0,ROUND(AM339+AL340-ROUND(AK$6+IF(AK$5=$C340,$E$5+$E340,0),2),2)&lt;=AN340,ROUND(AM339+AL340-ROUND(AK$6+IF(AK$5=$C340,$E$5+$E340,0),2),2)*10&lt;=ROUND(AK$6+IF(AK$5=$C340,$E$5+$E340,0),2)),ROUND(AM339+AL340,2),MIN(ROUND(AK$6+IF(AK$5=$C340,$E$5+$E340,0),2),ROUND(AM339+AL340,2))),0)</f>
        <v>0</v>
      </c>
      <c r="AL340" s="24">
        <f>IF(AM339&gt;0,ROUND(ROUND(AM339*100,0)*ROUND(AK$7*10000,0)/12000000,0)/100,0)</f>
        <v>0</v>
      </c>
      <c r="AM340" s="24">
        <f>IF(AM339&gt;0,ROUND(AM339+AL340-AK340,2),0)</f>
        <v>0</v>
      </c>
      <c r="AN340" s="24">
        <f>IF(AM339&gt;0,ROUND(AN339+ROUND(ROUND(AN339*100,0)*ROUND(AK$7*10000,0)/12000000,0)/100+0.02,2),0)</f>
        <v>0</v>
      </c>
      <c r="AO340" s="24">
        <f>IF(AQ339&gt;0,IF(AND(ROUND(AQ339+AP340-ROUND(AO$6+IF(AO$5=$C340,$E$5+$E340,0),2),2)&gt;0,ROUND(AQ339+AP340-ROUND(AO$6+IF(AO$5=$C340,$E$5+$E340,0),2),2)&lt;=AR340,ROUND(AQ339+AP340-ROUND(AO$6+IF(AO$5=$C340,$E$5+$E340,0),2),2)*10&lt;=ROUND(AO$6+IF(AO$5=$C340,$E$5+$E340,0),2)),ROUND(AQ339+AP340,2),MIN(ROUND(AO$6+IF(AO$5=$C340,$E$5+$E340,0),2),ROUND(AQ339+AP340,2))),0)</f>
        <v>0</v>
      </c>
      <c r="AP340" s="24">
        <f>IF(AQ339&gt;0,ROUND(ROUND(AQ339*100,0)*ROUND(AO$7*10000,0)/12000000,0)/100,0)</f>
        <v>0</v>
      </c>
      <c r="AQ340" s="24">
        <f>IF(AQ339&gt;0,ROUND(AQ339+AP340-AO340,2),0)</f>
        <v>0</v>
      </c>
      <c r="AR340" s="24">
        <f>IF(AQ339&gt;0,ROUND(AR339+ROUND(ROUND(AR339*100,0)*ROUND(AO$7*10000,0)/12000000,0)/100+0.02,2),0)</f>
        <v>0</v>
      </c>
      <c r="AS340" s="24">
        <f>IF(AU339&gt;0,IF(AND(ROUND(AU339+AT340-ROUND(AS$6+IF(AS$5=$C340,$E$5+$E340,0),2),2)&gt;0,ROUND(AU339+AT340-ROUND(AS$6+IF(AS$5=$C340,$E$5+$E340,0),2),2)&lt;=AV340,ROUND(AU339+AT340-ROUND(AS$6+IF(AS$5=$C340,$E$5+$E340,0),2),2)*10&lt;=ROUND(AS$6+IF(AS$5=$C340,$E$5+$E340,0),2)),ROUND(AU339+AT340,2),MIN(ROUND(AS$6+IF(AS$5=$C340,$E$5+$E340,0),2),ROUND(AU339+AT340,2))),0)</f>
        <v>0</v>
      </c>
      <c r="AT340" s="24">
        <f>IF(AU339&gt;0,ROUND(ROUND(AU339*100,0)*ROUND(AS$7*10000,0)/12000000,0)/100,0)</f>
        <v>0</v>
      </c>
      <c r="AU340" s="24">
        <f>IF(AU339&gt;0,ROUND(AU339+AT340-AS340,2),0)</f>
        <v>0</v>
      </c>
      <c r="AV340" s="24">
        <f>IF(AU339&gt;0,ROUND(AV339+ROUND(ROUND(AV339*100,0)*ROUND(AS$7*10000,0)/12000000,0)/100+0.02,2),0)</f>
        <v>0</v>
      </c>
    </row>
    <row r="341" spans="1:48" x14ac:dyDescent="0.25">
      <c r="A341" s="17" t="str">
        <f>IF(F341&gt;0,331,"")</f>
        <v/>
      </c>
      <c r="B341" s="18" t="str">
        <f>IF(F341&gt;0,EDATE($E$6,331),"")</f>
        <v/>
      </c>
      <c r="C341" s="21">
        <f>IF(H340&gt;0,MIN(IF(K340&gt;0,I$5,99),IF(O340&gt;0,M$5,99),IF(S340&gt;0,Q$5,99),IF(W340&gt;0,U$5,99),IF(AA340&gt;0,Y$5,99),IF(AE340&gt;0,AC$5,99),IF(AI340&gt;0,AG$5,99),IF(AM340&gt;0,AK$5,99),IF(AQ340&gt;0,AO$5,99),IF(AU340&gt;0,AS$5,99)),0)</f>
        <v>0</v>
      </c>
      <c r="D341" t="str">
        <f>IF(C341&gt;0,INDEX($I$4:$AV$4,1,MATCH(C341,$I$5:$AV$5,0)),"")</f>
        <v/>
      </c>
      <c r="E341" s="24">
        <f>ROUND(IF(AND(I$8&gt;0,K340=0),I$6,0)+IF(AND(M$8&gt;0,O340=0),M$6,0)+IF(AND(Q$8&gt;0,S340=0),Q$6,0)+IF(AND(U$8&gt;0,W340=0),U$6,0)+IF(AND(Y$8&gt;0,AA340=0),Y$6,0)+IF(AND(AC$8&gt;0,AE340=0),AC$6,0)+IF(AND(AG$8&gt;0,AI340=0),AG$6,0)+IF(AND(AK$8&gt;0,AM340=0),AK$6,0)+IF(AND(AO$8&gt;0,AQ340=0),AO$6,0)+IF(AND(AS$8&gt;0,AU340=0),AS$6,0),2)</f>
        <v>325</v>
      </c>
      <c r="F341" s="24">
        <f>ROUND(I341+M341+Q341+U341+Y341+AC341+AG341+AK341+AO341+AS341,2)</f>
        <v>0</v>
      </c>
      <c r="G341" s="24">
        <f>ROUND(J341+N341+R341+V341+Z341+AD341+AH341+AL341+AP341+AT341,2)</f>
        <v>0</v>
      </c>
      <c r="H341" s="24">
        <f>ROUND(K341+O341+S341+W341+AA341+AE341+AI341+AM341+AQ341+AU341,2)</f>
        <v>0</v>
      </c>
      <c r="I341" s="24">
        <f>IF(K340&gt;0,IF(AND(ROUND(K340+J341-ROUND(I$6+IF(I$5=$C341,$E$5+$E341,0),2),2)&gt;0,ROUND(K340+J341-ROUND(I$6+IF(I$5=$C341,$E$5+$E341,0),2),2)&lt;=L341,ROUND(K340+J341-ROUND(I$6+IF(I$5=$C341,$E$5+$E341,0),2),2)*10&lt;=ROUND(I$6+IF(I$5=$C341,$E$5+$E341,0),2)),ROUND(K340+J341,2),MIN(ROUND(I$6+IF(I$5=$C341,$E$5+$E341,0),2),ROUND(K340+J341,2))),0)</f>
        <v>0</v>
      </c>
      <c r="J341" s="24">
        <f>IF(K340&gt;0,ROUND(ROUND(K340*100,0)*ROUND(I$7*10000,0)/12000000,0)/100,0)</f>
        <v>0</v>
      </c>
      <c r="K341" s="24">
        <f>IF(K340&gt;0,ROUND(K340+J341-I341,2),0)</f>
        <v>0</v>
      </c>
      <c r="L341" s="24">
        <f>IF(K340&gt;0,ROUND(L340+ROUND(ROUND(L340*100,0)*ROUND(I$7*10000,0)/12000000,0)/100+0.02,2),0)</f>
        <v>0</v>
      </c>
      <c r="M341" s="24">
        <f>IF(O340&gt;0,IF(AND(ROUND(O340+N341-ROUND(M$6+IF(M$5=$C341,$E$5+$E341,0),2),2)&gt;0,ROUND(O340+N341-ROUND(M$6+IF(M$5=$C341,$E$5+$E341,0),2),2)&lt;=P341,ROUND(O340+N341-ROUND(M$6+IF(M$5=$C341,$E$5+$E341,0),2),2)*10&lt;=ROUND(M$6+IF(M$5=$C341,$E$5+$E341,0),2)),ROUND(O340+N341,2),MIN(ROUND(M$6+IF(M$5=$C341,$E$5+$E341,0),2),ROUND(O340+N341,2))),0)</f>
        <v>0</v>
      </c>
      <c r="N341" s="24">
        <f>IF(O340&gt;0,ROUND(ROUND(O340*100,0)*ROUND(M$7*10000,0)/12000000,0)/100,0)</f>
        <v>0</v>
      </c>
      <c r="O341" s="24">
        <f>IF(O340&gt;0,ROUND(O340+N341-M341,2),0)</f>
        <v>0</v>
      </c>
      <c r="P341" s="24">
        <f>IF(O340&gt;0,ROUND(P340+ROUND(ROUND(P340*100,0)*ROUND(M$7*10000,0)/12000000,0)/100+0.02,2),0)</f>
        <v>0</v>
      </c>
      <c r="Q341" s="24">
        <f>IF(S340&gt;0,IF(AND(ROUND(S340+R341-ROUND(Q$6+IF(Q$5=$C341,$E$5+$E341,0),2),2)&gt;0,ROUND(S340+R341-ROUND(Q$6+IF(Q$5=$C341,$E$5+$E341,0),2),2)&lt;=T341,ROUND(S340+R341-ROUND(Q$6+IF(Q$5=$C341,$E$5+$E341,0),2),2)*10&lt;=ROUND(Q$6+IF(Q$5=$C341,$E$5+$E341,0),2)),ROUND(S340+R341,2),MIN(ROUND(Q$6+IF(Q$5=$C341,$E$5+$E341,0),2),ROUND(S340+R341,2))),0)</f>
        <v>0</v>
      </c>
      <c r="R341" s="24">
        <f>IF(S340&gt;0,ROUND(ROUND(S340*100,0)*ROUND(Q$7*10000,0)/12000000,0)/100,0)</f>
        <v>0</v>
      </c>
      <c r="S341" s="24">
        <f>IF(S340&gt;0,ROUND(S340+R341-Q341,2),0)</f>
        <v>0</v>
      </c>
      <c r="T341" s="24">
        <f>IF(S340&gt;0,ROUND(T340+ROUND(ROUND(T340*100,0)*ROUND(Q$7*10000,0)/12000000,0)/100+0.02,2),0)</f>
        <v>0</v>
      </c>
      <c r="U341" s="24">
        <f>IF(W340&gt;0,IF(AND(ROUND(W340+V341-ROUND(U$6+IF(U$5=$C341,$E$5+$E341,0),2),2)&gt;0,ROUND(W340+V341-ROUND(U$6+IF(U$5=$C341,$E$5+$E341,0),2),2)&lt;=X341,ROUND(W340+V341-ROUND(U$6+IF(U$5=$C341,$E$5+$E341,0),2),2)*10&lt;=ROUND(U$6+IF(U$5=$C341,$E$5+$E341,0),2)),ROUND(W340+V341,2),MIN(ROUND(U$6+IF(U$5=$C341,$E$5+$E341,0),2),ROUND(W340+V341,2))),0)</f>
        <v>0</v>
      </c>
      <c r="V341" s="24">
        <f>IF(W340&gt;0,ROUND(ROUND(W340*100,0)*ROUND(U$7*10000,0)/12000000,0)/100,0)</f>
        <v>0</v>
      </c>
      <c r="W341" s="24">
        <f>IF(W340&gt;0,ROUND(W340+V341-U341,2),0)</f>
        <v>0</v>
      </c>
      <c r="X341" s="24">
        <f>IF(W340&gt;0,ROUND(X340+ROUND(ROUND(X340*100,0)*ROUND(U$7*10000,0)/12000000,0)/100+0.02,2),0)</f>
        <v>0</v>
      </c>
      <c r="Y341" s="24">
        <f>IF(AA340&gt;0,IF(AND(ROUND(AA340+Z341-ROUND(Y$6+IF(Y$5=$C341,$E$5+$E341,0),2),2)&gt;0,ROUND(AA340+Z341-ROUND(Y$6+IF(Y$5=$C341,$E$5+$E341,0),2),2)&lt;=AB341,ROUND(AA340+Z341-ROUND(Y$6+IF(Y$5=$C341,$E$5+$E341,0),2),2)*10&lt;=ROUND(Y$6+IF(Y$5=$C341,$E$5+$E341,0),2)),ROUND(AA340+Z341,2),MIN(ROUND(Y$6+IF(Y$5=$C341,$E$5+$E341,0),2),ROUND(AA340+Z341,2))),0)</f>
        <v>0</v>
      </c>
      <c r="Z341" s="24">
        <f>IF(AA340&gt;0,ROUND(ROUND(AA340*100,0)*ROUND(Y$7*10000,0)/12000000,0)/100,0)</f>
        <v>0</v>
      </c>
      <c r="AA341" s="24">
        <f>IF(AA340&gt;0,ROUND(AA340+Z341-Y341,2),0)</f>
        <v>0</v>
      </c>
      <c r="AB341" s="24">
        <f>IF(AA340&gt;0,ROUND(AB340+ROUND(ROUND(AB340*100,0)*ROUND(Y$7*10000,0)/12000000,0)/100+0.02,2),0)</f>
        <v>0</v>
      </c>
      <c r="AC341" s="24">
        <f>IF(AE340&gt;0,IF(AND(ROUND(AE340+AD341-ROUND(AC$6+IF(AC$5=$C341,$E$5+$E341,0),2),2)&gt;0,ROUND(AE340+AD341-ROUND(AC$6+IF(AC$5=$C341,$E$5+$E341,0),2),2)&lt;=AF341,ROUND(AE340+AD341-ROUND(AC$6+IF(AC$5=$C341,$E$5+$E341,0),2),2)*10&lt;=ROUND(AC$6+IF(AC$5=$C341,$E$5+$E341,0),2)),ROUND(AE340+AD341,2),MIN(ROUND(AC$6+IF(AC$5=$C341,$E$5+$E341,0),2),ROUND(AE340+AD341,2))),0)</f>
        <v>0</v>
      </c>
      <c r="AD341" s="24">
        <f>IF(AE340&gt;0,ROUND(ROUND(AE340*100,0)*ROUND(AC$7*10000,0)/12000000,0)/100,0)</f>
        <v>0</v>
      </c>
      <c r="AE341" s="24">
        <f>IF(AE340&gt;0,ROUND(AE340+AD341-AC341,2),0)</f>
        <v>0</v>
      </c>
      <c r="AF341" s="24">
        <f>IF(AE340&gt;0,ROUND(AF340+ROUND(ROUND(AF340*100,0)*ROUND(AC$7*10000,0)/12000000,0)/100+0.02,2),0)</f>
        <v>0</v>
      </c>
      <c r="AG341" s="24">
        <f>IF(AI340&gt;0,IF(AND(ROUND(AI340+AH341-ROUND(AG$6+IF(AG$5=$C341,$E$5+$E341,0),2),2)&gt;0,ROUND(AI340+AH341-ROUND(AG$6+IF(AG$5=$C341,$E$5+$E341,0),2),2)&lt;=AJ341,ROUND(AI340+AH341-ROUND(AG$6+IF(AG$5=$C341,$E$5+$E341,0),2),2)*10&lt;=ROUND(AG$6+IF(AG$5=$C341,$E$5+$E341,0),2)),ROUND(AI340+AH341,2),MIN(ROUND(AG$6+IF(AG$5=$C341,$E$5+$E341,0),2),ROUND(AI340+AH341,2))),0)</f>
        <v>0</v>
      </c>
      <c r="AH341" s="24">
        <f>IF(AI340&gt;0,ROUND(ROUND(AI340*100,0)*ROUND(AG$7*10000,0)/12000000,0)/100,0)</f>
        <v>0</v>
      </c>
      <c r="AI341" s="24">
        <f>IF(AI340&gt;0,ROUND(AI340+AH341-AG341,2),0)</f>
        <v>0</v>
      </c>
      <c r="AJ341" s="24">
        <f>IF(AI340&gt;0,ROUND(AJ340+ROUND(ROUND(AJ340*100,0)*ROUND(AG$7*10000,0)/12000000,0)/100+0.02,2),0)</f>
        <v>0</v>
      </c>
      <c r="AK341" s="24">
        <f>IF(AM340&gt;0,IF(AND(ROUND(AM340+AL341-ROUND(AK$6+IF(AK$5=$C341,$E$5+$E341,0),2),2)&gt;0,ROUND(AM340+AL341-ROUND(AK$6+IF(AK$5=$C341,$E$5+$E341,0),2),2)&lt;=AN341,ROUND(AM340+AL341-ROUND(AK$6+IF(AK$5=$C341,$E$5+$E341,0),2),2)*10&lt;=ROUND(AK$6+IF(AK$5=$C341,$E$5+$E341,0),2)),ROUND(AM340+AL341,2),MIN(ROUND(AK$6+IF(AK$5=$C341,$E$5+$E341,0),2),ROUND(AM340+AL341,2))),0)</f>
        <v>0</v>
      </c>
      <c r="AL341" s="24">
        <f>IF(AM340&gt;0,ROUND(ROUND(AM340*100,0)*ROUND(AK$7*10000,0)/12000000,0)/100,0)</f>
        <v>0</v>
      </c>
      <c r="AM341" s="24">
        <f>IF(AM340&gt;0,ROUND(AM340+AL341-AK341,2),0)</f>
        <v>0</v>
      </c>
      <c r="AN341" s="24">
        <f>IF(AM340&gt;0,ROUND(AN340+ROUND(ROUND(AN340*100,0)*ROUND(AK$7*10000,0)/12000000,0)/100+0.02,2),0)</f>
        <v>0</v>
      </c>
      <c r="AO341" s="24">
        <f>IF(AQ340&gt;0,IF(AND(ROUND(AQ340+AP341-ROUND(AO$6+IF(AO$5=$C341,$E$5+$E341,0),2),2)&gt;0,ROUND(AQ340+AP341-ROUND(AO$6+IF(AO$5=$C341,$E$5+$E341,0),2),2)&lt;=AR341,ROUND(AQ340+AP341-ROUND(AO$6+IF(AO$5=$C341,$E$5+$E341,0),2),2)*10&lt;=ROUND(AO$6+IF(AO$5=$C341,$E$5+$E341,0),2)),ROUND(AQ340+AP341,2),MIN(ROUND(AO$6+IF(AO$5=$C341,$E$5+$E341,0),2),ROUND(AQ340+AP341,2))),0)</f>
        <v>0</v>
      </c>
      <c r="AP341" s="24">
        <f>IF(AQ340&gt;0,ROUND(ROUND(AQ340*100,0)*ROUND(AO$7*10000,0)/12000000,0)/100,0)</f>
        <v>0</v>
      </c>
      <c r="AQ341" s="24">
        <f>IF(AQ340&gt;0,ROUND(AQ340+AP341-AO341,2),0)</f>
        <v>0</v>
      </c>
      <c r="AR341" s="24">
        <f>IF(AQ340&gt;0,ROUND(AR340+ROUND(ROUND(AR340*100,0)*ROUND(AO$7*10000,0)/12000000,0)/100+0.02,2),0)</f>
        <v>0</v>
      </c>
      <c r="AS341" s="24">
        <f>IF(AU340&gt;0,IF(AND(ROUND(AU340+AT341-ROUND(AS$6+IF(AS$5=$C341,$E$5+$E341,0),2),2)&gt;0,ROUND(AU340+AT341-ROUND(AS$6+IF(AS$5=$C341,$E$5+$E341,0),2),2)&lt;=AV341,ROUND(AU340+AT341-ROUND(AS$6+IF(AS$5=$C341,$E$5+$E341,0),2),2)*10&lt;=ROUND(AS$6+IF(AS$5=$C341,$E$5+$E341,0),2)),ROUND(AU340+AT341,2),MIN(ROUND(AS$6+IF(AS$5=$C341,$E$5+$E341,0),2),ROUND(AU340+AT341,2))),0)</f>
        <v>0</v>
      </c>
      <c r="AT341" s="24">
        <f>IF(AU340&gt;0,ROUND(ROUND(AU340*100,0)*ROUND(AS$7*10000,0)/12000000,0)/100,0)</f>
        <v>0</v>
      </c>
      <c r="AU341" s="24">
        <f>IF(AU340&gt;0,ROUND(AU340+AT341-AS341,2),0)</f>
        <v>0</v>
      </c>
      <c r="AV341" s="24">
        <f>IF(AU340&gt;0,ROUND(AV340+ROUND(ROUND(AV340*100,0)*ROUND(AS$7*10000,0)/12000000,0)/100+0.02,2),0)</f>
        <v>0</v>
      </c>
    </row>
    <row r="342" spans="1:48" x14ac:dyDescent="0.25">
      <c r="A342" s="17" t="str">
        <f>IF(F342&gt;0,332,"")</f>
        <v/>
      </c>
      <c r="B342" s="18" t="str">
        <f>IF(F342&gt;0,EDATE($E$6,332),"")</f>
        <v/>
      </c>
      <c r="C342" s="21">
        <f>IF(H341&gt;0,MIN(IF(K341&gt;0,I$5,99),IF(O341&gt;0,M$5,99),IF(S341&gt;0,Q$5,99),IF(W341&gt;0,U$5,99),IF(AA341&gt;0,Y$5,99),IF(AE341&gt;0,AC$5,99),IF(AI341&gt;0,AG$5,99),IF(AM341&gt;0,AK$5,99),IF(AQ341&gt;0,AO$5,99),IF(AU341&gt;0,AS$5,99)),0)</f>
        <v>0</v>
      </c>
      <c r="D342" t="str">
        <f>IF(C342&gt;0,INDEX($I$4:$AV$4,1,MATCH(C342,$I$5:$AV$5,0)),"")</f>
        <v/>
      </c>
      <c r="E342" s="24">
        <f>ROUND(IF(AND(I$8&gt;0,K341=0),I$6,0)+IF(AND(M$8&gt;0,O341=0),M$6,0)+IF(AND(Q$8&gt;0,S341=0),Q$6,0)+IF(AND(U$8&gt;0,W341=0),U$6,0)+IF(AND(Y$8&gt;0,AA341=0),Y$6,0)+IF(AND(AC$8&gt;0,AE341=0),AC$6,0)+IF(AND(AG$8&gt;0,AI341=0),AG$6,0)+IF(AND(AK$8&gt;0,AM341=0),AK$6,0)+IF(AND(AO$8&gt;0,AQ341=0),AO$6,0)+IF(AND(AS$8&gt;0,AU341=0),AS$6,0),2)</f>
        <v>325</v>
      </c>
      <c r="F342" s="24">
        <f>ROUND(I342+M342+Q342+U342+Y342+AC342+AG342+AK342+AO342+AS342,2)</f>
        <v>0</v>
      </c>
      <c r="G342" s="24">
        <f>ROUND(J342+N342+R342+V342+Z342+AD342+AH342+AL342+AP342+AT342,2)</f>
        <v>0</v>
      </c>
      <c r="H342" s="24">
        <f>ROUND(K342+O342+S342+W342+AA342+AE342+AI342+AM342+AQ342+AU342,2)</f>
        <v>0</v>
      </c>
      <c r="I342" s="24">
        <f>IF(K341&gt;0,IF(AND(ROUND(K341+J342-ROUND(I$6+IF(I$5=$C342,$E$5+$E342,0),2),2)&gt;0,ROUND(K341+J342-ROUND(I$6+IF(I$5=$C342,$E$5+$E342,0),2),2)&lt;=L342,ROUND(K341+J342-ROUND(I$6+IF(I$5=$C342,$E$5+$E342,0),2),2)*10&lt;=ROUND(I$6+IF(I$5=$C342,$E$5+$E342,0),2)),ROUND(K341+J342,2),MIN(ROUND(I$6+IF(I$5=$C342,$E$5+$E342,0),2),ROUND(K341+J342,2))),0)</f>
        <v>0</v>
      </c>
      <c r="J342" s="24">
        <f>IF(K341&gt;0,ROUND(ROUND(K341*100,0)*ROUND(I$7*10000,0)/12000000,0)/100,0)</f>
        <v>0</v>
      </c>
      <c r="K342" s="24">
        <f>IF(K341&gt;0,ROUND(K341+J342-I342,2),0)</f>
        <v>0</v>
      </c>
      <c r="L342" s="24">
        <f>IF(K341&gt;0,ROUND(L341+ROUND(ROUND(L341*100,0)*ROUND(I$7*10000,0)/12000000,0)/100+0.02,2),0)</f>
        <v>0</v>
      </c>
      <c r="M342" s="24">
        <f>IF(O341&gt;0,IF(AND(ROUND(O341+N342-ROUND(M$6+IF(M$5=$C342,$E$5+$E342,0),2),2)&gt;0,ROUND(O341+N342-ROUND(M$6+IF(M$5=$C342,$E$5+$E342,0),2),2)&lt;=P342,ROUND(O341+N342-ROUND(M$6+IF(M$5=$C342,$E$5+$E342,0),2),2)*10&lt;=ROUND(M$6+IF(M$5=$C342,$E$5+$E342,0),2)),ROUND(O341+N342,2),MIN(ROUND(M$6+IF(M$5=$C342,$E$5+$E342,0),2),ROUND(O341+N342,2))),0)</f>
        <v>0</v>
      </c>
      <c r="N342" s="24">
        <f>IF(O341&gt;0,ROUND(ROUND(O341*100,0)*ROUND(M$7*10000,0)/12000000,0)/100,0)</f>
        <v>0</v>
      </c>
      <c r="O342" s="24">
        <f>IF(O341&gt;0,ROUND(O341+N342-M342,2),0)</f>
        <v>0</v>
      </c>
      <c r="P342" s="24">
        <f>IF(O341&gt;0,ROUND(P341+ROUND(ROUND(P341*100,0)*ROUND(M$7*10000,0)/12000000,0)/100+0.02,2),0)</f>
        <v>0</v>
      </c>
      <c r="Q342" s="24">
        <f>IF(S341&gt;0,IF(AND(ROUND(S341+R342-ROUND(Q$6+IF(Q$5=$C342,$E$5+$E342,0),2),2)&gt;0,ROUND(S341+R342-ROUND(Q$6+IF(Q$5=$C342,$E$5+$E342,0),2),2)&lt;=T342,ROUND(S341+R342-ROUND(Q$6+IF(Q$5=$C342,$E$5+$E342,0),2),2)*10&lt;=ROUND(Q$6+IF(Q$5=$C342,$E$5+$E342,0),2)),ROUND(S341+R342,2),MIN(ROUND(Q$6+IF(Q$5=$C342,$E$5+$E342,0),2),ROUND(S341+R342,2))),0)</f>
        <v>0</v>
      </c>
      <c r="R342" s="24">
        <f>IF(S341&gt;0,ROUND(ROUND(S341*100,0)*ROUND(Q$7*10000,0)/12000000,0)/100,0)</f>
        <v>0</v>
      </c>
      <c r="S342" s="24">
        <f>IF(S341&gt;0,ROUND(S341+R342-Q342,2),0)</f>
        <v>0</v>
      </c>
      <c r="T342" s="24">
        <f>IF(S341&gt;0,ROUND(T341+ROUND(ROUND(T341*100,0)*ROUND(Q$7*10000,0)/12000000,0)/100+0.02,2),0)</f>
        <v>0</v>
      </c>
      <c r="U342" s="24">
        <f>IF(W341&gt;0,IF(AND(ROUND(W341+V342-ROUND(U$6+IF(U$5=$C342,$E$5+$E342,0),2),2)&gt;0,ROUND(W341+V342-ROUND(U$6+IF(U$5=$C342,$E$5+$E342,0),2),2)&lt;=X342,ROUND(W341+V342-ROUND(U$6+IF(U$5=$C342,$E$5+$E342,0),2),2)*10&lt;=ROUND(U$6+IF(U$5=$C342,$E$5+$E342,0),2)),ROUND(W341+V342,2),MIN(ROUND(U$6+IF(U$5=$C342,$E$5+$E342,0),2),ROUND(W341+V342,2))),0)</f>
        <v>0</v>
      </c>
      <c r="V342" s="24">
        <f>IF(W341&gt;0,ROUND(ROUND(W341*100,0)*ROUND(U$7*10000,0)/12000000,0)/100,0)</f>
        <v>0</v>
      </c>
      <c r="W342" s="24">
        <f>IF(W341&gt;0,ROUND(W341+V342-U342,2),0)</f>
        <v>0</v>
      </c>
      <c r="X342" s="24">
        <f>IF(W341&gt;0,ROUND(X341+ROUND(ROUND(X341*100,0)*ROUND(U$7*10000,0)/12000000,0)/100+0.02,2),0)</f>
        <v>0</v>
      </c>
      <c r="Y342" s="24">
        <f>IF(AA341&gt;0,IF(AND(ROUND(AA341+Z342-ROUND(Y$6+IF(Y$5=$C342,$E$5+$E342,0),2),2)&gt;0,ROUND(AA341+Z342-ROUND(Y$6+IF(Y$5=$C342,$E$5+$E342,0),2),2)&lt;=AB342,ROUND(AA341+Z342-ROUND(Y$6+IF(Y$5=$C342,$E$5+$E342,0),2),2)*10&lt;=ROUND(Y$6+IF(Y$5=$C342,$E$5+$E342,0),2)),ROUND(AA341+Z342,2),MIN(ROUND(Y$6+IF(Y$5=$C342,$E$5+$E342,0),2),ROUND(AA341+Z342,2))),0)</f>
        <v>0</v>
      </c>
      <c r="Z342" s="24">
        <f>IF(AA341&gt;0,ROUND(ROUND(AA341*100,0)*ROUND(Y$7*10000,0)/12000000,0)/100,0)</f>
        <v>0</v>
      </c>
      <c r="AA342" s="24">
        <f>IF(AA341&gt;0,ROUND(AA341+Z342-Y342,2),0)</f>
        <v>0</v>
      </c>
      <c r="AB342" s="24">
        <f>IF(AA341&gt;0,ROUND(AB341+ROUND(ROUND(AB341*100,0)*ROUND(Y$7*10000,0)/12000000,0)/100+0.02,2),0)</f>
        <v>0</v>
      </c>
      <c r="AC342" s="24">
        <f>IF(AE341&gt;0,IF(AND(ROUND(AE341+AD342-ROUND(AC$6+IF(AC$5=$C342,$E$5+$E342,0),2),2)&gt;0,ROUND(AE341+AD342-ROUND(AC$6+IF(AC$5=$C342,$E$5+$E342,0),2),2)&lt;=AF342,ROUND(AE341+AD342-ROUND(AC$6+IF(AC$5=$C342,$E$5+$E342,0),2),2)*10&lt;=ROUND(AC$6+IF(AC$5=$C342,$E$5+$E342,0),2)),ROUND(AE341+AD342,2),MIN(ROUND(AC$6+IF(AC$5=$C342,$E$5+$E342,0),2),ROUND(AE341+AD342,2))),0)</f>
        <v>0</v>
      </c>
      <c r="AD342" s="24">
        <f>IF(AE341&gt;0,ROUND(ROUND(AE341*100,0)*ROUND(AC$7*10000,0)/12000000,0)/100,0)</f>
        <v>0</v>
      </c>
      <c r="AE342" s="24">
        <f>IF(AE341&gt;0,ROUND(AE341+AD342-AC342,2),0)</f>
        <v>0</v>
      </c>
      <c r="AF342" s="24">
        <f>IF(AE341&gt;0,ROUND(AF341+ROUND(ROUND(AF341*100,0)*ROUND(AC$7*10000,0)/12000000,0)/100+0.02,2),0)</f>
        <v>0</v>
      </c>
      <c r="AG342" s="24">
        <f>IF(AI341&gt;0,IF(AND(ROUND(AI341+AH342-ROUND(AG$6+IF(AG$5=$C342,$E$5+$E342,0),2),2)&gt;0,ROUND(AI341+AH342-ROUND(AG$6+IF(AG$5=$C342,$E$5+$E342,0),2),2)&lt;=AJ342,ROUND(AI341+AH342-ROUND(AG$6+IF(AG$5=$C342,$E$5+$E342,0),2),2)*10&lt;=ROUND(AG$6+IF(AG$5=$C342,$E$5+$E342,0),2)),ROUND(AI341+AH342,2),MIN(ROUND(AG$6+IF(AG$5=$C342,$E$5+$E342,0),2),ROUND(AI341+AH342,2))),0)</f>
        <v>0</v>
      </c>
      <c r="AH342" s="24">
        <f>IF(AI341&gt;0,ROUND(ROUND(AI341*100,0)*ROUND(AG$7*10000,0)/12000000,0)/100,0)</f>
        <v>0</v>
      </c>
      <c r="AI342" s="24">
        <f>IF(AI341&gt;0,ROUND(AI341+AH342-AG342,2),0)</f>
        <v>0</v>
      </c>
      <c r="AJ342" s="24">
        <f>IF(AI341&gt;0,ROUND(AJ341+ROUND(ROUND(AJ341*100,0)*ROUND(AG$7*10000,0)/12000000,0)/100+0.02,2),0)</f>
        <v>0</v>
      </c>
      <c r="AK342" s="24">
        <f>IF(AM341&gt;0,IF(AND(ROUND(AM341+AL342-ROUND(AK$6+IF(AK$5=$C342,$E$5+$E342,0),2),2)&gt;0,ROUND(AM341+AL342-ROUND(AK$6+IF(AK$5=$C342,$E$5+$E342,0),2),2)&lt;=AN342,ROUND(AM341+AL342-ROUND(AK$6+IF(AK$5=$C342,$E$5+$E342,0),2),2)*10&lt;=ROUND(AK$6+IF(AK$5=$C342,$E$5+$E342,0),2)),ROUND(AM341+AL342,2),MIN(ROUND(AK$6+IF(AK$5=$C342,$E$5+$E342,0),2),ROUND(AM341+AL342,2))),0)</f>
        <v>0</v>
      </c>
      <c r="AL342" s="24">
        <f>IF(AM341&gt;0,ROUND(ROUND(AM341*100,0)*ROUND(AK$7*10000,0)/12000000,0)/100,0)</f>
        <v>0</v>
      </c>
      <c r="AM342" s="24">
        <f>IF(AM341&gt;0,ROUND(AM341+AL342-AK342,2),0)</f>
        <v>0</v>
      </c>
      <c r="AN342" s="24">
        <f>IF(AM341&gt;0,ROUND(AN341+ROUND(ROUND(AN341*100,0)*ROUND(AK$7*10000,0)/12000000,0)/100+0.02,2),0)</f>
        <v>0</v>
      </c>
      <c r="AO342" s="24">
        <f>IF(AQ341&gt;0,IF(AND(ROUND(AQ341+AP342-ROUND(AO$6+IF(AO$5=$C342,$E$5+$E342,0),2),2)&gt;0,ROUND(AQ341+AP342-ROUND(AO$6+IF(AO$5=$C342,$E$5+$E342,0),2),2)&lt;=AR342,ROUND(AQ341+AP342-ROUND(AO$6+IF(AO$5=$C342,$E$5+$E342,0),2),2)*10&lt;=ROUND(AO$6+IF(AO$5=$C342,$E$5+$E342,0),2)),ROUND(AQ341+AP342,2),MIN(ROUND(AO$6+IF(AO$5=$C342,$E$5+$E342,0),2),ROUND(AQ341+AP342,2))),0)</f>
        <v>0</v>
      </c>
      <c r="AP342" s="24">
        <f>IF(AQ341&gt;0,ROUND(ROUND(AQ341*100,0)*ROUND(AO$7*10000,0)/12000000,0)/100,0)</f>
        <v>0</v>
      </c>
      <c r="AQ342" s="24">
        <f>IF(AQ341&gt;0,ROUND(AQ341+AP342-AO342,2),0)</f>
        <v>0</v>
      </c>
      <c r="AR342" s="24">
        <f>IF(AQ341&gt;0,ROUND(AR341+ROUND(ROUND(AR341*100,0)*ROUND(AO$7*10000,0)/12000000,0)/100+0.02,2),0)</f>
        <v>0</v>
      </c>
      <c r="AS342" s="24">
        <f>IF(AU341&gt;0,IF(AND(ROUND(AU341+AT342-ROUND(AS$6+IF(AS$5=$C342,$E$5+$E342,0),2),2)&gt;0,ROUND(AU341+AT342-ROUND(AS$6+IF(AS$5=$C342,$E$5+$E342,0),2),2)&lt;=AV342,ROUND(AU341+AT342-ROUND(AS$6+IF(AS$5=$C342,$E$5+$E342,0),2),2)*10&lt;=ROUND(AS$6+IF(AS$5=$C342,$E$5+$E342,0),2)),ROUND(AU341+AT342,2),MIN(ROUND(AS$6+IF(AS$5=$C342,$E$5+$E342,0),2),ROUND(AU341+AT342,2))),0)</f>
        <v>0</v>
      </c>
      <c r="AT342" s="24">
        <f>IF(AU341&gt;0,ROUND(ROUND(AU341*100,0)*ROUND(AS$7*10000,0)/12000000,0)/100,0)</f>
        <v>0</v>
      </c>
      <c r="AU342" s="24">
        <f>IF(AU341&gt;0,ROUND(AU341+AT342-AS342,2),0)</f>
        <v>0</v>
      </c>
      <c r="AV342" s="24">
        <f>IF(AU341&gt;0,ROUND(AV341+ROUND(ROUND(AV341*100,0)*ROUND(AS$7*10000,0)/12000000,0)/100+0.02,2),0)</f>
        <v>0</v>
      </c>
    </row>
    <row r="343" spans="1:48" x14ac:dyDescent="0.25">
      <c r="A343" s="17" t="str">
        <f>IF(F343&gt;0,333,"")</f>
        <v/>
      </c>
      <c r="B343" s="18" t="str">
        <f>IF(F343&gt;0,EDATE($E$6,333),"")</f>
        <v/>
      </c>
      <c r="C343" s="21">
        <f>IF(H342&gt;0,MIN(IF(K342&gt;0,I$5,99),IF(O342&gt;0,M$5,99),IF(S342&gt;0,Q$5,99),IF(W342&gt;0,U$5,99),IF(AA342&gt;0,Y$5,99),IF(AE342&gt;0,AC$5,99),IF(AI342&gt;0,AG$5,99),IF(AM342&gt;0,AK$5,99),IF(AQ342&gt;0,AO$5,99),IF(AU342&gt;0,AS$5,99)),0)</f>
        <v>0</v>
      </c>
      <c r="D343" t="str">
        <f>IF(C343&gt;0,INDEX($I$4:$AV$4,1,MATCH(C343,$I$5:$AV$5,0)),"")</f>
        <v/>
      </c>
      <c r="E343" s="24">
        <f>ROUND(IF(AND(I$8&gt;0,K342=0),I$6,0)+IF(AND(M$8&gt;0,O342=0),M$6,0)+IF(AND(Q$8&gt;0,S342=0),Q$6,0)+IF(AND(U$8&gt;0,W342=0),U$6,0)+IF(AND(Y$8&gt;0,AA342=0),Y$6,0)+IF(AND(AC$8&gt;0,AE342=0),AC$6,0)+IF(AND(AG$8&gt;0,AI342=0),AG$6,0)+IF(AND(AK$8&gt;0,AM342=0),AK$6,0)+IF(AND(AO$8&gt;0,AQ342=0),AO$6,0)+IF(AND(AS$8&gt;0,AU342=0),AS$6,0),2)</f>
        <v>325</v>
      </c>
      <c r="F343" s="24">
        <f>ROUND(I343+M343+Q343+U343+Y343+AC343+AG343+AK343+AO343+AS343,2)</f>
        <v>0</v>
      </c>
      <c r="G343" s="24">
        <f>ROUND(J343+N343+R343+V343+Z343+AD343+AH343+AL343+AP343+AT343,2)</f>
        <v>0</v>
      </c>
      <c r="H343" s="24">
        <f>ROUND(K343+O343+S343+W343+AA343+AE343+AI343+AM343+AQ343+AU343,2)</f>
        <v>0</v>
      </c>
      <c r="I343" s="24">
        <f>IF(K342&gt;0,IF(AND(ROUND(K342+J343-ROUND(I$6+IF(I$5=$C343,$E$5+$E343,0),2),2)&gt;0,ROUND(K342+J343-ROUND(I$6+IF(I$5=$C343,$E$5+$E343,0),2),2)&lt;=L343,ROUND(K342+J343-ROUND(I$6+IF(I$5=$C343,$E$5+$E343,0),2),2)*10&lt;=ROUND(I$6+IF(I$5=$C343,$E$5+$E343,0),2)),ROUND(K342+J343,2),MIN(ROUND(I$6+IF(I$5=$C343,$E$5+$E343,0),2),ROUND(K342+J343,2))),0)</f>
        <v>0</v>
      </c>
      <c r="J343" s="24">
        <f>IF(K342&gt;0,ROUND(ROUND(K342*100,0)*ROUND(I$7*10000,0)/12000000,0)/100,0)</f>
        <v>0</v>
      </c>
      <c r="K343" s="24">
        <f>IF(K342&gt;0,ROUND(K342+J343-I343,2),0)</f>
        <v>0</v>
      </c>
      <c r="L343" s="24">
        <f>IF(K342&gt;0,ROUND(L342+ROUND(ROUND(L342*100,0)*ROUND(I$7*10000,0)/12000000,0)/100+0.02,2),0)</f>
        <v>0</v>
      </c>
      <c r="M343" s="24">
        <f>IF(O342&gt;0,IF(AND(ROUND(O342+N343-ROUND(M$6+IF(M$5=$C343,$E$5+$E343,0),2),2)&gt;0,ROUND(O342+N343-ROUND(M$6+IF(M$5=$C343,$E$5+$E343,0),2),2)&lt;=P343,ROUND(O342+N343-ROUND(M$6+IF(M$5=$C343,$E$5+$E343,0),2),2)*10&lt;=ROUND(M$6+IF(M$5=$C343,$E$5+$E343,0),2)),ROUND(O342+N343,2),MIN(ROUND(M$6+IF(M$5=$C343,$E$5+$E343,0),2),ROUND(O342+N343,2))),0)</f>
        <v>0</v>
      </c>
      <c r="N343" s="24">
        <f>IF(O342&gt;0,ROUND(ROUND(O342*100,0)*ROUND(M$7*10000,0)/12000000,0)/100,0)</f>
        <v>0</v>
      </c>
      <c r="O343" s="24">
        <f>IF(O342&gt;0,ROUND(O342+N343-M343,2),0)</f>
        <v>0</v>
      </c>
      <c r="P343" s="24">
        <f>IF(O342&gt;0,ROUND(P342+ROUND(ROUND(P342*100,0)*ROUND(M$7*10000,0)/12000000,0)/100+0.02,2),0)</f>
        <v>0</v>
      </c>
      <c r="Q343" s="24">
        <f>IF(S342&gt;0,IF(AND(ROUND(S342+R343-ROUND(Q$6+IF(Q$5=$C343,$E$5+$E343,0),2),2)&gt;0,ROUND(S342+R343-ROUND(Q$6+IF(Q$5=$C343,$E$5+$E343,0),2),2)&lt;=T343,ROUND(S342+R343-ROUND(Q$6+IF(Q$5=$C343,$E$5+$E343,0),2),2)*10&lt;=ROUND(Q$6+IF(Q$5=$C343,$E$5+$E343,0),2)),ROUND(S342+R343,2),MIN(ROUND(Q$6+IF(Q$5=$C343,$E$5+$E343,0),2),ROUND(S342+R343,2))),0)</f>
        <v>0</v>
      </c>
      <c r="R343" s="24">
        <f>IF(S342&gt;0,ROUND(ROUND(S342*100,0)*ROUND(Q$7*10000,0)/12000000,0)/100,0)</f>
        <v>0</v>
      </c>
      <c r="S343" s="24">
        <f>IF(S342&gt;0,ROUND(S342+R343-Q343,2),0)</f>
        <v>0</v>
      </c>
      <c r="T343" s="24">
        <f>IF(S342&gt;0,ROUND(T342+ROUND(ROUND(T342*100,0)*ROUND(Q$7*10000,0)/12000000,0)/100+0.02,2),0)</f>
        <v>0</v>
      </c>
      <c r="U343" s="24">
        <f>IF(W342&gt;0,IF(AND(ROUND(W342+V343-ROUND(U$6+IF(U$5=$C343,$E$5+$E343,0),2),2)&gt;0,ROUND(W342+V343-ROUND(U$6+IF(U$5=$C343,$E$5+$E343,0),2),2)&lt;=X343,ROUND(W342+V343-ROUND(U$6+IF(U$5=$C343,$E$5+$E343,0),2),2)*10&lt;=ROUND(U$6+IF(U$5=$C343,$E$5+$E343,0),2)),ROUND(W342+V343,2),MIN(ROUND(U$6+IF(U$5=$C343,$E$5+$E343,0),2),ROUND(W342+V343,2))),0)</f>
        <v>0</v>
      </c>
      <c r="V343" s="24">
        <f>IF(W342&gt;0,ROUND(ROUND(W342*100,0)*ROUND(U$7*10000,0)/12000000,0)/100,0)</f>
        <v>0</v>
      </c>
      <c r="W343" s="24">
        <f>IF(W342&gt;0,ROUND(W342+V343-U343,2),0)</f>
        <v>0</v>
      </c>
      <c r="X343" s="24">
        <f>IF(W342&gt;0,ROUND(X342+ROUND(ROUND(X342*100,0)*ROUND(U$7*10000,0)/12000000,0)/100+0.02,2),0)</f>
        <v>0</v>
      </c>
      <c r="Y343" s="24">
        <f>IF(AA342&gt;0,IF(AND(ROUND(AA342+Z343-ROUND(Y$6+IF(Y$5=$C343,$E$5+$E343,0),2),2)&gt;0,ROUND(AA342+Z343-ROUND(Y$6+IF(Y$5=$C343,$E$5+$E343,0),2),2)&lt;=AB343,ROUND(AA342+Z343-ROUND(Y$6+IF(Y$5=$C343,$E$5+$E343,0),2),2)*10&lt;=ROUND(Y$6+IF(Y$5=$C343,$E$5+$E343,0),2)),ROUND(AA342+Z343,2),MIN(ROUND(Y$6+IF(Y$5=$C343,$E$5+$E343,0),2),ROUND(AA342+Z343,2))),0)</f>
        <v>0</v>
      </c>
      <c r="Z343" s="24">
        <f>IF(AA342&gt;0,ROUND(ROUND(AA342*100,0)*ROUND(Y$7*10000,0)/12000000,0)/100,0)</f>
        <v>0</v>
      </c>
      <c r="AA343" s="24">
        <f>IF(AA342&gt;0,ROUND(AA342+Z343-Y343,2),0)</f>
        <v>0</v>
      </c>
      <c r="AB343" s="24">
        <f>IF(AA342&gt;0,ROUND(AB342+ROUND(ROUND(AB342*100,0)*ROUND(Y$7*10000,0)/12000000,0)/100+0.02,2),0)</f>
        <v>0</v>
      </c>
      <c r="AC343" s="24">
        <f>IF(AE342&gt;0,IF(AND(ROUND(AE342+AD343-ROUND(AC$6+IF(AC$5=$C343,$E$5+$E343,0),2),2)&gt;0,ROUND(AE342+AD343-ROUND(AC$6+IF(AC$5=$C343,$E$5+$E343,0),2),2)&lt;=AF343,ROUND(AE342+AD343-ROUND(AC$6+IF(AC$5=$C343,$E$5+$E343,0),2),2)*10&lt;=ROUND(AC$6+IF(AC$5=$C343,$E$5+$E343,0),2)),ROUND(AE342+AD343,2),MIN(ROUND(AC$6+IF(AC$5=$C343,$E$5+$E343,0),2),ROUND(AE342+AD343,2))),0)</f>
        <v>0</v>
      </c>
      <c r="AD343" s="24">
        <f>IF(AE342&gt;0,ROUND(ROUND(AE342*100,0)*ROUND(AC$7*10000,0)/12000000,0)/100,0)</f>
        <v>0</v>
      </c>
      <c r="AE343" s="24">
        <f>IF(AE342&gt;0,ROUND(AE342+AD343-AC343,2),0)</f>
        <v>0</v>
      </c>
      <c r="AF343" s="24">
        <f>IF(AE342&gt;0,ROUND(AF342+ROUND(ROUND(AF342*100,0)*ROUND(AC$7*10000,0)/12000000,0)/100+0.02,2),0)</f>
        <v>0</v>
      </c>
      <c r="AG343" s="24">
        <f>IF(AI342&gt;0,IF(AND(ROUND(AI342+AH343-ROUND(AG$6+IF(AG$5=$C343,$E$5+$E343,0),2),2)&gt;0,ROUND(AI342+AH343-ROUND(AG$6+IF(AG$5=$C343,$E$5+$E343,0),2),2)&lt;=AJ343,ROUND(AI342+AH343-ROUND(AG$6+IF(AG$5=$C343,$E$5+$E343,0),2),2)*10&lt;=ROUND(AG$6+IF(AG$5=$C343,$E$5+$E343,0),2)),ROUND(AI342+AH343,2),MIN(ROUND(AG$6+IF(AG$5=$C343,$E$5+$E343,0),2),ROUND(AI342+AH343,2))),0)</f>
        <v>0</v>
      </c>
      <c r="AH343" s="24">
        <f>IF(AI342&gt;0,ROUND(ROUND(AI342*100,0)*ROUND(AG$7*10000,0)/12000000,0)/100,0)</f>
        <v>0</v>
      </c>
      <c r="AI343" s="24">
        <f>IF(AI342&gt;0,ROUND(AI342+AH343-AG343,2),0)</f>
        <v>0</v>
      </c>
      <c r="AJ343" s="24">
        <f>IF(AI342&gt;0,ROUND(AJ342+ROUND(ROUND(AJ342*100,0)*ROUND(AG$7*10000,0)/12000000,0)/100+0.02,2),0)</f>
        <v>0</v>
      </c>
      <c r="AK343" s="24">
        <f>IF(AM342&gt;0,IF(AND(ROUND(AM342+AL343-ROUND(AK$6+IF(AK$5=$C343,$E$5+$E343,0),2),2)&gt;0,ROUND(AM342+AL343-ROUND(AK$6+IF(AK$5=$C343,$E$5+$E343,0),2),2)&lt;=AN343,ROUND(AM342+AL343-ROUND(AK$6+IF(AK$5=$C343,$E$5+$E343,0),2),2)*10&lt;=ROUND(AK$6+IF(AK$5=$C343,$E$5+$E343,0),2)),ROUND(AM342+AL343,2),MIN(ROUND(AK$6+IF(AK$5=$C343,$E$5+$E343,0),2),ROUND(AM342+AL343,2))),0)</f>
        <v>0</v>
      </c>
      <c r="AL343" s="24">
        <f>IF(AM342&gt;0,ROUND(ROUND(AM342*100,0)*ROUND(AK$7*10000,0)/12000000,0)/100,0)</f>
        <v>0</v>
      </c>
      <c r="AM343" s="24">
        <f>IF(AM342&gt;0,ROUND(AM342+AL343-AK343,2),0)</f>
        <v>0</v>
      </c>
      <c r="AN343" s="24">
        <f>IF(AM342&gt;0,ROUND(AN342+ROUND(ROUND(AN342*100,0)*ROUND(AK$7*10000,0)/12000000,0)/100+0.02,2),0)</f>
        <v>0</v>
      </c>
      <c r="AO343" s="24">
        <f>IF(AQ342&gt;0,IF(AND(ROUND(AQ342+AP343-ROUND(AO$6+IF(AO$5=$C343,$E$5+$E343,0),2),2)&gt;0,ROUND(AQ342+AP343-ROUND(AO$6+IF(AO$5=$C343,$E$5+$E343,0),2),2)&lt;=AR343,ROUND(AQ342+AP343-ROUND(AO$6+IF(AO$5=$C343,$E$5+$E343,0),2),2)*10&lt;=ROUND(AO$6+IF(AO$5=$C343,$E$5+$E343,0),2)),ROUND(AQ342+AP343,2),MIN(ROUND(AO$6+IF(AO$5=$C343,$E$5+$E343,0),2),ROUND(AQ342+AP343,2))),0)</f>
        <v>0</v>
      </c>
      <c r="AP343" s="24">
        <f>IF(AQ342&gt;0,ROUND(ROUND(AQ342*100,0)*ROUND(AO$7*10000,0)/12000000,0)/100,0)</f>
        <v>0</v>
      </c>
      <c r="AQ343" s="24">
        <f>IF(AQ342&gt;0,ROUND(AQ342+AP343-AO343,2),0)</f>
        <v>0</v>
      </c>
      <c r="AR343" s="24">
        <f>IF(AQ342&gt;0,ROUND(AR342+ROUND(ROUND(AR342*100,0)*ROUND(AO$7*10000,0)/12000000,0)/100+0.02,2),0)</f>
        <v>0</v>
      </c>
      <c r="AS343" s="24">
        <f>IF(AU342&gt;0,IF(AND(ROUND(AU342+AT343-ROUND(AS$6+IF(AS$5=$C343,$E$5+$E343,0),2),2)&gt;0,ROUND(AU342+AT343-ROUND(AS$6+IF(AS$5=$C343,$E$5+$E343,0),2),2)&lt;=AV343,ROUND(AU342+AT343-ROUND(AS$6+IF(AS$5=$C343,$E$5+$E343,0),2),2)*10&lt;=ROUND(AS$6+IF(AS$5=$C343,$E$5+$E343,0),2)),ROUND(AU342+AT343,2),MIN(ROUND(AS$6+IF(AS$5=$C343,$E$5+$E343,0),2),ROUND(AU342+AT343,2))),0)</f>
        <v>0</v>
      </c>
      <c r="AT343" s="24">
        <f>IF(AU342&gt;0,ROUND(ROUND(AU342*100,0)*ROUND(AS$7*10000,0)/12000000,0)/100,0)</f>
        <v>0</v>
      </c>
      <c r="AU343" s="24">
        <f>IF(AU342&gt;0,ROUND(AU342+AT343-AS343,2),0)</f>
        <v>0</v>
      </c>
      <c r="AV343" s="24">
        <f>IF(AU342&gt;0,ROUND(AV342+ROUND(ROUND(AV342*100,0)*ROUND(AS$7*10000,0)/12000000,0)/100+0.02,2),0)</f>
        <v>0</v>
      </c>
    </row>
    <row r="344" spans="1:48" x14ac:dyDescent="0.25">
      <c r="A344" s="17" t="str">
        <f>IF(F344&gt;0,334,"")</f>
        <v/>
      </c>
      <c r="B344" s="18" t="str">
        <f>IF(F344&gt;0,EDATE($E$6,334),"")</f>
        <v/>
      </c>
      <c r="C344" s="21">
        <f>IF(H343&gt;0,MIN(IF(K343&gt;0,I$5,99),IF(O343&gt;0,M$5,99),IF(S343&gt;0,Q$5,99),IF(W343&gt;0,U$5,99),IF(AA343&gt;0,Y$5,99),IF(AE343&gt;0,AC$5,99),IF(AI343&gt;0,AG$5,99),IF(AM343&gt;0,AK$5,99),IF(AQ343&gt;0,AO$5,99),IF(AU343&gt;0,AS$5,99)),0)</f>
        <v>0</v>
      </c>
      <c r="D344" t="str">
        <f>IF(C344&gt;0,INDEX($I$4:$AV$4,1,MATCH(C344,$I$5:$AV$5,0)),"")</f>
        <v/>
      </c>
      <c r="E344" s="24">
        <f>ROUND(IF(AND(I$8&gt;0,K343=0),I$6,0)+IF(AND(M$8&gt;0,O343=0),M$6,0)+IF(AND(Q$8&gt;0,S343=0),Q$6,0)+IF(AND(U$8&gt;0,W343=0),U$6,0)+IF(AND(Y$8&gt;0,AA343=0),Y$6,0)+IF(AND(AC$8&gt;0,AE343=0),AC$6,0)+IF(AND(AG$8&gt;0,AI343=0),AG$6,0)+IF(AND(AK$8&gt;0,AM343=0),AK$6,0)+IF(AND(AO$8&gt;0,AQ343=0),AO$6,0)+IF(AND(AS$8&gt;0,AU343=0),AS$6,0),2)</f>
        <v>325</v>
      </c>
      <c r="F344" s="24">
        <f>ROUND(I344+M344+Q344+U344+Y344+AC344+AG344+AK344+AO344+AS344,2)</f>
        <v>0</v>
      </c>
      <c r="G344" s="24">
        <f>ROUND(J344+N344+R344+V344+Z344+AD344+AH344+AL344+AP344+AT344,2)</f>
        <v>0</v>
      </c>
      <c r="H344" s="24">
        <f>ROUND(K344+O344+S344+W344+AA344+AE344+AI344+AM344+AQ344+AU344,2)</f>
        <v>0</v>
      </c>
      <c r="I344" s="24">
        <f>IF(K343&gt;0,IF(AND(ROUND(K343+J344-ROUND(I$6+IF(I$5=$C344,$E$5+$E344,0),2),2)&gt;0,ROUND(K343+J344-ROUND(I$6+IF(I$5=$C344,$E$5+$E344,0),2),2)&lt;=L344,ROUND(K343+J344-ROUND(I$6+IF(I$5=$C344,$E$5+$E344,0),2),2)*10&lt;=ROUND(I$6+IF(I$5=$C344,$E$5+$E344,0),2)),ROUND(K343+J344,2),MIN(ROUND(I$6+IF(I$5=$C344,$E$5+$E344,0),2),ROUND(K343+J344,2))),0)</f>
        <v>0</v>
      </c>
      <c r="J344" s="24">
        <f>IF(K343&gt;0,ROUND(ROUND(K343*100,0)*ROUND(I$7*10000,0)/12000000,0)/100,0)</f>
        <v>0</v>
      </c>
      <c r="K344" s="24">
        <f>IF(K343&gt;0,ROUND(K343+J344-I344,2),0)</f>
        <v>0</v>
      </c>
      <c r="L344" s="24">
        <f>IF(K343&gt;0,ROUND(L343+ROUND(ROUND(L343*100,0)*ROUND(I$7*10000,0)/12000000,0)/100+0.02,2),0)</f>
        <v>0</v>
      </c>
      <c r="M344" s="24">
        <f>IF(O343&gt;0,IF(AND(ROUND(O343+N344-ROUND(M$6+IF(M$5=$C344,$E$5+$E344,0),2),2)&gt;0,ROUND(O343+N344-ROUND(M$6+IF(M$5=$C344,$E$5+$E344,0),2),2)&lt;=P344,ROUND(O343+N344-ROUND(M$6+IF(M$5=$C344,$E$5+$E344,0),2),2)*10&lt;=ROUND(M$6+IF(M$5=$C344,$E$5+$E344,0),2)),ROUND(O343+N344,2),MIN(ROUND(M$6+IF(M$5=$C344,$E$5+$E344,0),2),ROUND(O343+N344,2))),0)</f>
        <v>0</v>
      </c>
      <c r="N344" s="24">
        <f>IF(O343&gt;0,ROUND(ROUND(O343*100,0)*ROUND(M$7*10000,0)/12000000,0)/100,0)</f>
        <v>0</v>
      </c>
      <c r="O344" s="24">
        <f>IF(O343&gt;0,ROUND(O343+N344-M344,2),0)</f>
        <v>0</v>
      </c>
      <c r="P344" s="24">
        <f>IF(O343&gt;0,ROUND(P343+ROUND(ROUND(P343*100,0)*ROUND(M$7*10000,0)/12000000,0)/100+0.02,2),0)</f>
        <v>0</v>
      </c>
      <c r="Q344" s="24">
        <f>IF(S343&gt;0,IF(AND(ROUND(S343+R344-ROUND(Q$6+IF(Q$5=$C344,$E$5+$E344,0),2),2)&gt;0,ROUND(S343+R344-ROUND(Q$6+IF(Q$5=$C344,$E$5+$E344,0),2),2)&lt;=T344,ROUND(S343+R344-ROUND(Q$6+IF(Q$5=$C344,$E$5+$E344,0),2),2)*10&lt;=ROUND(Q$6+IF(Q$5=$C344,$E$5+$E344,0),2)),ROUND(S343+R344,2),MIN(ROUND(Q$6+IF(Q$5=$C344,$E$5+$E344,0),2),ROUND(S343+R344,2))),0)</f>
        <v>0</v>
      </c>
      <c r="R344" s="24">
        <f>IF(S343&gt;0,ROUND(ROUND(S343*100,0)*ROUND(Q$7*10000,0)/12000000,0)/100,0)</f>
        <v>0</v>
      </c>
      <c r="S344" s="24">
        <f>IF(S343&gt;0,ROUND(S343+R344-Q344,2),0)</f>
        <v>0</v>
      </c>
      <c r="T344" s="24">
        <f>IF(S343&gt;0,ROUND(T343+ROUND(ROUND(T343*100,0)*ROUND(Q$7*10000,0)/12000000,0)/100+0.02,2),0)</f>
        <v>0</v>
      </c>
      <c r="U344" s="24">
        <f>IF(W343&gt;0,IF(AND(ROUND(W343+V344-ROUND(U$6+IF(U$5=$C344,$E$5+$E344,0),2),2)&gt;0,ROUND(W343+V344-ROUND(U$6+IF(U$5=$C344,$E$5+$E344,0),2),2)&lt;=X344,ROUND(W343+V344-ROUND(U$6+IF(U$5=$C344,$E$5+$E344,0),2),2)*10&lt;=ROUND(U$6+IF(U$5=$C344,$E$5+$E344,0),2)),ROUND(W343+V344,2),MIN(ROUND(U$6+IF(U$5=$C344,$E$5+$E344,0),2),ROUND(W343+V344,2))),0)</f>
        <v>0</v>
      </c>
      <c r="V344" s="24">
        <f>IF(W343&gt;0,ROUND(ROUND(W343*100,0)*ROUND(U$7*10000,0)/12000000,0)/100,0)</f>
        <v>0</v>
      </c>
      <c r="W344" s="24">
        <f>IF(W343&gt;0,ROUND(W343+V344-U344,2),0)</f>
        <v>0</v>
      </c>
      <c r="X344" s="24">
        <f>IF(W343&gt;0,ROUND(X343+ROUND(ROUND(X343*100,0)*ROUND(U$7*10000,0)/12000000,0)/100+0.02,2),0)</f>
        <v>0</v>
      </c>
      <c r="Y344" s="24">
        <f>IF(AA343&gt;0,IF(AND(ROUND(AA343+Z344-ROUND(Y$6+IF(Y$5=$C344,$E$5+$E344,0),2),2)&gt;0,ROUND(AA343+Z344-ROUND(Y$6+IF(Y$5=$C344,$E$5+$E344,0),2),2)&lt;=AB344,ROUND(AA343+Z344-ROUND(Y$6+IF(Y$5=$C344,$E$5+$E344,0),2),2)*10&lt;=ROUND(Y$6+IF(Y$5=$C344,$E$5+$E344,0),2)),ROUND(AA343+Z344,2),MIN(ROUND(Y$6+IF(Y$5=$C344,$E$5+$E344,0),2),ROUND(AA343+Z344,2))),0)</f>
        <v>0</v>
      </c>
      <c r="Z344" s="24">
        <f>IF(AA343&gt;0,ROUND(ROUND(AA343*100,0)*ROUND(Y$7*10000,0)/12000000,0)/100,0)</f>
        <v>0</v>
      </c>
      <c r="AA344" s="24">
        <f>IF(AA343&gt;0,ROUND(AA343+Z344-Y344,2),0)</f>
        <v>0</v>
      </c>
      <c r="AB344" s="24">
        <f>IF(AA343&gt;0,ROUND(AB343+ROUND(ROUND(AB343*100,0)*ROUND(Y$7*10000,0)/12000000,0)/100+0.02,2),0)</f>
        <v>0</v>
      </c>
      <c r="AC344" s="24">
        <f>IF(AE343&gt;0,IF(AND(ROUND(AE343+AD344-ROUND(AC$6+IF(AC$5=$C344,$E$5+$E344,0),2),2)&gt;0,ROUND(AE343+AD344-ROUND(AC$6+IF(AC$5=$C344,$E$5+$E344,0),2),2)&lt;=AF344,ROUND(AE343+AD344-ROUND(AC$6+IF(AC$5=$C344,$E$5+$E344,0),2),2)*10&lt;=ROUND(AC$6+IF(AC$5=$C344,$E$5+$E344,0),2)),ROUND(AE343+AD344,2),MIN(ROUND(AC$6+IF(AC$5=$C344,$E$5+$E344,0),2),ROUND(AE343+AD344,2))),0)</f>
        <v>0</v>
      </c>
      <c r="AD344" s="24">
        <f>IF(AE343&gt;0,ROUND(ROUND(AE343*100,0)*ROUND(AC$7*10000,0)/12000000,0)/100,0)</f>
        <v>0</v>
      </c>
      <c r="AE344" s="24">
        <f>IF(AE343&gt;0,ROUND(AE343+AD344-AC344,2),0)</f>
        <v>0</v>
      </c>
      <c r="AF344" s="24">
        <f>IF(AE343&gt;0,ROUND(AF343+ROUND(ROUND(AF343*100,0)*ROUND(AC$7*10000,0)/12000000,0)/100+0.02,2),0)</f>
        <v>0</v>
      </c>
      <c r="AG344" s="24">
        <f>IF(AI343&gt;0,IF(AND(ROUND(AI343+AH344-ROUND(AG$6+IF(AG$5=$C344,$E$5+$E344,0),2),2)&gt;0,ROUND(AI343+AH344-ROUND(AG$6+IF(AG$5=$C344,$E$5+$E344,0),2),2)&lt;=AJ344,ROUND(AI343+AH344-ROUND(AG$6+IF(AG$5=$C344,$E$5+$E344,0),2),2)*10&lt;=ROUND(AG$6+IF(AG$5=$C344,$E$5+$E344,0),2)),ROUND(AI343+AH344,2),MIN(ROUND(AG$6+IF(AG$5=$C344,$E$5+$E344,0),2),ROUND(AI343+AH344,2))),0)</f>
        <v>0</v>
      </c>
      <c r="AH344" s="24">
        <f>IF(AI343&gt;0,ROUND(ROUND(AI343*100,0)*ROUND(AG$7*10000,0)/12000000,0)/100,0)</f>
        <v>0</v>
      </c>
      <c r="AI344" s="24">
        <f>IF(AI343&gt;0,ROUND(AI343+AH344-AG344,2),0)</f>
        <v>0</v>
      </c>
      <c r="AJ344" s="24">
        <f>IF(AI343&gt;0,ROUND(AJ343+ROUND(ROUND(AJ343*100,0)*ROUND(AG$7*10000,0)/12000000,0)/100+0.02,2),0)</f>
        <v>0</v>
      </c>
      <c r="AK344" s="24">
        <f>IF(AM343&gt;0,IF(AND(ROUND(AM343+AL344-ROUND(AK$6+IF(AK$5=$C344,$E$5+$E344,0),2),2)&gt;0,ROUND(AM343+AL344-ROUND(AK$6+IF(AK$5=$C344,$E$5+$E344,0),2),2)&lt;=AN344,ROUND(AM343+AL344-ROUND(AK$6+IF(AK$5=$C344,$E$5+$E344,0),2),2)*10&lt;=ROUND(AK$6+IF(AK$5=$C344,$E$5+$E344,0),2)),ROUND(AM343+AL344,2),MIN(ROUND(AK$6+IF(AK$5=$C344,$E$5+$E344,0),2),ROUND(AM343+AL344,2))),0)</f>
        <v>0</v>
      </c>
      <c r="AL344" s="24">
        <f>IF(AM343&gt;0,ROUND(ROUND(AM343*100,0)*ROUND(AK$7*10000,0)/12000000,0)/100,0)</f>
        <v>0</v>
      </c>
      <c r="AM344" s="24">
        <f>IF(AM343&gt;0,ROUND(AM343+AL344-AK344,2),0)</f>
        <v>0</v>
      </c>
      <c r="AN344" s="24">
        <f>IF(AM343&gt;0,ROUND(AN343+ROUND(ROUND(AN343*100,0)*ROUND(AK$7*10000,0)/12000000,0)/100+0.02,2),0)</f>
        <v>0</v>
      </c>
      <c r="AO344" s="24">
        <f>IF(AQ343&gt;0,IF(AND(ROUND(AQ343+AP344-ROUND(AO$6+IF(AO$5=$C344,$E$5+$E344,0),2),2)&gt;0,ROUND(AQ343+AP344-ROUND(AO$6+IF(AO$5=$C344,$E$5+$E344,0),2),2)&lt;=AR344,ROUND(AQ343+AP344-ROUND(AO$6+IF(AO$5=$C344,$E$5+$E344,0),2),2)*10&lt;=ROUND(AO$6+IF(AO$5=$C344,$E$5+$E344,0),2)),ROUND(AQ343+AP344,2),MIN(ROUND(AO$6+IF(AO$5=$C344,$E$5+$E344,0),2),ROUND(AQ343+AP344,2))),0)</f>
        <v>0</v>
      </c>
      <c r="AP344" s="24">
        <f>IF(AQ343&gt;0,ROUND(ROUND(AQ343*100,0)*ROUND(AO$7*10000,0)/12000000,0)/100,0)</f>
        <v>0</v>
      </c>
      <c r="AQ344" s="24">
        <f>IF(AQ343&gt;0,ROUND(AQ343+AP344-AO344,2),0)</f>
        <v>0</v>
      </c>
      <c r="AR344" s="24">
        <f>IF(AQ343&gt;0,ROUND(AR343+ROUND(ROUND(AR343*100,0)*ROUND(AO$7*10000,0)/12000000,0)/100+0.02,2),0)</f>
        <v>0</v>
      </c>
      <c r="AS344" s="24">
        <f>IF(AU343&gt;0,IF(AND(ROUND(AU343+AT344-ROUND(AS$6+IF(AS$5=$C344,$E$5+$E344,0),2),2)&gt;0,ROUND(AU343+AT344-ROUND(AS$6+IF(AS$5=$C344,$E$5+$E344,0),2),2)&lt;=AV344,ROUND(AU343+AT344-ROUND(AS$6+IF(AS$5=$C344,$E$5+$E344,0),2),2)*10&lt;=ROUND(AS$6+IF(AS$5=$C344,$E$5+$E344,0),2)),ROUND(AU343+AT344,2),MIN(ROUND(AS$6+IF(AS$5=$C344,$E$5+$E344,0),2),ROUND(AU343+AT344,2))),0)</f>
        <v>0</v>
      </c>
      <c r="AT344" s="24">
        <f>IF(AU343&gt;0,ROUND(ROUND(AU343*100,0)*ROUND(AS$7*10000,0)/12000000,0)/100,0)</f>
        <v>0</v>
      </c>
      <c r="AU344" s="24">
        <f>IF(AU343&gt;0,ROUND(AU343+AT344-AS344,2),0)</f>
        <v>0</v>
      </c>
      <c r="AV344" s="24">
        <f>IF(AU343&gt;0,ROUND(AV343+ROUND(ROUND(AV343*100,0)*ROUND(AS$7*10000,0)/12000000,0)/100+0.02,2),0)</f>
        <v>0</v>
      </c>
    </row>
    <row r="345" spans="1:48" x14ac:dyDescent="0.25">
      <c r="A345" s="17" t="str">
        <f>IF(F345&gt;0,335,"")</f>
        <v/>
      </c>
      <c r="B345" s="18" t="str">
        <f>IF(F345&gt;0,EDATE($E$6,335),"")</f>
        <v/>
      </c>
      <c r="C345" s="21">
        <f>IF(H344&gt;0,MIN(IF(K344&gt;0,I$5,99),IF(O344&gt;0,M$5,99),IF(S344&gt;0,Q$5,99),IF(W344&gt;0,U$5,99),IF(AA344&gt;0,Y$5,99),IF(AE344&gt;0,AC$5,99),IF(AI344&gt;0,AG$5,99),IF(AM344&gt;0,AK$5,99),IF(AQ344&gt;0,AO$5,99),IF(AU344&gt;0,AS$5,99)),0)</f>
        <v>0</v>
      </c>
      <c r="D345" t="str">
        <f>IF(C345&gt;0,INDEX($I$4:$AV$4,1,MATCH(C345,$I$5:$AV$5,0)),"")</f>
        <v/>
      </c>
      <c r="E345" s="24">
        <f>ROUND(IF(AND(I$8&gt;0,K344=0),I$6,0)+IF(AND(M$8&gt;0,O344=0),M$6,0)+IF(AND(Q$8&gt;0,S344=0),Q$6,0)+IF(AND(U$8&gt;0,W344=0),U$6,0)+IF(AND(Y$8&gt;0,AA344=0),Y$6,0)+IF(AND(AC$8&gt;0,AE344=0),AC$6,0)+IF(AND(AG$8&gt;0,AI344=0),AG$6,0)+IF(AND(AK$8&gt;0,AM344=0),AK$6,0)+IF(AND(AO$8&gt;0,AQ344=0),AO$6,0)+IF(AND(AS$8&gt;0,AU344=0),AS$6,0),2)</f>
        <v>325</v>
      </c>
      <c r="F345" s="24">
        <f>ROUND(I345+M345+Q345+U345+Y345+AC345+AG345+AK345+AO345+AS345,2)</f>
        <v>0</v>
      </c>
      <c r="G345" s="24">
        <f>ROUND(J345+N345+R345+V345+Z345+AD345+AH345+AL345+AP345+AT345,2)</f>
        <v>0</v>
      </c>
      <c r="H345" s="24">
        <f>ROUND(K345+O345+S345+W345+AA345+AE345+AI345+AM345+AQ345+AU345,2)</f>
        <v>0</v>
      </c>
      <c r="I345" s="24">
        <f>IF(K344&gt;0,IF(AND(ROUND(K344+J345-ROUND(I$6+IF(I$5=$C345,$E$5+$E345,0),2),2)&gt;0,ROUND(K344+J345-ROUND(I$6+IF(I$5=$C345,$E$5+$E345,0),2),2)&lt;=L345,ROUND(K344+J345-ROUND(I$6+IF(I$5=$C345,$E$5+$E345,0),2),2)*10&lt;=ROUND(I$6+IF(I$5=$C345,$E$5+$E345,0),2)),ROUND(K344+J345,2),MIN(ROUND(I$6+IF(I$5=$C345,$E$5+$E345,0),2),ROUND(K344+J345,2))),0)</f>
        <v>0</v>
      </c>
      <c r="J345" s="24">
        <f>IF(K344&gt;0,ROUND(ROUND(K344*100,0)*ROUND(I$7*10000,0)/12000000,0)/100,0)</f>
        <v>0</v>
      </c>
      <c r="K345" s="24">
        <f>IF(K344&gt;0,ROUND(K344+J345-I345,2),0)</f>
        <v>0</v>
      </c>
      <c r="L345" s="24">
        <f>IF(K344&gt;0,ROUND(L344+ROUND(ROUND(L344*100,0)*ROUND(I$7*10000,0)/12000000,0)/100+0.02,2),0)</f>
        <v>0</v>
      </c>
      <c r="M345" s="24">
        <f>IF(O344&gt;0,IF(AND(ROUND(O344+N345-ROUND(M$6+IF(M$5=$C345,$E$5+$E345,0),2),2)&gt;0,ROUND(O344+N345-ROUND(M$6+IF(M$5=$C345,$E$5+$E345,0),2),2)&lt;=P345,ROUND(O344+N345-ROUND(M$6+IF(M$5=$C345,$E$5+$E345,0),2),2)*10&lt;=ROUND(M$6+IF(M$5=$C345,$E$5+$E345,0),2)),ROUND(O344+N345,2),MIN(ROUND(M$6+IF(M$5=$C345,$E$5+$E345,0),2),ROUND(O344+N345,2))),0)</f>
        <v>0</v>
      </c>
      <c r="N345" s="24">
        <f>IF(O344&gt;0,ROUND(ROUND(O344*100,0)*ROUND(M$7*10000,0)/12000000,0)/100,0)</f>
        <v>0</v>
      </c>
      <c r="O345" s="24">
        <f>IF(O344&gt;0,ROUND(O344+N345-M345,2),0)</f>
        <v>0</v>
      </c>
      <c r="P345" s="24">
        <f>IF(O344&gt;0,ROUND(P344+ROUND(ROUND(P344*100,0)*ROUND(M$7*10000,0)/12000000,0)/100+0.02,2),0)</f>
        <v>0</v>
      </c>
      <c r="Q345" s="24">
        <f>IF(S344&gt;0,IF(AND(ROUND(S344+R345-ROUND(Q$6+IF(Q$5=$C345,$E$5+$E345,0),2),2)&gt;0,ROUND(S344+R345-ROUND(Q$6+IF(Q$5=$C345,$E$5+$E345,0),2),2)&lt;=T345,ROUND(S344+R345-ROUND(Q$6+IF(Q$5=$C345,$E$5+$E345,0),2),2)*10&lt;=ROUND(Q$6+IF(Q$5=$C345,$E$5+$E345,0),2)),ROUND(S344+R345,2),MIN(ROUND(Q$6+IF(Q$5=$C345,$E$5+$E345,0),2),ROUND(S344+R345,2))),0)</f>
        <v>0</v>
      </c>
      <c r="R345" s="24">
        <f>IF(S344&gt;0,ROUND(ROUND(S344*100,0)*ROUND(Q$7*10000,0)/12000000,0)/100,0)</f>
        <v>0</v>
      </c>
      <c r="S345" s="24">
        <f>IF(S344&gt;0,ROUND(S344+R345-Q345,2),0)</f>
        <v>0</v>
      </c>
      <c r="T345" s="24">
        <f>IF(S344&gt;0,ROUND(T344+ROUND(ROUND(T344*100,0)*ROUND(Q$7*10000,0)/12000000,0)/100+0.02,2),0)</f>
        <v>0</v>
      </c>
      <c r="U345" s="24">
        <f>IF(W344&gt;0,IF(AND(ROUND(W344+V345-ROUND(U$6+IF(U$5=$C345,$E$5+$E345,0),2),2)&gt;0,ROUND(W344+V345-ROUND(U$6+IF(U$5=$C345,$E$5+$E345,0),2),2)&lt;=X345,ROUND(W344+V345-ROUND(U$6+IF(U$5=$C345,$E$5+$E345,0),2),2)*10&lt;=ROUND(U$6+IF(U$5=$C345,$E$5+$E345,0),2)),ROUND(W344+V345,2),MIN(ROUND(U$6+IF(U$5=$C345,$E$5+$E345,0),2),ROUND(W344+V345,2))),0)</f>
        <v>0</v>
      </c>
      <c r="V345" s="24">
        <f>IF(W344&gt;0,ROUND(ROUND(W344*100,0)*ROUND(U$7*10000,0)/12000000,0)/100,0)</f>
        <v>0</v>
      </c>
      <c r="W345" s="24">
        <f>IF(W344&gt;0,ROUND(W344+V345-U345,2),0)</f>
        <v>0</v>
      </c>
      <c r="X345" s="24">
        <f>IF(W344&gt;0,ROUND(X344+ROUND(ROUND(X344*100,0)*ROUND(U$7*10000,0)/12000000,0)/100+0.02,2),0)</f>
        <v>0</v>
      </c>
      <c r="Y345" s="24">
        <f>IF(AA344&gt;0,IF(AND(ROUND(AA344+Z345-ROUND(Y$6+IF(Y$5=$C345,$E$5+$E345,0),2),2)&gt;0,ROUND(AA344+Z345-ROUND(Y$6+IF(Y$5=$C345,$E$5+$E345,0),2),2)&lt;=AB345,ROUND(AA344+Z345-ROUND(Y$6+IF(Y$5=$C345,$E$5+$E345,0),2),2)*10&lt;=ROUND(Y$6+IF(Y$5=$C345,$E$5+$E345,0),2)),ROUND(AA344+Z345,2),MIN(ROUND(Y$6+IF(Y$5=$C345,$E$5+$E345,0),2),ROUND(AA344+Z345,2))),0)</f>
        <v>0</v>
      </c>
      <c r="Z345" s="24">
        <f>IF(AA344&gt;0,ROUND(ROUND(AA344*100,0)*ROUND(Y$7*10000,0)/12000000,0)/100,0)</f>
        <v>0</v>
      </c>
      <c r="AA345" s="24">
        <f>IF(AA344&gt;0,ROUND(AA344+Z345-Y345,2),0)</f>
        <v>0</v>
      </c>
      <c r="AB345" s="24">
        <f>IF(AA344&gt;0,ROUND(AB344+ROUND(ROUND(AB344*100,0)*ROUND(Y$7*10000,0)/12000000,0)/100+0.02,2),0)</f>
        <v>0</v>
      </c>
      <c r="AC345" s="24">
        <f>IF(AE344&gt;0,IF(AND(ROUND(AE344+AD345-ROUND(AC$6+IF(AC$5=$C345,$E$5+$E345,0),2),2)&gt;0,ROUND(AE344+AD345-ROUND(AC$6+IF(AC$5=$C345,$E$5+$E345,0),2),2)&lt;=AF345,ROUND(AE344+AD345-ROUND(AC$6+IF(AC$5=$C345,$E$5+$E345,0),2),2)*10&lt;=ROUND(AC$6+IF(AC$5=$C345,$E$5+$E345,0),2)),ROUND(AE344+AD345,2),MIN(ROUND(AC$6+IF(AC$5=$C345,$E$5+$E345,0),2),ROUND(AE344+AD345,2))),0)</f>
        <v>0</v>
      </c>
      <c r="AD345" s="24">
        <f>IF(AE344&gt;0,ROUND(ROUND(AE344*100,0)*ROUND(AC$7*10000,0)/12000000,0)/100,0)</f>
        <v>0</v>
      </c>
      <c r="AE345" s="24">
        <f>IF(AE344&gt;0,ROUND(AE344+AD345-AC345,2),0)</f>
        <v>0</v>
      </c>
      <c r="AF345" s="24">
        <f>IF(AE344&gt;0,ROUND(AF344+ROUND(ROUND(AF344*100,0)*ROUND(AC$7*10000,0)/12000000,0)/100+0.02,2),0)</f>
        <v>0</v>
      </c>
      <c r="AG345" s="24">
        <f>IF(AI344&gt;0,IF(AND(ROUND(AI344+AH345-ROUND(AG$6+IF(AG$5=$C345,$E$5+$E345,0),2),2)&gt;0,ROUND(AI344+AH345-ROUND(AG$6+IF(AG$5=$C345,$E$5+$E345,0),2),2)&lt;=AJ345,ROUND(AI344+AH345-ROUND(AG$6+IF(AG$5=$C345,$E$5+$E345,0),2),2)*10&lt;=ROUND(AG$6+IF(AG$5=$C345,$E$5+$E345,0),2)),ROUND(AI344+AH345,2),MIN(ROUND(AG$6+IF(AG$5=$C345,$E$5+$E345,0),2),ROUND(AI344+AH345,2))),0)</f>
        <v>0</v>
      </c>
      <c r="AH345" s="24">
        <f>IF(AI344&gt;0,ROUND(ROUND(AI344*100,0)*ROUND(AG$7*10000,0)/12000000,0)/100,0)</f>
        <v>0</v>
      </c>
      <c r="AI345" s="24">
        <f>IF(AI344&gt;0,ROUND(AI344+AH345-AG345,2),0)</f>
        <v>0</v>
      </c>
      <c r="AJ345" s="24">
        <f>IF(AI344&gt;0,ROUND(AJ344+ROUND(ROUND(AJ344*100,0)*ROUND(AG$7*10000,0)/12000000,0)/100+0.02,2),0)</f>
        <v>0</v>
      </c>
      <c r="AK345" s="24">
        <f>IF(AM344&gt;0,IF(AND(ROUND(AM344+AL345-ROUND(AK$6+IF(AK$5=$C345,$E$5+$E345,0),2),2)&gt;0,ROUND(AM344+AL345-ROUND(AK$6+IF(AK$5=$C345,$E$5+$E345,0),2),2)&lt;=AN345,ROUND(AM344+AL345-ROUND(AK$6+IF(AK$5=$C345,$E$5+$E345,0),2),2)*10&lt;=ROUND(AK$6+IF(AK$5=$C345,$E$5+$E345,0),2)),ROUND(AM344+AL345,2),MIN(ROUND(AK$6+IF(AK$5=$C345,$E$5+$E345,0),2),ROUND(AM344+AL345,2))),0)</f>
        <v>0</v>
      </c>
      <c r="AL345" s="24">
        <f>IF(AM344&gt;0,ROUND(ROUND(AM344*100,0)*ROUND(AK$7*10000,0)/12000000,0)/100,0)</f>
        <v>0</v>
      </c>
      <c r="AM345" s="24">
        <f>IF(AM344&gt;0,ROUND(AM344+AL345-AK345,2),0)</f>
        <v>0</v>
      </c>
      <c r="AN345" s="24">
        <f>IF(AM344&gt;0,ROUND(AN344+ROUND(ROUND(AN344*100,0)*ROUND(AK$7*10000,0)/12000000,0)/100+0.02,2),0)</f>
        <v>0</v>
      </c>
      <c r="AO345" s="24">
        <f>IF(AQ344&gt;0,IF(AND(ROUND(AQ344+AP345-ROUND(AO$6+IF(AO$5=$C345,$E$5+$E345,0),2),2)&gt;0,ROUND(AQ344+AP345-ROUND(AO$6+IF(AO$5=$C345,$E$5+$E345,0),2),2)&lt;=AR345,ROUND(AQ344+AP345-ROUND(AO$6+IF(AO$5=$C345,$E$5+$E345,0),2),2)*10&lt;=ROUND(AO$6+IF(AO$5=$C345,$E$5+$E345,0),2)),ROUND(AQ344+AP345,2),MIN(ROUND(AO$6+IF(AO$5=$C345,$E$5+$E345,0),2),ROUND(AQ344+AP345,2))),0)</f>
        <v>0</v>
      </c>
      <c r="AP345" s="24">
        <f>IF(AQ344&gt;0,ROUND(ROUND(AQ344*100,0)*ROUND(AO$7*10000,0)/12000000,0)/100,0)</f>
        <v>0</v>
      </c>
      <c r="AQ345" s="24">
        <f>IF(AQ344&gt;0,ROUND(AQ344+AP345-AO345,2),0)</f>
        <v>0</v>
      </c>
      <c r="AR345" s="24">
        <f>IF(AQ344&gt;0,ROUND(AR344+ROUND(ROUND(AR344*100,0)*ROUND(AO$7*10000,0)/12000000,0)/100+0.02,2),0)</f>
        <v>0</v>
      </c>
      <c r="AS345" s="24">
        <f>IF(AU344&gt;0,IF(AND(ROUND(AU344+AT345-ROUND(AS$6+IF(AS$5=$C345,$E$5+$E345,0),2),2)&gt;0,ROUND(AU344+AT345-ROUND(AS$6+IF(AS$5=$C345,$E$5+$E345,0),2),2)&lt;=AV345,ROUND(AU344+AT345-ROUND(AS$6+IF(AS$5=$C345,$E$5+$E345,0),2),2)*10&lt;=ROUND(AS$6+IF(AS$5=$C345,$E$5+$E345,0),2)),ROUND(AU344+AT345,2),MIN(ROUND(AS$6+IF(AS$5=$C345,$E$5+$E345,0),2),ROUND(AU344+AT345,2))),0)</f>
        <v>0</v>
      </c>
      <c r="AT345" s="24">
        <f>IF(AU344&gt;0,ROUND(ROUND(AU344*100,0)*ROUND(AS$7*10000,0)/12000000,0)/100,0)</f>
        <v>0</v>
      </c>
      <c r="AU345" s="24">
        <f>IF(AU344&gt;0,ROUND(AU344+AT345-AS345,2),0)</f>
        <v>0</v>
      </c>
      <c r="AV345" s="24">
        <f>IF(AU344&gt;0,ROUND(AV344+ROUND(ROUND(AV344*100,0)*ROUND(AS$7*10000,0)/12000000,0)/100+0.02,2),0)</f>
        <v>0</v>
      </c>
    </row>
    <row r="346" spans="1:48" x14ac:dyDescent="0.25">
      <c r="A346" s="17" t="str">
        <f>IF(F346&gt;0,336,"")</f>
        <v/>
      </c>
      <c r="B346" s="18" t="str">
        <f>IF(F346&gt;0,EDATE($E$6,336),"")</f>
        <v/>
      </c>
      <c r="C346" s="21">
        <f>IF(H345&gt;0,MIN(IF(K345&gt;0,I$5,99),IF(O345&gt;0,M$5,99),IF(S345&gt;0,Q$5,99),IF(W345&gt;0,U$5,99),IF(AA345&gt;0,Y$5,99),IF(AE345&gt;0,AC$5,99),IF(AI345&gt;0,AG$5,99),IF(AM345&gt;0,AK$5,99),IF(AQ345&gt;0,AO$5,99),IF(AU345&gt;0,AS$5,99)),0)</f>
        <v>0</v>
      </c>
      <c r="D346" t="str">
        <f>IF(C346&gt;0,INDEX($I$4:$AV$4,1,MATCH(C346,$I$5:$AV$5,0)),"")</f>
        <v/>
      </c>
      <c r="E346" s="24">
        <f>ROUND(IF(AND(I$8&gt;0,K345=0),I$6,0)+IF(AND(M$8&gt;0,O345=0),M$6,0)+IF(AND(Q$8&gt;0,S345=0),Q$6,0)+IF(AND(U$8&gt;0,W345=0),U$6,0)+IF(AND(Y$8&gt;0,AA345=0),Y$6,0)+IF(AND(AC$8&gt;0,AE345=0),AC$6,0)+IF(AND(AG$8&gt;0,AI345=0),AG$6,0)+IF(AND(AK$8&gt;0,AM345=0),AK$6,0)+IF(AND(AO$8&gt;0,AQ345=0),AO$6,0)+IF(AND(AS$8&gt;0,AU345=0),AS$6,0),2)</f>
        <v>325</v>
      </c>
      <c r="F346" s="24">
        <f>ROUND(I346+M346+Q346+U346+Y346+AC346+AG346+AK346+AO346+AS346,2)</f>
        <v>0</v>
      </c>
      <c r="G346" s="24">
        <f>ROUND(J346+N346+R346+V346+Z346+AD346+AH346+AL346+AP346+AT346,2)</f>
        <v>0</v>
      </c>
      <c r="H346" s="24">
        <f>ROUND(K346+O346+S346+W346+AA346+AE346+AI346+AM346+AQ346+AU346,2)</f>
        <v>0</v>
      </c>
      <c r="I346" s="24">
        <f>IF(K345&gt;0,IF(AND(ROUND(K345+J346-ROUND(I$6+IF(I$5=$C346,$E$5+$E346,0),2),2)&gt;0,ROUND(K345+J346-ROUND(I$6+IF(I$5=$C346,$E$5+$E346,0),2),2)&lt;=L346,ROUND(K345+J346-ROUND(I$6+IF(I$5=$C346,$E$5+$E346,0),2),2)*10&lt;=ROUND(I$6+IF(I$5=$C346,$E$5+$E346,0),2)),ROUND(K345+J346,2),MIN(ROUND(I$6+IF(I$5=$C346,$E$5+$E346,0),2),ROUND(K345+J346,2))),0)</f>
        <v>0</v>
      </c>
      <c r="J346" s="24">
        <f>IF(K345&gt;0,ROUND(ROUND(K345*100,0)*ROUND(I$7*10000,0)/12000000,0)/100,0)</f>
        <v>0</v>
      </c>
      <c r="K346" s="24">
        <f>IF(K345&gt;0,ROUND(K345+J346-I346,2),0)</f>
        <v>0</v>
      </c>
      <c r="L346" s="24">
        <f>IF(K345&gt;0,ROUND(L345+ROUND(ROUND(L345*100,0)*ROUND(I$7*10000,0)/12000000,0)/100+0.02,2),0)</f>
        <v>0</v>
      </c>
      <c r="M346" s="24">
        <f>IF(O345&gt;0,IF(AND(ROUND(O345+N346-ROUND(M$6+IF(M$5=$C346,$E$5+$E346,0),2),2)&gt;0,ROUND(O345+N346-ROUND(M$6+IF(M$5=$C346,$E$5+$E346,0),2),2)&lt;=P346,ROUND(O345+N346-ROUND(M$6+IF(M$5=$C346,$E$5+$E346,0),2),2)*10&lt;=ROUND(M$6+IF(M$5=$C346,$E$5+$E346,0),2)),ROUND(O345+N346,2),MIN(ROUND(M$6+IF(M$5=$C346,$E$5+$E346,0),2),ROUND(O345+N346,2))),0)</f>
        <v>0</v>
      </c>
      <c r="N346" s="24">
        <f>IF(O345&gt;0,ROUND(ROUND(O345*100,0)*ROUND(M$7*10000,0)/12000000,0)/100,0)</f>
        <v>0</v>
      </c>
      <c r="O346" s="24">
        <f>IF(O345&gt;0,ROUND(O345+N346-M346,2),0)</f>
        <v>0</v>
      </c>
      <c r="P346" s="24">
        <f>IF(O345&gt;0,ROUND(P345+ROUND(ROUND(P345*100,0)*ROUND(M$7*10000,0)/12000000,0)/100+0.02,2),0)</f>
        <v>0</v>
      </c>
      <c r="Q346" s="24">
        <f>IF(S345&gt;0,IF(AND(ROUND(S345+R346-ROUND(Q$6+IF(Q$5=$C346,$E$5+$E346,0),2),2)&gt;0,ROUND(S345+R346-ROUND(Q$6+IF(Q$5=$C346,$E$5+$E346,0),2),2)&lt;=T346,ROUND(S345+R346-ROUND(Q$6+IF(Q$5=$C346,$E$5+$E346,0),2),2)*10&lt;=ROUND(Q$6+IF(Q$5=$C346,$E$5+$E346,0),2)),ROUND(S345+R346,2),MIN(ROUND(Q$6+IF(Q$5=$C346,$E$5+$E346,0),2),ROUND(S345+R346,2))),0)</f>
        <v>0</v>
      </c>
      <c r="R346" s="24">
        <f>IF(S345&gt;0,ROUND(ROUND(S345*100,0)*ROUND(Q$7*10000,0)/12000000,0)/100,0)</f>
        <v>0</v>
      </c>
      <c r="S346" s="24">
        <f>IF(S345&gt;0,ROUND(S345+R346-Q346,2),0)</f>
        <v>0</v>
      </c>
      <c r="T346" s="24">
        <f>IF(S345&gt;0,ROUND(T345+ROUND(ROUND(T345*100,0)*ROUND(Q$7*10000,0)/12000000,0)/100+0.02,2),0)</f>
        <v>0</v>
      </c>
      <c r="U346" s="24">
        <f>IF(W345&gt;0,IF(AND(ROUND(W345+V346-ROUND(U$6+IF(U$5=$C346,$E$5+$E346,0),2),2)&gt;0,ROUND(W345+V346-ROUND(U$6+IF(U$5=$C346,$E$5+$E346,0),2),2)&lt;=X346,ROUND(W345+V346-ROUND(U$6+IF(U$5=$C346,$E$5+$E346,0),2),2)*10&lt;=ROUND(U$6+IF(U$5=$C346,$E$5+$E346,0),2)),ROUND(W345+V346,2),MIN(ROUND(U$6+IF(U$5=$C346,$E$5+$E346,0),2),ROUND(W345+V346,2))),0)</f>
        <v>0</v>
      </c>
      <c r="V346" s="24">
        <f>IF(W345&gt;0,ROUND(ROUND(W345*100,0)*ROUND(U$7*10000,0)/12000000,0)/100,0)</f>
        <v>0</v>
      </c>
      <c r="W346" s="24">
        <f>IF(W345&gt;0,ROUND(W345+V346-U346,2),0)</f>
        <v>0</v>
      </c>
      <c r="X346" s="24">
        <f>IF(W345&gt;0,ROUND(X345+ROUND(ROUND(X345*100,0)*ROUND(U$7*10000,0)/12000000,0)/100+0.02,2),0)</f>
        <v>0</v>
      </c>
      <c r="Y346" s="24">
        <f>IF(AA345&gt;0,IF(AND(ROUND(AA345+Z346-ROUND(Y$6+IF(Y$5=$C346,$E$5+$E346,0),2),2)&gt;0,ROUND(AA345+Z346-ROUND(Y$6+IF(Y$5=$C346,$E$5+$E346,0),2),2)&lt;=AB346,ROUND(AA345+Z346-ROUND(Y$6+IF(Y$5=$C346,$E$5+$E346,0),2),2)*10&lt;=ROUND(Y$6+IF(Y$5=$C346,$E$5+$E346,0),2)),ROUND(AA345+Z346,2),MIN(ROUND(Y$6+IF(Y$5=$C346,$E$5+$E346,0),2),ROUND(AA345+Z346,2))),0)</f>
        <v>0</v>
      </c>
      <c r="Z346" s="24">
        <f>IF(AA345&gt;0,ROUND(ROUND(AA345*100,0)*ROUND(Y$7*10000,0)/12000000,0)/100,0)</f>
        <v>0</v>
      </c>
      <c r="AA346" s="24">
        <f>IF(AA345&gt;0,ROUND(AA345+Z346-Y346,2),0)</f>
        <v>0</v>
      </c>
      <c r="AB346" s="24">
        <f>IF(AA345&gt;0,ROUND(AB345+ROUND(ROUND(AB345*100,0)*ROUND(Y$7*10000,0)/12000000,0)/100+0.02,2),0)</f>
        <v>0</v>
      </c>
      <c r="AC346" s="24">
        <f>IF(AE345&gt;0,IF(AND(ROUND(AE345+AD346-ROUND(AC$6+IF(AC$5=$C346,$E$5+$E346,0),2),2)&gt;0,ROUND(AE345+AD346-ROUND(AC$6+IF(AC$5=$C346,$E$5+$E346,0),2),2)&lt;=AF346,ROUND(AE345+AD346-ROUND(AC$6+IF(AC$5=$C346,$E$5+$E346,0),2),2)*10&lt;=ROUND(AC$6+IF(AC$5=$C346,$E$5+$E346,0),2)),ROUND(AE345+AD346,2),MIN(ROUND(AC$6+IF(AC$5=$C346,$E$5+$E346,0),2),ROUND(AE345+AD346,2))),0)</f>
        <v>0</v>
      </c>
      <c r="AD346" s="24">
        <f>IF(AE345&gt;0,ROUND(ROUND(AE345*100,0)*ROUND(AC$7*10000,0)/12000000,0)/100,0)</f>
        <v>0</v>
      </c>
      <c r="AE346" s="24">
        <f>IF(AE345&gt;0,ROUND(AE345+AD346-AC346,2),0)</f>
        <v>0</v>
      </c>
      <c r="AF346" s="24">
        <f>IF(AE345&gt;0,ROUND(AF345+ROUND(ROUND(AF345*100,0)*ROUND(AC$7*10000,0)/12000000,0)/100+0.02,2),0)</f>
        <v>0</v>
      </c>
      <c r="AG346" s="24">
        <f>IF(AI345&gt;0,IF(AND(ROUND(AI345+AH346-ROUND(AG$6+IF(AG$5=$C346,$E$5+$E346,0),2),2)&gt;0,ROUND(AI345+AH346-ROUND(AG$6+IF(AG$5=$C346,$E$5+$E346,0),2),2)&lt;=AJ346,ROUND(AI345+AH346-ROUND(AG$6+IF(AG$5=$C346,$E$5+$E346,0),2),2)*10&lt;=ROUND(AG$6+IF(AG$5=$C346,$E$5+$E346,0),2)),ROUND(AI345+AH346,2),MIN(ROUND(AG$6+IF(AG$5=$C346,$E$5+$E346,0),2),ROUND(AI345+AH346,2))),0)</f>
        <v>0</v>
      </c>
      <c r="AH346" s="24">
        <f>IF(AI345&gt;0,ROUND(ROUND(AI345*100,0)*ROUND(AG$7*10000,0)/12000000,0)/100,0)</f>
        <v>0</v>
      </c>
      <c r="AI346" s="24">
        <f>IF(AI345&gt;0,ROUND(AI345+AH346-AG346,2),0)</f>
        <v>0</v>
      </c>
      <c r="AJ346" s="24">
        <f>IF(AI345&gt;0,ROUND(AJ345+ROUND(ROUND(AJ345*100,0)*ROUND(AG$7*10000,0)/12000000,0)/100+0.02,2),0)</f>
        <v>0</v>
      </c>
      <c r="AK346" s="24">
        <f>IF(AM345&gt;0,IF(AND(ROUND(AM345+AL346-ROUND(AK$6+IF(AK$5=$C346,$E$5+$E346,0),2),2)&gt;0,ROUND(AM345+AL346-ROUND(AK$6+IF(AK$5=$C346,$E$5+$E346,0),2),2)&lt;=AN346,ROUND(AM345+AL346-ROUND(AK$6+IF(AK$5=$C346,$E$5+$E346,0),2),2)*10&lt;=ROUND(AK$6+IF(AK$5=$C346,$E$5+$E346,0),2)),ROUND(AM345+AL346,2),MIN(ROUND(AK$6+IF(AK$5=$C346,$E$5+$E346,0),2),ROUND(AM345+AL346,2))),0)</f>
        <v>0</v>
      </c>
      <c r="AL346" s="24">
        <f>IF(AM345&gt;0,ROUND(ROUND(AM345*100,0)*ROUND(AK$7*10000,0)/12000000,0)/100,0)</f>
        <v>0</v>
      </c>
      <c r="AM346" s="24">
        <f>IF(AM345&gt;0,ROUND(AM345+AL346-AK346,2),0)</f>
        <v>0</v>
      </c>
      <c r="AN346" s="24">
        <f>IF(AM345&gt;0,ROUND(AN345+ROUND(ROUND(AN345*100,0)*ROUND(AK$7*10000,0)/12000000,0)/100+0.02,2),0)</f>
        <v>0</v>
      </c>
      <c r="AO346" s="24">
        <f>IF(AQ345&gt;0,IF(AND(ROUND(AQ345+AP346-ROUND(AO$6+IF(AO$5=$C346,$E$5+$E346,0),2),2)&gt;0,ROUND(AQ345+AP346-ROUND(AO$6+IF(AO$5=$C346,$E$5+$E346,0),2),2)&lt;=AR346,ROUND(AQ345+AP346-ROUND(AO$6+IF(AO$5=$C346,$E$5+$E346,0),2),2)*10&lt;=ROUND(AO$6+IF(AO$5=$C346,$E$5+$E346,0),2)),ROUND(AQ345+AP346,2),MIN(ROUND(AO$6+IF(AO$5=$C346,$E$5+$E346,0),2),ROUND(AQ345+AP346,2))),0)</f>
        <v>0</v>
      </c>
      <c r="AP346" s="24">
        <f>IF(AQ345&gt;0,ROUND(ROUND(AQ345*100,0)*ROUND(AO$7*10000,0)/12000000,0)/100,0)</f>
        <v>0</v>
      </c>
      <c r="AQ346" s="24">
        <f>IF(AQ345&gt;0,ROUND(AQ345+AP346-AO346,2),0)</f>
        <v>0</v>
      </c>
      <c r="AR346" s="24">
        <f>IF(AQ345&gt;0,ROUND(AR345+ROUND(ROUND(AR345*100,0)*ROUND(AO$7*10000,0)/12000000,0)/100+0.02,2),0)</f>
        <v>0</v>
      </c>
      <c r="AS346" s="24">
        <f>IF(AU345&gt;0,IF(AND(ROUND(AU345+AT346-ROUND(AS$6+IF(AS$5=$C346,$E$5+$E346,0),2),2)&gt;0,ROUND(AU345+AT346-ROUND(AS$6+IF(AS$5=$C346,$E$5+$E346,0),2),2)&lt;=AV346,ROUND(AU345+AT346-ROUND(AS$6+IF(AS$5=$C346,$E$5+$E346,0),2),2)*10&lt;=ROUND(AS$6+IF(AS$5=$C346,$E$5+$E346,0),2)),ROUND(AU345+AT346,2),MIN(ROUND(AS$6+IF(AS$5=$C346,$E$5+$E346,0),2),ROUND(AU345+AT346,2))),0)</f>
        <v>0</v>
      </c>
      <c r="AT346" s="24">
        <f>IF(AU345&gt;0,ROUND(ROUND(AU345*100,0)*ROUND(AS$7*10000,0)/12000000,0)/100,0)</f>
        <v>0</v>
      </c>
      <c r="AU346" s="24">
        <f>IF(AU345&gt;0,ROUND(AU345+AT346-AS346,2),0)</f>
        <v>0</v>
      </c>
      <c r="AV346" s="24">
        <f>IF(AU345&gt;0,ROUND(AV345+ROUND(ROUND(AV345*100,0)*ROUND(AS$7*10000,0)/12000000,0)/100+0.02,2),0)</f>
        <v>0</v>
      </c>
    </row>
    <row r="347" spans="1:48" x14ac:dyDescent="0.25">
      <c r="A347" s="17" t="str">
        <f>IF(F347&gt;0,337,"")</f>
        <v/>
      </c>
      <c r="B347" s="18" t="str">
        <f>IF(F347&gt;0,EDATE($E$6,337),"")</f>
        <v/>
      </c>
      <c r="C347" s="21">
        <f>IF(H346&gt;0,MIN(IF(K346&gt;0,I$5,99),IF(O346&gt;0,M$5,99),IF(S346&gt;0,Q$5,99),IF(W346&gt;0,U$5,99),IF(AA346&gt;0,Y$5,99),IF(AE346&gt;0,AC$5,99),IF(AI346&gt;0,AG$5,99),IF(AM346&gt;0,AK$5,99),IF(AQ346&gt;0,AO$5,99),IF(AU346&gt;0,AS$5,99)),0)</f>
        <v>0</v>
      </c>
      <c r="D347" t="str">
        <f>IF(C347&gt;0,INDEX($I$4:$AV$4,1,MATCH(C347,$I$5:$AV$5,0)),"")</f>
        <v/>
      </c>
      <c r="E347" s="24">
        <f>ROUND(IF(AND(I$8&gt;0,K346=0),I$6,0)+IF(AND(M$8&gt;0,O346=0),M$6,0)+IF(AND(Q$8&gt;0,S346=0),Q$6,0)+IF(AND(U$8&gt;0,W346=0),U$6,0)+IF(AND(Y$8&gt;0,AA346=0),Y$6,0)+IF(AND(AC$8&gt;0,AE346=0),AC$6,0)+IF(AND(AG$8&gt;0,AI346=0),AG$6,0)+IF(AND(AK$8&gt;0,AM346=0),AK$6,0)+IF(AND(AO$8&gt;0,AQ346=0),AO$6,0)+IF(AND(AS$8&gt;0,AU346=0),AS$6,0),2)</f>
        <v>325</v>
      </c>
      <c r="F347" s="24">
        <f>ROUND(I347+M347+Q347+U347+Y347+AC347+AG347+AK347+AO347+AS347,2)</f>
        <v>0</v>
      </c>
      <c r="G347" s="24">
        <f>ROUND(J347+N347+R347+V347+Z347+AD347+AH347+AL347+AP347+AT347,2)</f>
        <v>0</v>
      </c>
      <c r="H347" s="24">
        <f>ROUND(K347+O347+S347+W347+AA347+AE347+AI347+AM347+AQ347+AU347,2)</f>
        <v>0</v>
      </c>
      <c r="I347" s="24">
        <f>IF(K346&gt;0,IF(AND(ROUND(K346+J347-ROUND(I$6+IF(I$5=$C347,$E$5+$E347,0),2),2)&gt;0,ROUND(K346+J347-ROUND(I$6+IF(I$5=$C347,$E$5+$E347,0),2),2)&lt;=L347,ROUND(K346+J347-ROUND(I$6+IF(I$5=$C347,$E$5+$E347,0),2),2)*10&lt;=ROUND(I$6+IF(I$5=$C347,$E$5+$E347,0),2)),ROUND(K346+J347,2),MIN(ROUND(I$6+IF(I$5=$C347,$E$5+$E347,0),2),ROUND(K346+J347,2))),0)</f>
        <v>0</v>
      </c>
      <c r="J347" s="24">
        <f>IF(K346&gt;0,ROUND(ROUND(K346*100,0)*ROUND(I$7*10000,0)/12000000,0)/100,0)</f>
        <v>0</v>
      </c>
      <c r="K347" s="24">
        <f>IF(K346&gt;0,ROUND(K346+J347-I347,2),0)</f>
        <v>0</v>
      </c>
      <c r="L347" s="24">
        <f>IF(K346&gt;0,ROUND(L346+ROUND(ROUND(L346*100,0)*ROUND(I$7*10000,0)/12000000,0)/100+0.02,2),0)</f>
        <v>0</v>
      </c>
      <c r="M347" s="24">
        <f>IF(O346&gt;0,IF(AND(ROUND(O346+N347-ROUND(M$6+IF(M$5=$C347,$E$5+$E347,0),2),2)&gt;0,ROUND(O346+N347-ROUND(M$6+IF(M$5=$C347,$E$5+$E347,0),2),2)&lt;=P347,ROUND(O346+N347-ROUND(M$6+IF(M$5=$C347,$E$5+$E347,0),2),2)*10&lt;=ROUND(M$6+IF(M$5=$C347,$E$5+$E347,0),2)),ROUND(O346+N347,2),MIN(ROUND(M$6+IF(M$5=$C347,$E$5+$E347,0),2),ROUND(O346+N347,2))),0)</f>
        <v>0</v>
      </c>
      <c r="N347" s="24">
        <f>IF(O346&gt;0,ROUND(ROUND(O346*100,0)*ROUND(M$7*10000,0)/12000000,0)/100,0)</f>
        <v>0</v>
      </c>
      <c r="O347" s="24">
        <f>IF(O346&gt;0,ROUND(O346+N347-M347,2),0)</f>
        <v>0</v>
      </c>
      <c r="P347" s="24">
        <f>IF(O346&gt;0,ROUND(P346+ROUND(ROUND(P346*100,0)*ROUND(M$7*10000,0)/12000000,0)/100+0.02,2),0)</f>
        <v>0</v>
      </c>
      <c r="Q347" s="24">
        <f>IF(S346&gt;0,IF(AND(ROUND(S346+R347-ROUND(Q$6+IF(Q$5=$C347,$E$5+$E347,0),2),2)&gt;0,ROUND(S346+R347-ROUND(Q$6+IF(Q$5=$C347,$E$5+$E347,0),2),2)&lt;=T347,ROUND(S346+R347-ROUND(Q$6+IF(Q$5=$C347,$E$5+$E347,0),2),2)*10&lt;=ROUND(Q$6+IF(Q$5=$C347,$E$5+$E347,0),2)),ROUND(S346+R347,2),MIN(ROUND(Q$6+IF(Q$5=$C347,$E$5+$E347,0),2),ROUND(S346+R347,2))),0)</f>
        <v>0</v>
      </c>
      <c r="R347" s="24">
        <f>IF(S346&gt;0,ROUND(ROUND(S346*100,0)*ROUND(Q$7*10000,0)/12000000,0)/100,0)</f>
        <v>0</v>
      </c>
      <c r="S347" s="24">
        <f>IF(S346&gt;0,ROUND(S346+R347-Q347,2),0)</f>
        <v>0</v>
      </c>
      <c r="T347" s="24">
        <f>IF(S346&gt;0,ROUND(T346+ROUND(ROUND(T346*100,0)*ROUND(Q$7*10000,0)/12000000,0)/100+0.02,2),0)</f>
        <v>0</v>
      </c>
      <c r="U347" s="24">
        <f>IF(W346&gt;0,IF(AND(ROUND(W346+V347-ROUND(U$6+IF(U$5=$C347,$E$5+$E347,0),2),2)&gt;0,ROUND(W346+V347-ROUND(U$6+IF(U$5=$C347,$E$5+$E347,0),2),2)&lt;=X347,ROUND(W346+V347-ROUND(U$6+IF(U$5=$C347,$E$5+$E347,0),2),2)*10&lt;=ROUND(U$6+IF(U$5=$C347,$E$5+$E347,0),2)),ROUND(W346+V347,2),MIN(ROUND(U$6+IF(U$5=$C347,$E$5+$E347,0),2),ROUND(W346+V347,2))),0)</f>
        <v>0</v>
      </c>
      <c r="V347" s="24">
        <f>IF(W346&gt;0,ROUND(ROUND(W346*100,0)*ROUND(U$7*10000,0)/12000000,0)/100,0)</f>
        <v>0</v>
      </c>
      <c r="W347" s="24">
        <f>IF(W346&gt;0,ROUND(W346+V347-U347,2),0)</f>
        <v>0</v>
      </c>
      <c r="X347" s="24">
        <f>IF(W346&gt;0,ROUND(X346+ROUND(ROUND(X346*100,0)*ROUND(U$7*10000,0)/12000000,0)/100+0.02,2),0)</f>
        <v>0</v>
      </c>
      <c r="Y347" s="24">
        <f>IF(AA346&gt;0,IF(AND(ROUND(AA346+Z347-ROUND(Y$6+IF(Y$5=$C347,$E$5+$E347,0),2),2)&gt;0,ROUND(AA346+Z347-ROUND(Y$6+IF(Y$5=$C347,$E$5+$E347,0),2),2)&lt;=AB347,ROUND(AA346+Z347-ROUND(Y$6+IF(Y$5=$C347,$E$5+$E347,0),2),2)*10&lt;=ROUND(Y$6+IF(Y$5=$C347,$E$5+$E347,0),2)),ROUND(AA346+Z347,2),MIN(ROUND(Y$6+IF(Y$5=$C347,$E$5+$E347,0),2),ROUND(AA346+Z347,2))),0)</f>
        <v>0</v>
      </c>
      <c r="Z347" s="24">
        <f>IF(AA346&gt;0,ROUND(ROUND(AA346*100,0)*ROUND(Y$7*10000,0)/12000000,0)/100,0)</f>
        <v>0</v>
      </c>
      <c r="AA347" s="24">
        <f>IF(AA346&gt;0,ROUND(AA346+Z347-Y347,2),0)</f>
        <v>0</v>
      </c>
      <c r="AB347" s="24">
        <f>IF(AA346&gt;0,ROUND(AB346+ROUND(ROUND(AB346*100,0)*ROUND(Y$7*10000,0)/12000000,0)/100+0.02,2),0)</f>
        <v>0</v>
      </c>
      <c r="AC347" s="24">
        <f>IF(AE346&gt;0,IF(AND(ROUND(AE346+AD347-ROUND(AC$6+IF(AC$5=$C347,$E$5+$E347,0),2),2)&gt;0,ROUND(AE346+AD347-ROUND(AC$6+IF(AC$5=$C347,$E$5+$E347,0),2),2)&lt;=AF347,ROUND(AE346+AD347-ROUND(AC$6+IF(AC$5=$C347,$E$5+$E347,0),2),2)*10&lt;=ROUND(AC$6+IF(AC$5=$C347,$E$5+$E347,0),2)),ROUND(AE346+AD347,2),MIN(ROUND(AC$6+IF(AC$5=$C347,$E$5+$E347,0),2),ROUND(AE346+AD347,2))),0)</f>
        <v>0</v>
      </c>
      <c r="AD347" s="24">
        <f>IF(AE346&gt;0,ROUND(ROUND(AE346*100,0)*ROUND(AC$7*10000,0)/12000000,0)/100,0)</f>
        <v>0</v>
      </c>
      <c r="AE347" s="24">
        <f>IF(AE346&gt;0,ROUND(AE346+AD347-AC347,2),0)</f>
        <v>0</v>
      </c>
      <c r="AF347" s="24">
        <f>IF(AE346&gt;0,ROUND(AF346+ROUND(ROUND(AF346*100,0)*ROUND(AC$7*10000,0)/12000000,0)/100+0.02,2),0)</f>
        <v>0</v>
      </c>
      <c r="AG347" s="24">
        <f>IF(AI346&gt;0,IF(AND(ROUND(AI346+AH347-ROUND(AG$6+IF(AG$5=$C347,$E$5+$E347,0),2),2)&gt;0,ROUND(AI346+AH347-ROUND(AG$6+IF(AG$5=$C347,$E$5+$E347,0),2),2)&lt;=AJ347,ROUND(AI346+AH347-ROUND(AG$6+IF(AG$5=$C347,$E$5+$E347,0),2),2)*10&lt;=ROUND(AG$6+IF(AG$5=$C347,$E$5+$E347,0),2)),ROUND(AI346+AH347,2),MIN(ROUND(AG$6+IF(AG$5=$C347,$E$5+$E347,0),2),ROUND(AI346+AH347,2))),0)</f>
        <v>0</v>
      </c>
      <c r="AH347" s="24">
        <f>IF(AI346&gt;0,ROUND(ROUND(AI346*100,0)*ROUND(AG$7*10000,0)/12000000,0)/100,0)</f>
        <v>0</v>
      </c>
      <c r="AI347" s="24">
        <f>IF(AI346&gt;0,ROUND(AI346+AH347-AG347,2),0)</f>
        <v>0</v>
      </c>
      <c r="AJ347" s="24">
        <f>IF(AI346&gt;0,ROUND(AJ346+ROUND(ROUND(AJ346*100,0)*ROUND(AG$7*10000,0)/12000000,0)/100+0.02,2),0)</f>
        <v>0</v>
      </c>
      <c r="AK347" s="24">
        <f>IF(AM346&gt;0,IF(AND(ROUND(AM346+AL347-ROUND(AK$6+IF(AK$5=$C347,$E$5+$E347,0),2),2)&gt;0,ROUND(AM346+AL347-ROUND(AK$6+IF(AK$5=$C347,$E$5+$E347,0),2),2)&lt;=AN347,ROUND(AM346+AL347-ROUND(AK$6+IF(AK$5=$C347,$E$5+$E347,0),2),2)*10&lt;=ROUND(AK$6+IF(AK$5=$C347,$E$5+$E347,0),2)),ROUND(AM346+AL347,2),MIN(ROUND(AK$6+IF(AK$5=$C347,$E$5+$E347,0),2),ROUND(AM346+AL347,2))),0)</f>
        <v>0</v>
      </c>
      <c r="AL347" s="24">
        <f>IF(AM346&gt;0,ROUND(ROUND(AM346*100,0)*ROUND(AK$7*10000,0)/12000000,0)/100,0)</f>
        <v>0</v>
      </c>
      <c r="AM347" s="24">
        <f>IF(AM346&gt;0,ROUND(AM346+AL347-AK347,2),0)</f>
        <v>0</v>
      </c>
      <c r="AN347" s="24">
        <f>IF(AM346&gt;0,ROUND(AN346+ROUND(ROUND(AN346*100,0)*ROUND(AK$7*10000,0)/12000000,0)/100+0.02,2),0)</f>
        <v>0</v>
      </c>
      <c r="AO347" s="24">
        <f>IF(AQ346&gt;0,IF(AND(ROUND(AQ346+AP347-ROUND(AO$6+IF(AO$5=$C347,$E$5+$E347,0),2),2)&gt;0,ROUND(AQ346+AP347-ROUND(AO$6+IF(AO$5=$C347,$E$5+$E347,0),2),2)&lt;=AR347,ROUND(AQ346+AP347-ROUND(AO$6+IF(AO$5=$C347,$E$5+$E347,0),2),2)*10&lt;=ROUND(AO$6+IF(AO$5=$C347,$E$5+$E347,0),2)),ROUND(AQ346+AP347,2),MIN(ROUND(AO$6+IF(AO$5=$C347,$E$5+$E347,0),2),ROUND(AQ346+AP347,2))),0)</f>
        <v>0</v>
      </c>
      <c r="AP347" s="24">
        <f>IF(AQ346&gt;0,ROUND(ROUND(AQ346*100,0)*ROUND(AO$7*10000,0)/12000000,0)/100,0)</f>
        <v>0</v>
      </c>
      <c r="AQ347" s="24">
        <f>IF(AQ346&gt;0,ROUND(AQ346+AP347-AO347,2),0)</f>
        <v>0</v>
      </c>
      <c r="AR347" s="24">
        <f>IF(AQ346&gt;0,ROUND(AR346+ROUND(ROUND(AR346*100,0)*ROUND(AO$7*10000,0)/12000000,0)/100+0.02,2),0)</f>
        <v>0</v>
      </c>
      <c r="AS347" s="24">
        <f>IF(AU346&gt;0,IF(AND(ROUND(AU346+AT347-ROUND(AS$6+IF(AS$5=$C347,$E$5+$E347,0),2),2)&gt;0,ROUND(AU346+AT347-ROUND(AS$6+IF(AS$5=$C347,$E$5+$E347,0),2),2)&lt;=AV347,ROUND(AU346+AT347-ROUND(AS$6+IF(AS$5=$C347,$E$5+$E347,0),2),2)*10&lt;=ROUND(AS$6+IF(AS$5=$C347,$E$5+$E347,0),2)),ROUND(AU346+AT347,2),MIN(ROUND(AS$6+IF(AS$5=$C347,$E$5+$E347,0),2),ROUND(AU346+AT347,2))),0)</f>
        <v>0</v>
      </c>
      <c r="AT347" s="24">
        <f>IF(AU346&gt;0,ROUND(ROUND(AU346*100,0)*ROUND(AS$7*10000,0)/12000000,0)/100,0)</f>
        <v>0</v>
      </c>
      <c r="AU347" s="24">
        <f>IF(AU346&gt;0,ROUND(AU346+AT347-AS347,2),0)</f>
        <v>0</v>
      </c>
      <c r="AV347" s="24">
        <f>IF(AU346&gt;0,ROUND(AV346+ROUND(ROUND(AV346*100,0)*ROUND(AS$7*10000,0)/12000000,0)/100+0.02,2),0)</f>
        <v>0</v>
      </c>
    </row>
    <row r="348" spans="1:48" x14ac:dyDescent="0.25">
      <c r="A348" s="17" t="str">
        <f>IF(F348&gt;0,338,"")</f>
        <v/>
      </c>
      <c r="B348" s="18" t="str">
        <f>IF(F348&gt;0,EDATE($E$6,338),"")</f>
        <v/>
      </c>
      <c r="C348" s="21">
        <f>IF(H347&gt;0,MIN(IF(K347&gt;0,I$5,99),IF(O347&gt;0,M$5,99),IF(S347&gt;0,Q$5,99),IF(W347&gt;0,U$5,99),IF(AA347&gt;0,Y$5,99),IF(AE347&gt;0,AC$5,99),IF(AI347&gt;0,AG$5,99),IF(AM347&gt;0,AK$5,99),IF(AQ347&gt;0,AO$5,99),IF(AU347&gt;0,AS$5,99)),0)</f>
        <v>0</v>
      </c>
      <c r="D348" t="str">
        <f>IF(C348&gt;0,INDEX($I$4:$AV$4,1,MATCH(C348,$I$5:$AV$5,0)),"")</f>
        <v/>
      </c>
      <c r="E348" s="24">
        <f>ROUND(IF(AND(I$8&gt;0,K347=0),I$6,0)+IF(AND(M$8&gt;0,O347=0),M$6,0)+IF(AND(Q$8&gt;0,S347=0),Q$6,0)+IF(AND(U$8&gt;0,W347=0),U$6,0)+IF(AND(Y$8&gt;0,AA347=0),Y$6,0)+IF(AND(AC$8&gt;0,AE347=0),AC$6,0)+IF(AND(AG$8&gt;0,AI347=0),AG$6,0)+IF(AND(AK$8&gt;0,AM347=0),AK$6,0)+IF(AND(AO$8&gt;0,AQ347=0),AO$6,0)+IF(AND(AS$8&gt;0,AU347=0),AS$6,0),2)</f>
        <v>325</v>
      </c>
      <c r="F348" s="24">
        <f>ROUND(I348+M348+Q348+U348+Y348+AC348+AG348+AK348+AO348+AS348,2)</f>
        <v>0</v>
      </c>
      <c r="G348" s="24">
        <f>ROUND(J348+N348+R348+V348+Z348+AD348+AH348+AL348+AP348+AT348,2)</f>
        <v>0</v>
      </c>
      <c r="H348" s="24">
        <f>ROUND(K348+O348+S348+W348+AA348+AE348+AI348+AM348+AQ348+AU348,2)</f>
        <v>0</v>
      </c>
      <c r="I348" s="24">
        <f>IF(K347&gt;0,IF(AND(ROUND(K347+J348-ROUND(I$6+IF(I$5=$C348,$E$5+$E348,0),2),2)&gt;0,ROUND(K347+J348-ROUND(I$6+IF(I$5=$C348,$E$5+$E348,0),2),2)&lt;=L348,ROUND(K347+J348-ROUND(I$6+IF(I$5=$C348,$E$5+$E348,0),2),2)*10&lt;=ROUND(I$6+IF(I$5=$C348,$E$5+$E348,0),2)),ROUND(K347+J348,2),MIN(ROUND(I$6+IF(I$5=$C348,$E$5+$E348,0),2),ROUND(K347+J348,2))),0)</f>
        <v>0</v>
      </c>
      <c r="J348" s="24">
        <f>IF(K347&gt;0,ROUND(ROUND(K347*100,0)*ROUND(I$7*10000,0)/12000000,0)/100,0)</f>
        <v>0</v>
      </c>
      <c r="K348" s="24">
        <f>IF(K347&gt;0,ROUND(K347+J348-I348,2),0)</f>
        <v>0</v>
      </c>
      <c r="L348" s="24">
        <f>IF(K347&gt;0,ROUND(L347+ROUND(ROUND(L347*100,0)*ROUND(I$7*10000,0)/12000000,0)/100+0.02,2),0)</f>
        <v>0</v>
      </c>
      <c r="M348" s="24">
        <f>IF(O347&gt;0,IF(AND(ROUND(O347+N348-ROUND(M$6+IF(M$5=$C348,$E$5+$E348,0),2),2)&gt;0,ROUND(O347+N348-ROUND(M$6+IF(M$5=$C348,$E$5+$E348,0),2),2)&lt;=P348,ROUND(O347+N348-ROUND(M$6+IF(M$5=$C348,$E$5+$E348,0),2),2)*10&lt;=ROUND(M$6+IF(M$5=$C348,$E$5+$E348,0),2)),ROUND(O347+N348,2),MIN(ROUND(M$6+IF(M$5=$C348,$E$5+$E348,0),2),ROUND(O347+N348,2))),0)</f>
        <v>0</v>
      </c>
      <c r="N348" s="24">
        <f>IF(O347&gt;0,ROUND(ROUND(O347*100,0)*ROUND(M$7*10000,0)/12000000,0)/100,0)</f>
        <v>0</v>
      </c>
      <c r="O348" s="24">
        <f>IF(O347&gt;0,ROUND(O347+N348-M348,2),0)</f>
        <v>0</v>
      </c>
      <c r="P348" s="24">
        <f>IF(O347&gt;0,ROUND(P347+ROUND(ROUND(P347*100,0)*ROUND(M$7*10000,0)/12000000,0)/100+0.02,2),0)</f>
        <v>0</v>
      </c>
      <c r="Q348" s="24">
        <f>IF(S347&gt;0,IF(AND(ROUND(S347+R348-ROUND(Q$6+IF(Q$5=$C348,$E$5+$E348,0),2),2)&gt;0,ROUND(S347+R348-ROUND(Q$6+IF(Q$5=$C348,$E$5+$E348,0),2),2)&lt;=T348,ROUND(S347+R348-ROUND(Q$6+IF(Q$5=$C348,$E$5+$E348,0),2),2)*10&lt;=ROUND(Q$6+IF(Q$5=$C348,$E$5+$E348,0),2)),ROUND(S347+R348,2),MIN(ROUND(Q$6+IF(Q$5=$C348,$E$5+$E348,0),2),ROUND(S347+R348,2))),0)</f>
        <v>0</v>
      </c>
      <c r="R348" s="24">
        <f>IF(S347&gt;0,ROUND(ROUND(S347*100,0)*ROUND(Q$7*10000,0)/12000000,0)/100,0)</f>
        <v>0</v>
      </c>
      <c r="S348" s="24">
        <f>IF(S347&gt;0,ROUND(S347+R348-Q348,2),0)</f>
        <v>0</v>
      </c>
      <c r="T348" s="24">
        <f>IF(S347&gt;0,ROUND(T347+ROUND(ROUND(T347*100,0)*ROUND(Q$7*10000,0)/12000000,0)/100+0.02,2),0)</f>
        <v>0</v>
      </c>
      <c r="U348" s="24">
        <f>IF(W347&gt;0,IF(AND(ROUND(W347+V348-ROUND(U$6+IF(U$5=$C348,$E$5+$E348,0),2),2)&gt;0,ROUND(W347+V348-ROUND(U$6+IF(U$5=$C348,$E$5+$E348,0),2),2)&lt;=X348,ROUND(W347+V348-ROUND(U$6+IF(U$5=$C348,$E$5+$E348,0),2),2)*10&lt;=ROUND(U$6+IF(U$5=$C348,$E$5+$E348,0),2)),ROUND(W347+V348,2),MIN(ROUND(U$6+IF(U$5=$C348,$E$5+$E348,0),2),ROUND(W347+V348,2))),0)</f>
        <v>0</v>
      </c>
      <c r="V348" s="24">
        <f>IF(W347&gt;0,ROUND(ROUND(W347*100,0)*ROUND(U$7*10000,0)/12000000,0)/100,0)</f>
        <v>0</v>
      </c>
      <c r="W348" s="24">
        <f>IF(W347&gt;0,ROUND(W347+V348-U348,2),0)</f>
        <v>0</v>
      </c>
      <c r="X348" s="24">
        <f>IF(W347&gt;0,ROUND(X347+ROUND(ROUND(X347*100,0)*ROUND(U$7*10000,0)/12000000,0)/100+0.02,2),0)</f>
        <v>0</v>
      </c>
      <c r="Y348" s="24">
        <f>IF(AA347&gt;0,IF(AND(ROUND(AA347+Z348-ROUND(Y$6+IF(Y$5=$C348,$E$5+$E348,0),2),2)&gt;0,ROUND(AA347+Z348-ROUND(Y$6+IF(Y$5=$C348,$E$5+$E348,0),2),2)&lt;=AB348,ROUND(AA347+Z348-ROUND(Y$6+IF(Y$5=$C348,$E$5+$E348,0),2),2)*10&lt;=ROUND(Y$6+IF(Y$5=$C348,$E$5+$E348,0),2)),ROUND(AA347+Z348,2),MIN(ROUND(Y$6+IF(Y$5=$C348,$E$5+$E348,0),2),ROUND(AA347+Z348,2))),0)</f>
        <v>0</v>
      </c>
      <c r="Z348" s="24">
        <f>IF(AA347&gt;0,ROUND(ROUND(AA347*100,0)*ROUND(Y$7*10000,0)/12000000,0)/100,0)</f>
        <v>0</v>
      </c>
      <c r="AA348" s="24">
        <f>IF(AA347&gt;0,ROUND(AA347+Z348-Y348,2),0)</f>
        <v>0</v>
      </c>
      <c r="AB348" s="24">
        <f>IF(AA347&gt;0,ROUND(AB347+ROUND(ROUND(AB347*100,0)*ROUND(Y$7*10000,0)/12000000,0)/100+0.02,2),0)</f>
        <v>0</v>
      </c>
      <c r="AC348" s="24">
        <f>IF(AE347&gt;0,IF(AND(ROUND(AE347+AD348-ROUND(AC$6+IF(AC$5=$C348,$E$5+$E348,0),2),2)&gt;0,ROUND(AE347+AD348-ROUND(AC$6+IF(AC$5=$C348,$E$5+$E348,0),2),2)&lt;=AF348,ROUND(AE347+AD348-ROUND(AC$6+IF(AC$5=$C348,$E$5+$E348,0),2),2)*10&lt;=ROUND(AC$6+IF(AC$5=$C348,$E$5+$E348,0),2)),ROUND(AE347+AD348,2),MIN(ROUND(AC$6+IF(AC$5=$C348,$E$5+$E348,0),2),ROUND(AE347+AD348,2))),0)</f>
        <v>0</v>
      </c>
      <c r="AD348" s="24">
        <f>IF(AE347&gt;0,ROUND(ROUND(AE347*100,0)*ROUND(AC$7*10000,0)/12000000,0)/100,0)</f>
        <v>0</v>
      </c>
      <c r="AE348" s="24">
        <f>IF(AE347&gt;0,ROUND(AE347+AD348-AC348,2),0)</f>
        <v>0</v>
      </c>
      <c r="AF348" s="24">
        <f>IF(AE347&gt;0,ROUND(AF347+ROUND(ROUND(AF347*100,0)*ROUND(AC$7*10000,0)/12000000,0)/100+0.02,2),0)</f>
        <v>0</v>
      </c>
      <c r="AG348" s="24">
        <f>IF(AI347&gt;0,IF(AND(ROUND(AI347+AH348-ROUND(AG$6+IF(AG$5=$C348,$E$5+$E348,0),2),2)&gt;0,ROUND(AI347+AH348-ROUND(AG$6+IF(AG$5=$C348,$E$5+$E348,0),2),2)&lt;=AJ348,ROUND(AI347+AH348-ROUND(AG$6+IF(AG$5=$C348,$E$5+$E348,0),2),2)*10&lt;=ROUND(AG$6+IF(AG$5=$C348,$E$5+$E348,0),2)),ROUND(AI347+AH348,2),MIN(ROUND(AG$6+IF(AG$5=$C348,$E$5+$E348,0),2),ROUND(AI347+AH348,2))),0)</f>
        <v>0</v>
      </c>
      <c r="AH348" s="24">
        <f>IF(AI347&gt;0,ROUND(ROUND(AI347*100,0)*ROUND(AG$7*10000,0)/12000000,0)/100,0)</f>
        <v>0</v>
      </c>
      <c r="AI348" s="24">
        <f>IF(AI347&gt;0,ROUND(AI347+AH348-AG348,2),0)</f>
        <v>0</v>
      </c>
      <c r="AJ348" s="24">
        <f>IF(AI347&gt;0,ROUND(AJ347+ROUND(ROUND(AJ347*100,0)*ROUND(AG$7*10000,0)/12000000,0)/100+0.02,2),0)</f>
        <v>0</v>
      </c>
      <c r="AK348" s="24">
        <f>IF(AM347&gt;0,IF(AND(ROUND(AM347+AL348-ROUND(AK$6+IF(AK$5=$C348,$E$5+$E348,0),2),2)&gt;0,ROUND(AM347+AL348-ROUND(AK$6+IF(AK$5=$C348,$E$5+$E348,0),2),2)&lt;=AN348,ROUND(AM347+AL348-ROUND(AK$6+IF(AK$5=$C348,$E$5+$E348,0),2),2)*10&lt;=ROUND(AK$6+IF(AK$5=$C348,$E$5+$E348,0),2)),ROUND(AM347+AL348,2),MIN(ROUND(AK$6+IF(AK$5=$C348,$E$5+$E348,0),2),ROUND(AM347+AL348,2))),0)</f>
        <v>0</v>
      </c>
      <c r="AL348" s="24">
        <f>IF(AM347&gt;0,ROUND(ROUND(AM347*100,0)*ROUND(AK$7*10000,0)/12000000,0)/100,0)</f>
        <v>0</v>
      </c>
      <c r="AM348" s="24">
        <f>IF(AM347&gt;0,ROUND(AM347+AL348-AK348,2),0)</f>
        <v>0</v>
      </c>
      <c r="AN348" s="24">
        <f>IF(AM347&gt;0,ROUND(AN347+ROUND(ROUND(AN347*100,0)*ROUND(AK$7*10000,0)/12000000,0)/100+0.02,2),0)</f>
        <v>0</v>
      </c>
      <c r="AO348" s="24">
        <f>IF(AQ347&gt;0,IF(AND(ROUND(AQ347+AP348-ROUND(AO$6+IF(AO$5=$C348,$E$5+$E348,0),2),2)&gt;0,ROUND(AQ347+AP348-ROUND(AO$6+IF(AO$5=$C348,$E$5+$E348,0),2),2)&lt;=AR348,ROUND(AQ347+AP348-ROUND(AO$6+IF(AO$5=$C348,$E$5+$E348,0),2),2)*10&lt;=ROUND(AO$6+IF(AO$5=$C348,$E$5+$E348,0),2)),ROUND(AQ347+AP348,2),MIN(ROUND(AO$6+IF(AO$5=$C348,$E$5+$E348,0),2),ROUND(AQ347+AP348,2))),0)</f>
        <v>0</v>
      </c>
      <c r="AP348" s="24">
        <f>IF(AQ347&gt;0,ROUND(ROUND(AQ347*100,0)*ROUND(AO$7*10000,0)/12000000,0)/100,0)</f>
        <v>0</v>
      </c>
      <c r="AQ348" s="24">
        <f>IF(AQ347&gt;0,ROUND(AQ347+AP348-AO348,2),0)</f>
        <v>0</v>
      </c>
      <c r="AR348" s="24">
        <f>IF(AQ347&gt;0,ROUND(AR347+ROUND(ROUND(AR347*100,0)*ROUND(AO$7*10000,0)/12000000,0)/100+0.02,2),0)</f>
        <v>0</v>
      </c>
      <c r="AS348" s="24">
        <f>IF(AU347&gt;0,IF(AND(ROUND(AU347+AT348-ROUND(AS$6+IF(AS$5=$C348,$E$5+$E348,0),2),2)&gt;0,ROUND(AU347+AT348-ROUND(AS$6+IF(AS$5=$C348,$E$5+$E348,0),2),2)&lt;=AV348,ROUND(AU347+AT348-ROUND(AS$6+IF(AS$5=$C348,$E$5+$E348,0),2),2)*10&lt;=ROUND(AS$6+IF(AS$5=$C348,$E$5+$E348,0),2)),ROUND(AU347+AT348,2),MIN(ROUND(AS$6+IF(AS$5=$C348,$E$5+$E348,0),2),ROUND(AU347+AT348,2))),0)</f>
        <v>0</v>
      </c>
      <c r="AT348" s="24">
        <f>IF(AU347&gt;0,ROUND(ROUND(AU347*100,0)*ROUND(AS$7*10000,0)/12000000,0)/100,0)</f>
        <v>0</v>
      </c>
      <c r="AU348" s="24">
        <f>IF(AU347&gt;0,ROUND(AU347+AT348-AS348,2),0)</f>
        <v>0</v>
      </c>
      <c r="AV348" s="24">
        <f>IF(AU347&gt;0,ROUND(AV347+ROUND(ROUND(AV347*100,0)*ROUND(AS$7*10000,0)/12000000,0)/100+0.02,2),0)</f>
        <v>0</v>
      </c>
    </row>
    <row r="349" spans="1:48" x14ac:dyDescent="0.25">
      <c r="A349" s="17" t="str">
        <f>IF(F349&gt;0,339,"")</f>
        <v/>
      </c>
      <c r="B349" s="18" t="str">
        <f>IF(F349&gt;0,EDATE($E$6,339),"")</f>
        <v/>
      </c>
      <c r="C349" s="21">
        <f>IF(H348&gt;0,MIN(IF(K348&gt;0,I$5,99),IF(O348&gt;0,M$5,99),IF(S348&gt;0,Q$5,99),IF(W348&gt;0,U$5,99),IF(AA348&gt;0,Y$5,99),IF(AE348&gt;0,AC$5,99),IF(AI348&gt;0,AG$5,99),IF(AM348&gt;0,AK$5,99),IF(AQ348&gt;0,AO$5,99),IF(AU348&gt;0,AS$5,99)),0)</f>
        <v>0</v>
      </c>
      <c r="D349" t="str">
        <f>IF(C349&gt;0,INDEX($I$4:$AV$4,1,MATCH(C349,$I$5:$AV$5,0)),"")</f>
        <v/>
      </c>
      <c r="E349" s="24">
        <f>ROUND(IF(AND(I$8&gt;0,K348=0),I$6,0)+IF(AND(M$8&gt;0,O348=0),M$6,0)+IF(AND(Q$8&gt;0,S348=0),Q$6,0)+IF(AND(U$8&gt;0,W348=0),U$6,0)+IF(AND(Y$8&gt;0,AA348=0),Y$6,0)+IF(AND(AC$8&gt;0,AE348=0),AC$6,0)+IF(AND(AG$8&gt;0,AI348=0),AG$6,0)+IF(AND(AK$8&gt;0,AM348=0),AK$6,0)+IF(AND(AO$8&gt;0,AQ348=0),AO$6,0)+IF(AND(AS$8&gt;0,AU348=0),AS$6,0),2)</f>
        <v>325</v>
      </c>
      <c r="F349" s="24">
        <f>ROUND(I349+M349+Q349+U349+Y349+AC349+AG349+AK349+AO349+AS349,2)</f>
        <v>0</v>
      </c>
      <c r="G349" s="24">
        <f>ROUND(J349+N349+R349+V349+Z349+AD349+AH349+AL349+AP349+AT349,2)</f>
        <v>0</v>
      </c>
      <c r="H349" s="24">
        <f>ROUND(K349+O349+S349+W349+AA349+AE349+AI349+AM349+AQ349+AU349,2)</f>
        <v>0</v>
      </c>
      <c r="I349" s="24">
        <f>IF(K348&gt;0,IF(AND(ROUND(K348+J349-ROUND(I$6+IF(I$5=$C349,$E$5+$E349,0),2),2)&gt;0,ROUND(K348+J349-ROUND(I$6+IF(I$5=$C349,$E$5+$E349,0),2),2)&lt;=L349,ROUND(K348+J349-ROUND(I$6+IF(I$5=$C349,$E$5+$E349,0),2),2)*10&lt;=ROUND(I$6+IF(I$5=$C349,$E$5+$E349,0),2)),ROUND(K348+J349,2),MIN(ROUND(I$6+IF(I$5=$C349,$E$5+$E349,0),2),ROUND(K348+J349,2))),0)</f>
        <v>0</v>
      </c>
      <c r="J349" s="24">
        <f>IF(K348&gt;0,ROUND(ROUND(K348*100,0)*ROUND(I$7*10000,0)/12000000,0)/100,0)</f>
        <v>0</v>
      </c>
      <c r="K349" s="24">
        <f>IF(K348&gt;0,ROUND(K348+J349-I349,2),0)</f>
        <v>0</v>
      </c>
      <c r="L349" s="24">
        <f>IF(K348&gt;0,ROUND(L348+ROUND(ROUND(L348*100,0)*ROUND(I$7*10000,0)/12000000,0)/100+0.02,2),0)</f>
        <v>0</v>
      </c>
      <c r="M349" s="24">
        <f>IF(O348&gt;0,IF(AND(ROUND(O348+N349-ROUND(M$6+IF(M$5=$C349,$E$5+$E349,0),2),2)&gt;0,ROUND(O348+N349-ROUND(M$6+IF(M$5=$C349,$E$5+$E349,0),2),2)&lt;=P349,ROUND(O348+N349-ROUND(M$6+IF(M$5=$C349,$E$5+$E349,0),2),2)*10&lt;=ROUND(M$6+IF(M$5=$C349,$E$5+$E349,0),2)),ROUND(O348+N349,2),MIN(ROUND(M$6+IF(M$5=$C349,$E$5+$E349,0),2),ROUND(O348+N349,2))),0)</f>
        <v>0</v>
      </c>
      <c r="N349" s="24">
        <f>IF(O348&gt;0,ROUND(ROUND(O348*100,0)*ROUND(M$7*10000,0)/12000000,0)/100,0)</f>
        <v>0</v>
      </c>
      <c r="O349" s="24">
        <f>IF(O348&gt;0,ROUND(O348+N349-M349,2),0)</f>
        <v>0</v>
      </c>
      <c r="P349" s="24">
        <f>IF(O348&gt;0,ROUND(P348+ROUND(ROUND(P348*100,0)*ROUND(M$7*10000,0)/12000000,0)/100+0.02,2),0)</f>
        <v>0</v>
      </c>
      <c r="Q349" s="24">
        <f>IF(S348&gt;0,IF(AND(ROUND(S348+R349-ROUND(Q$6+IF(Q$5=$C349,$E$5+$E349,0),2),2)&gt;0,ROUND(S348+R349-ROUND(Q$6+IF(Q$5=$C349,$E$5+$E349,0),2),2)&lt;=T349,ROUND(S348+R349-ROUND(Q$6+IF(Q$5=$C349,$E$5+$E349,0),2),2)*10&lt;=ROUND(Q$6+IF(Q$5=$C349,$E$5+$E349,0),2)),ROUND(S348+R349,2),MIN(ROUND(Q$6+IF(Q$5=$C349,$E$5+$E349,0),2),ROUND(S348+R349,2))),0)</f>
        <v>0</v>
      </c>
      <c r="R349" s="24">
        <f>IF(S348&gt;0,ROUND(ROUND(S348*100,0)*ROUND(Q$7*10000,0)/12000000,0)/100,0)</f>
        <v>0</v>
      </c>
      <c r="S349" s="24">
        <f>IF(S348&gt;0,ROUND(S348+R349-Q349,2),0)</f>
        <v>0</v>
      </c>
      <c r="T349" s="24">
        <f>IF(S348&gt;0,ROUND(T348+ROUND(ROUND(T348*100,0)*ROUND(Q$7*10000,0)/12000000,0)/100+0.02,2),0)</f>
        <v>0</v>
      </c>
      <c r="U349" s="24">
        <f>IF(W348&gt;0,IF(AND(ROUND(W348+V349-ROUND(U$6+IF(U$5=$C349,$E$5+$E349,0),2),2)&gt;0,ROUND(W348+V349-ROUND(U$6+IF(U$5=$C349,$E$5+$E349,0),2),2)&lt;=X349,ROUND(W348+V349-ROUND(U$6+IF(U$5=$C349,$E$5+$E349,0),2),2)*10&lt;=ROUND(U$6+IF(U$5=$C349,$E$5+$E349,0),2)),ROUND(W348+V349,2),MIN(ROUND(U$6+IF(U$5=$C349,$E$5+$E349,0),2),ROUND(W348+V349,2))),0)</f>
        <v>0</v>
      </c>
      <c r="V349" s="24">
        <f>IF(W348&gt;0,ROUND(ROUND(W348*100,0)*ROUND(U$7*10000,0)/12000000,0)/100,0)</f>
        <v>0</v>
      </c>
      <c r="W349" s="24">
        <f>IF(W348&gt;0,ROUND(W348+V349-U349,2),0)</f>
        <v>0</v>
      </c>
      <c r="X349" s="24">
        <f>IF(W348&gt;0,ROUND(X348+ROUND(ROUND(X348*100,0)*ROUND(U$7*10000,0)/12000000,0)/100+0.02,2),0)</f>
        <v>0</v>
      </c>
      <c r="Y349" s="24">
        <f>IF(AA348&gt;0,IF(AND(ROUND(AA348+Z349-ROUND(Y$6+IF(Y$5=$C349,$E$5+$E349,0),2),2)&gt;0,ROUND(AA348+Z349-ROUND(Y$6+IF(Y$5=$C349,$E$5+$E349,0),2),2)&lt;=AB349,ROUND(AA348+Z349-ROUND(Y$6+IF(Y$5=$C349,$E$5+$E349,0),2),2)*10&lt;=ROUND(Y$6+IF(Y$5=$C349,$E$5+$E349,0),2)),ROUND(AA348+Z349,2),MIN(ROUND(Y$6+IF(Y$5=$C349,$E$5+$E349,0),2),ROUND(AA348+Z349,2))),0)</f>
        <v>0</v>
      </c>
      <c r="Z349" s="24">
        <f>IF(AA348&gt;0,ROUND(ROUND(AA348*100,0)*ROUND(Y$7*10000,0)/12000000,0)/100,0)</f>
        <v>0</v>
      </c>
      <c r="AA349" s="24">
        <f>IF(AA348&gt;0,ROUND(AA348+Z349-Y349,2),0)</f>
        <v>0</v>
      </c>
      <c r="AB349" s="24">
        <f>IF(AA348&gt;0,ROUND(AB348+ROUND(ROUND(AB348*100,0)*ROUND(Y$7*10000,0)/12000000,0)/100+0.02,2),0)</f>
        <v>0</v>
      </c>
      <c r="AC349" s="24">
        <f>IF(AE348&gt;0,IF(AND(ROUND(AE348+AD349-ROUND(AC$6+IF(AC$5=$C349,$E$5+$E349,0),2),2)&gt;0,ROUND(AE348+AD349-ROUND(AC$6+IF(AC$5=$C349,$E$5+$E349,0),2),2)&lt;=AF349,ROUND(AE348+AD349-ROUND(AC$6+IF(AC$5=$C349,$E$5+$E349,0),2),2)*10&lt;=ROUND(AC$6+IF(AC$5=$C349,$E$5+$E349,0),2)),ROUND(AE348+AD349,2),MIN(ROUND(AC$6+IF(AC$5=$C349,$E$5+$E349,0),2),ROUND(AE348+AD349,2))),0)</f>
        <v>0</v>
      </c>
      <c r="AD349" s="24">
        <f>IF(AE348&gt;0,ROUND(ROUND(AE348*100,0)*ROUND(AC$7*10000,0)/12000000,0)/100,0)</f>
        <v>0</v>
      </c>
      <c r="AE349" s="24">
        <f>IF(AE348&gt;0,ROUND(AE348+AD349-AC349,2),0)</f>
        <v>0</v>
      </c>
      <c r="AF349" s="24">
        <f>IF(AE348&gt;0,ROUND(AF348+ROUND(ROUND(AF348*100,0)*ROUND(AC$7*10000,0)/12000000,0)/100+0.02,2),0)</f>
        <v>0</v>
      </c>
      <c r="AG349" s="24">
        <f>IF(AI348&gt;0,IF(AND(ROUND(AI348+AH349-ROUND(AG$6+IF(AG$5=$C349,$E$5+$E349,0),2),2)&gt;0,ROUND(AI348+AH349-ROUND(AG$6+IF(AG$5=$C349,$E$5+$E349,0),2),2)&lt;=AJ349,ROUND(AI348+AH349-ROUND(AG$6+IF(AG$5=$C349,$E$5+$E349,0),2),2)*10&lt;=ROUND(AG$6+IF(AG$5=$C349,$E$5+$E349,0),2)),ROUND(AI348+AH349,2),MIN(ROUND(AG$6+IF(AG$5=$C349,$E$5+$E349,0),2),ROUND(AI348+AH349,2))),0)</f>
        <v>0</v>
      </c>
      <c r="AH349" s="24">
        <f>IF(AI348&gt;0,ROUND(ROUND(AI348*100,0)*ROUND(AG$7*10000,0)/12000000,0)/100,0)</f>
        <v>0</v>
      </c>
      <c r="AI349" s="24">
        <f>IF(AI348&gt;0,ROUND(AI348+AH349-AG349,2),0)</f>
        <v>0</v>
      </c>
      <c r="AJ349" s="24">
        <f>IF(AI348&gt;0,ROUND(AJ348+ROUND(ROUND(AJ348*100,0)*ROUND(AG$7*10000,0)/12000000,0)/100+0.02,2),0)</f>
        <v>0</v>
      </c>
      <c r="AK349" s="24">
        <f>IF(AM348&gt;0,IF(AND(ROUND(AM348+AL349-ROUND(AK$6+IF(AK$5=$C349,$E$5+$E349,0),2),2)&gt;0,ROUND(AM348+AL349-ROUND(AK$6+IF(AK$5=$C349,$E$5+$E349,0),2),2)&lt;=AN349,ROUND(AM348+AL349-ROUND(AK$6+IF(AK$5=$C349,$E$5+$E349,0),2),2)*10&lt;=ROUND(AK$6+IF(AK$5=$C349,$E$5+$E349,0),2)),ROUND(AM348+AL349,2),MIN(ROUND(AK$6+IF(AK$5=$C349,$E$5+$E349,0),2),ROUND(AM348+AL349,2))),0)</f>
        <v>0</v>
      </c>
      <c r="AL349" s="24">
        <f>IF(AM348&gt;0,ROUND(ROUND(AM348*100,0)*ROUND(AK$7*10000,0)/12000000,0)/100,0)</f>
        <v>0</v>
      </c>
      <c r="AM349" s="24">
        <f>IF(AM348&gt;0,ROUND(AM348+AL349-AK349,2),0)</f>
        <v>0</v>
      </c>
      <c r="AN349" s="24">
        <f>IF(AM348&gt;0,ROUND(AN348+ROUND(ROUND(AN348*100,0)*ROUND(AK$7*10000,0)/12000000,0)/100+0.02,2),0)</f>
        <v>0</v>
      </c>
      <c r="AO349" s="24">
        <f>IF(AQ348&gt;0,IF(AND(ROUND(AQ348+AP349-ROUND(AO$6+IF(AO$5=$C349,$E$5+$E349,0),2),2)&gt;0,ROUND(AQ348+AP349-ROUND(AO$6+IF(AO$5=$C349,$E$5+$E349,0),2),2)&lt;=AR349,ROUND(AQ348+AP349-ROUND(AO$6+IF(AO$5=$C349,$E$5+$E349,0),2),2)*10&lt;=ROUND(AO$6+IF(AO$5=$C349,$E$5+$E349,0),2)),ROUND(AQ348+AP349,2),MIN(ROUND(AO$6+IF(AO$5=$C349,$E$5+$E349,0),2),ROUND(AQ348+AP349,2))),0)</f>
        <v>0</v>
      </c>
      <c r="AP349" s="24">
        <f>IF(AQ348&gt;0,ROUND(ROUND(AQ348*100,0)*ROUND(AO$7*10000,0)/12000000,0)/100,0)</f>
        <v>0</v>
      </c>
      <c r="AQ349" s="24">
        <f>IF(AQ348&gt;0,ROUND(AQ348+AP349-AO349,2),0)</f>
        <v>0</v>
      </c>
      <c r="AR349" s="24">
        <f>IF(AQ348&gt;0,ROUND(AR348+ROUND(ROUND(AR348*100,0)*ROUND(AO$7*10000,0)/12000000,0)/100+0.02,2),0)</f>
        <v>0</v>
      </c>
      <c r="AS349" s="24">
        <f>IF(AU348&gt;0,IF(AND(ROUND(AU348+AT349-ROUND(AS$6+IF(AS$5=$C349,$E$5+$E349,0),2),2)&gt;0,ROUND(AU348+AT349-ROUND(AS$6+IF(AS$5=$C349,$E$5+$E349,0),2),2)&lt;=AV349,ROUND(AU348+AT349-ROUND(AS$6+IF(AS$5=$C349,$E$5+$E349,0),2),2)*10&lt;=ROUND(AS$6+IF(AS$5=$C349,$E$5+$E349,0),2)),ROUND(AU348+AT349,2),MIN(ROUND(AS$6+IF(AS$5=$C349,$E$5+$E349,0),2),ROUND(AU348+AT349,2))),0)</f>
        <v>0</v>
      </c>
      <c r="AT349" s="24">
        <f>IF(AU348&gt;0,ROUND(ROUND(AU348*100,0)*ROUND(AS$7*10000,0)/12000000,0)/100,0)</f>
        <v>0</v>
      </c>
      <c r="AU349" s="24">
        <f>IF(AU348&gt;0,ROUND(AU348+AT349-AS349,2),0)</f>
        <v>0</v>
      </c>
      <c r="AV349" s="24">
        <f>IF(AU348&gt;0,ROUND(AV348+ROUND(ROUND(AV348*100,0)*ROUND(AS$7*10000,0)/12000000,0)/100+0.02,2),0)</f>
        <v>0</v>
      </c>
    </row>
    <row r="350" spans="1:48" x14ac:dyDescent="0.25">
      <c r="A350" s="17" t="str">
        <f>IF(F350&gt;0,340,"")</f>
        <v/>
      </c>
      <c r="B350" s="18" t="str">
        <f>IF(F350&gt;0,EDATE($E$6,340),"")</f>
        <v/>
      </c>
      <c r="C350" s="21">
        <f>IF(H349&gt;0,MIN(IF(K349&gt;0,I$5,99),IF(O349&gt;0,M$5,99),IF(S349&gt;0,Q$5,99),IF(W349&gt;0,U$5,99),IF(AA349&gt;0,Y$5,99),IF(AE349&gt;0,AC$5,99),IF(AI349&gt;0,AG$5,99),IF(AM349&gt;0,AK$5,99),IF(AQ349&gt;0,AO$5,99),IF(AU349&gt;0,AS$5,99)),0)</f>
        <v>0</v>
      </c>
      <c r="D350" t="str">
        <f>IF(C350&gt;0,INDEX($I$4:$AV$4,1,MATCH(C350,$I$5:$AV$5,0)),"")</f>
        <v/>
      </c>
      <c r="E350" s="24">
        <f>ROUND(IF(AND(I$8&gt;0,K349=0),I$6,0)+IF(AND(M$8&gt;0,O349=0),M$6,0)+IF(AND(Q$8&gt;0,S349=0),Q$6,0)+IF(AND(U$8&gt;0,W349=0),U$6,0)+IF(AND(Y$8&gt;0,AA349=0),Y$6,0)+IF(AND(AC$8&gt;0,AE349=0),AC$6,0)+IF(AND(AG$8&gt;0,AI349=0),AG$6,0)+IF(AND(AK$8&gt;0,AM349=0),AK$6,0)+IF(AND(AO$8&gt;0,AQ349=0),AO$6,0)+IF(AND(AS$8&gt;0,AU349=0),AS$6,0),2)</f>
        <v>325</v>
      </c>
      <c r="F350" s="24">
        <f>ROUND(I350+M350+Q350+U350+Y350+AC350+AG350+AK350+AO350+AS350,2)</f>
        <v>0</v>
      </c>
      <c r="G350" s="24">
        <f>ROUND(J350+N350+R350+V350+Z350+AD350+AH350+AL350+AP350+AT350,2)</f>
        <v>0</v>
      </c>
      <c r="H350" s="24">
        <f>ROUND(K350+O350+S350+W350+AA350+AE350+AI350+AM350+AQ350+AU350,2)</f>
        <v>0</v>
      </c>
      <c r="I350" s="24">
        <f>IF(K349&gt;0,IF(AND(ROUND(K349+J350-ROUND(I$6+IF(I$5=$C350,$E$5+$E350,0),2),2)&gt;0,ROUND(K349+J350-ROUND(I$6+IF(I$5=$C350,$E$5+$E350,0),2),2)&lt;=L350,ROUND(K349+J350-ROUND(I$6+IF(I$5=$C350,$E$5+$E350,0),2),2)*10&lt;=ROUND(I$6+IF(I$5=$C350,$E$5+$E350,0),2)),ROUND(K349+J350,2),MIN(ROUND(I$6+IF(I$5=$C350,$E$5+$E350,0),2),ROUND(K349+J350,2))),0)</f>
        <v>0</v>
      </c>
      <c r="J350" s="24">
        <f>IF(K349&gt;0,ROUND(ROUND(K349*100,0)*ROUND(I$7*10000,0)/12000000,0)/100,0)</f>
        <v>0</v>
      </c>
      <c r="K350" s="24">
        <f>IF(K349&gt;0,ROUND(K349+J350-I350,2),0)</f>
        <v>0</v>
      </c>
      <c r="L350" s="24">
        <f>IF(K349&gt;0,ROUND(L349+ROUND(ROUND(L349*100,0)*ROUND(I$7*10000,0)/12000000,0)/100+0.02,2),0)</f>
        <v>0</v>
      </c>
      <c r="M350" s="24">
        <f>IF(O349&gt;0,IF(AND(ROUND(O349+N350-ROUND(M$6+IF(M$5=$C350,$E$5+$E350,0),2),2)&gt;0,ROUND(O349+N350-ROUND(M$6+IF(M$5=$C350,$E$5+$E350,0),2),2)&lt;=P350,ROUND(O349+N350-ROUND(M$6+IF(M$5=$C350,$E$5+$E350,0),2),2)*10&lt;=ROUND(M$6+IF(M$5=$C350,$E$5+$E350,0),2)),ROUND(O349+N350,2),MIN(ROUND(M$6+IF(M$5=$C350,$E$5+$E350,0),2),ROUND(O349+N350,2))),0)</f>
        <v>0</v>
      </c>
      <c r="N350" s="24">
        <f>IF(O349&gt;0,ROUND(ROUND(O349*100,0)*ROUND(M$7*10000,0)/12000000,0)/100,0)</f>
        <v>0</v>
      </c>
      <c r="O350" s="24">
        <f>IF(O349&gt;0,ROUND(O349+N350-M350,2),0)</f>
        <v>0</v>
      </c>
      <c r="P350" s="24">
        <f>IF(O349&gt;0,ROUND(P349+ROUND(ROUND(P349*100,0)*ROUND(M$7*10000,0)/12000000,0)/100+0.02,2),0)</f>
        <v>0</v>
      </c>
      <c r="Q350" s="24">
        <f>IF(S349&gt;0,IF(AND(ROUND(S349+R350-ROUND(Q$6+IF(Q$5=$C350,$E$5+$E350,0),2),2)&gt;0,ROUND(S349+R350-ROUND(Q$6+IF(Q$5=$C350,$E$5+$E350,0),2),2)&lt;=T350,ROUND(S349+R350-ROUND(Q$6+IF(Q$5=$C350,$E$5+$E350,0),2),2)*10&lt;=ROUND(Q$6+IF(Q$5=$C350,$E$5+$E350,0),2)),ROUND(S349+R350,2),MIN(ROUND(Q$6+IF(Q$5=$C350,$E$5+$E350,0),2),ROUND(S349+R350,2))),0)</f>
        <v>0</v>
      </c>
      <c r="R350" s="24">
        <f>IF(S349&gt;0,ROUND(ROUND(S349*100,0)*ROUND(Q$7*10000,0)/12000000,0)/100,0)</f>
        <v>0</v>
      </c>
      <c r="S350" s="24">
        <f>IF(S349&gt;0,ROUND(S349+R350-Q350,2),0)</f>
        <v>0</v>
      </c>
      <c r="T350" s="24">
        <f>IF(S349&gt;0,ROUND(T349+ROUND(ROUND(T349*100,0)*ROUND(Q$7*10000,0)/12000000,0)/100+0.02,2),0)</f>
        <v>0</v>
      </c>
      <c r="U350" s="24">
        <f>IF(W349&gt;0,IF(AND(ROUND(W349+V350-ROUND(U$6+IF(U$5=$C350,$E$5+$E350,0),2),2)&gt;0,ROUND(W349+V350-ROUND(U$6+IF(U$5=$C350,$E$5+$E350,0),2),2)&lt;=X350,ROUND(W349+V350-ROUND(U$6+IF(U$5=$C350,$E$5+$E350,0),2),2)*10&lt;=ROUND(U$6+IF(U$5=$C350,$E$5+$E350,0),2)),ROUND(W349+V350,2),MIN(ROUND(U$6+IF(U$5=$C350,$E$5+$E350,0),2),ROUND(W349+V350,2))),0)</f>
        <v>0</v>
      </c>
      <c r="V350" s="24">
        <f>IF(W349&gt;0,ROUND(ROUND(W349*100,0)*ROUND(U$7*10000,0)/12000000,0)/100,0)</f>
        <v>0</v>
      </c>
      <c r="W350" s="24">
        <f>IF(W349&gt;0,ROUND(W349+V350-U350,2),0)</f>
        <v>0</v>
      </c>
      <c r="X350" s="24">
        <f>IF(W349&gt;0,ROUND(X349+ROUND(ROUND(X349*100,0)*ROUND(U$7*10000,0)/12000000,0)/100+0.02,2),0)</f>
        <v>0</v>
      </c>
      <c r="Y350" s="24">
        <f>IF(AA349&gt;0,IF(AND(ROUND(AA349+Z350-ROUND(Y$6+IF(Y$5=$C350,$E$5+$E350,0),2),2)&gt;0,ROUND(AA349+Z350-ROUND(Y$6+IF(Y$5=$C350,$E$5+$E350,0),2),2)&lt;=AB350,ROUND(AA349+Z350-ROUND(Y$6+IF(Y$5=$C350,$E$5+$E350,0),2),2)*10&lt;=ROUND(Y$6+IF(Y$5=$C350,$E$5+$E350,0),2)),ROUND(AA349+Z350,2),MIN(ROUND(Y$6+IF(Y$5=$C350,$E$5+$E350,0),2),ROUND(AA349+Z350,2))),0)</f>
        <v>0</v>
      </c>
      <c r="Z350" s="24">
        <f>IF(AA349&gt;0,ROUND(ROUND(AA349*100,0)*ROUND(Y$7*10000,0)/12000000,0)/100,0)</f>
        <v>0</v>
      </c>
      <c r="AA350" s="24">
        <f>IF(AA349&gt;0,ROUND(AA349+Z350-Y350,2),0)</f>
        <v>0</v>
      </c>
      <c r="AB350" s="24">
        <f>IF(AA349&gt;0,ROUND(AB349+ROUND(ROUND(AB349*100,0)*ROUND(Y$7*10000,0)/12000000,0)/100+0.02,2),0)</f>
        <v>0</v>
      </c>
      <c r="AC350" s="24">
        <f>IF(AE349&gt;0,IF(AND(ROUND(AE349+AD350-ROUND(AC$6+IF(AC$5=$C350,$E$5+$E350,0),2),2)&gt;0,ROUND(AE349+AD350-ROUND(AC$6+IF(AC$5=$C350,$E$5+$E350,0),2),2)&lt;=AF350,ROUND(AE349+AD350-ROUND(AC$6+IF(AC$5=$C350,$E$5+$E350,0),2),2)*10&lt;=ROUND(AC$6+IF(AC$5=$C350,$E$5+$E350,0),2)),ROUND(AE349+AD350,2),MIN(ROUND(AC$6+IF(AC$5=$C350,$E$5+$E350,0),2),ROUND(AE349+AD350,2))),0)</f>
        <v>0</v>
      </c>
      <c r="AD350" s="24">
        <f>IF(AE349&gt;0,ROUND(ROUND(AE349*100,0)*ROUND(AC$7*10000,0)/12000000,0)/100,0)</f>
        <v>0</v>
      </c>
      <c r="AE350" s="24">
        <f>IF(AE349&gt;0,ROUND(AE349+AD350-AC350,2),0)</f>
        <v>0</v>
      </c>
      <c r="AF350" s="24">
        <f>IF(AE349&gt;0,ROUND(AF349+ROUND(ROUND(AF349*100,0)*ROUND(AC$7*10000,0)/12000000,0)/100+0.02,2),0)</f>
        <v>0</v>
      </c>
      <c r="AG350" s="24">
        <f>IF(AI349&gt;0,IF(AND(ROUND(AI349+AH350-ROUND(AG$6+IF(AG$5=$C350,$E$5+$E350,0),2),2)&gt;0,ROUND(AI349+AH350-ROUND(AG$6+IF(AG$5=$C350,$E$5+$E350,0),2),2)&lt;=AJ350,ROUND(AI349+AH350-ROUND(AG$6+IF(AG$5=$C350,$E$5+$E350,0),2),2)*10&lt;=ROUND(AG$6+IF(AG$5=$C350,$E$5+$E350,0),2)),ROUND(AI349+AH350,2),MIN(ROUND(AG$6+IF(AG$5=$C350,$E$5+$E350,0),2),ROUND(AI349+AH350,2))),0)</f>
        <v>0</v>
      </c>
      <c r="AH350" s="24">
        <f>IF(AI349&gt;0,ROUND(ROUND(AI349*100,0)*ROUND(AG$7*10000,0)/12000000,0)/100,0)</f>
        <v>0</v>
      </c>
      <c r="AI350" s="24">
        <f>IF(AI349&gt;0,ROUND(AI349+AH350-AG350,2),0)</f>
        <v>0</v>
      </c>
      <c r="AJ350" s="24">
        <f>IF(AI349&gt;0,ROUND(AJ349+ROUND(ROUND(AJ349*100,0)*ROUND(AG$7*10000,0)/12000000,0)/100+0.02,2),0)</f>
        <v>0</v>
      </c>
      <c r="AK350" s="24">
        <f>IF(AM349&gt;0,IF(AND(ROUND(AM349+AL350-ROUND(AK$6+IF(AK$5=$C350,$E$5+$E350,0),2),2)&gt;0,ROUND(AM349+AL350-ROUND(AK$6+IF(AK$5=$C350,$E$5+$E350,0),2),2)&lt;=AN350,ROUND(AM349+AL350-ROUND(AK$6+IF(AK$5=$C350,$E$5+$E350,0),2),2)*10&lt;=ROUND(AK$6+IF(AK$5=$C350,$E$5+$E350,0),2)),ROUND(AM349+AL350,2),MIN(ROUND(AK$6+IF(AK$5=$C350,$E$5+$E350,0),2),ROUND(AM349+AL350,2))),0)</f>
        <v>0</v>
      </c>
      <c r="AL350" s="24">
        <f>IF(AM349&gt;0,ROUND(ROUND(AM349*100,0)*ROUND(AK$7*10000,0)/12000000,0)/100,0)</f>
        <v>0</v>
      </c>
      <c r="AM350" s="24">
        <f>IF(AM349&gt;0,ROUND(AM349+AL350-AK350,2),0)</f>
        <v>0</v>
      </c>
      <c r="AN350" s="24">
        <f>IF(AM349&gt;0,ROUND(AN349+ROUND(ROUND(AN349*100,0)*ROUND(AK$7*10000,0)/12000000,0)/100+0.02,2),0)</f>
        <v>0</v>
      </c>
      <c r="AO350" s="24">
        <f>IF(AQ349&gt;0,IF(AND(ROUND(AQ349+AP350-ROUND(AO$6+IF(AO$5=$C350,$E$5+$E350,0),2),2)&gt;0,ROUND(AQ349+AP350-ROUND(AO$6+IF(AO$5=$C350,$E$5+$E350,0),2),2)&lt;=AR350,ROUND(AQ349+AP350-ROUND(AO$6+IF(AO$5=$C350,$E$5+$E350,0),2),2)*10&lt;=ROUND(AO$6+IF(AO$5=$C350,$E$5+$E350,0),2)),ROUND(AQ349+AP350,2),MIN(ROUND(AO$6+IF(AO$5=$C350,$E$5+$E350,0),2),ROUND(AQ349+AP350,2))),0)</f>
        <v>0</v>
      </c>
      <c r="AP350" s="24">
        <f>IF(AQ349&gt;0,ROUND(ROUND(AQ349*100,0)*ROUND(AO$7*10000,0)/12000000,0)/100,0)</f>
        <v>0</v>
      </c>
      <c r="AQ350" s="24">
        <f>IF(AQ349&gt;0,ROUND(AQ349+AP350-AO350,2),0)</f>
        <v>0</v>
      </c>
      <c r="AR350" s="24">
        <f>IF(AQ349&gt;0,ROUND(AR349+ROUND(ROUND(AR349*100,0)*ROUND(AO$7*10000,0)/12000000,0)/100+0.02,2),0)</f>
        <v>0</v>
      </c>
      <c r="AS350" s="24">
        <f>IF(AU349&gt;0,IF(AND(ROUND(AU349+AT350-ROUND(AS$6+IF(AS$5=$C350,$E$5+$E350,0),2),2)&gt;0,ROUND(AU349+AT350-ROUND(AS$6+IF(AS$5=$C350,$E$5+$E350,0),2),2)&lt;=AV350,ROUND(AU349+AT350-ROUND(AS$6+IF(AS$5=$C350,$E$5+$E350,0),2),2)*10&lt;=ROUND(AS$6+IF(AS$5=$C350,$E$5+$E350,0),2)),ROUND(AU349+AT350,2),MIN(ROUND(AS$6+IF(AS$5=$C350,$E$5+$E350,0),2),ROUND(AU349+AT350,2))),0)</f>
        <v>0</v>
      </c>
      <c r="AT350" s="24">
        <f>IF(AU349&gt;0,ROUND(ROUND(AU349*100,0)*ROUND(AS$7*10000,0)/12000000,0)/100,0)</f>
        <v>0</v>
      </c>
      <c r="AU350" s="24">
        <f>IF(AU349&gt;0,ROUND(AU349+AT350-AS350,2),0)</f>
        <v>0</v>
      </c>
      <c r="AV350" s="24">
        <f>IF(AU349&gt;0,ROUND(AV349+ROUND(ROUND(AV349*100,0)*ROUND(AS$7*10000,0)/12000000,0)/100+0.02,2),0)</f>
        <v>0</v>
      </c>
    </row>
    <row r="351" spans="1:48" x14ac:dyDescent="0.25">
      <c r="A351" s="17" t="str">
        <f>IF(F351&gt;0,341,"")</f>
        <v/>
      </c>
      <c r="B351" s="18" t="str">
        <f>IF(F351&gt;0,EDATE($E$6,341),"")</f>
        <v/>
      </c>
      <c r="C351" s="21">
        <f>IF(H350&gt;0,MIN(IF(K350&gt;0,I$5,99),IF(O350&gt;0,M$5,99),IF(S350&gt;0,Q$5,99),IF(W350&gt;0,U$5,99),IF(AA350&gt;0,Y$5,99),IF(AE350&gt;0,AC$5,99),IF(AI350&gt;0,AG$5,99),IF(AM350&gt;0,AK$5,99),IF(AQ350&gt;0,AO$5,99),IF(AU350&gt;0,AS$5,99)),0)</f>
        <v>0</v>
      </c>
      <c r="D351" t="str">
        <f>IF(C351&gt;0,INDEX($I$4:$AV$4,1,MATCH(C351,$I$5:$AV$5,0)),"")</f>
        <v/>
      </c>
      <c r="E351" s="24">
        <f>ROUND(IF(AND(I$8&gt;0,K350=0),I$6,0)+IF(AND(M$8&gt;0,O350=0),M$6,0)+IF(AND(Q$8&gt;0,S350=0),Q$6,0)+IF(AND(U$8&gt;0,W350=0),U$6,0)+IF(AND(Y$8&gt;0,AA350=0),Y$6,0)+IF(AND(AC$8&gt;0,AE350=0),AC$6,0)+IF(AND(AG$8&gt;0,AI350=0),AG$6,0)+IF(AND(AK$8&gt;0,AM350=0),AK$6,0)+IF(AND(AO$8&gt;0,AQ350=0),AO$6,0)+IF(AND(AS$8&gt;0,AU350=0),AS$6,0),2)</f>
        <v>325</v>
      </c>
      <c r="F351" s="24">
        <f>ROUND(I351+M351+Q351+U351+Y351+AC351+AG351+AK351+AO351+AS351,2)</f>
        <v>0</v>
      </c>
      <c r="G351" s="24">
        <f>ROUND(J351+N351+R351+V351+Z351+AD351+AH351+AL351+AP351+AT351,2)</f>
        <v>0</v>
      </c>
      <c r="H351" s="24">
        <f>ROUND(K351+O351+S351+W351+AA351+AE351+AI351+AM351+AQ351+AU351,2)</f>
        <v>0</v>
      </c>
      <c r="I351" s="24">
        <f>IF(K350&gt;0,IF(AND(ROUND(K350+J351-ROUND(I$6+IF(I$5=$C351,$E$5+$E351,0),2),2)&gt;0,ROUND(K350+J351-ROUND(I$6+IF(I$5=$C351,$E$5+$E351,0),2),2)&lt;=L351,ROUND(K350+J351-ROUND(I$6+IF(I$5=$C351,$E$5+$E351,0),2),2)*10&lt;=ROUND(I$6+IF(I$5=$C351,$E$5+$E351,0),2)),ROUND(K350+J351,2),MIN(ROUND(I$6+IF(I$5=$C351,$E$5+$E351,0),2),ROUND(K350+J351,2))),0)</f>
        <v>0</v>
      </c>
      <c r="J351" s="24">
        <f>IF(K350&gt;0,ROUND(ROUND(K350*100,0)*ROUND(I$7*10000,0)/12000000,0)/100,0)</f>
        <v>0</v>
      </c>
      <c r="K351" s="24">
        <f>IF(K350&gt;0,ROUND(K350+J351-I351,2),0)</f>
        <v>0</v>
      </c>
      <c r="L351" s="24">
        <f>IF(K350&gt;0,ROUND(L350+ROUND(ROUND(L350*100,0)*ROUND(I$7*10000,0)/12000000,0)/100+0.02,2),0)</f>
        <v>0</v>
      </c>
      <c r="M351" s="24">
        <f>IF(O350&gt;0,IF(AND(ROUND(O350+N351-ROUND(M$6+IF(M$5=$C351,$E$5+$E351,0),2),2)&gt;0,ROUND(O350+N351-ROUND(M$6+IF(M$5=$C351,$E$5+$E351,0),2),2)&lt;=P351,ROUND(O350+N351-ROUND(M$6+IF(M$5=$C351,$E$5+$E351,0),2),2)*10&lt;=ROUND(M$6+IF(M$5=$C351,$E$5+$E351,0),2)),ROUND(O350+N351,2),MIN(ROUND(M$6+IF(M$5=$C351,$E$5+$E351,0),2),ROUND(O350+N351,2))),0)</f>
        <v>0</v>
      </c>
      <c r="N351" s="24">
        <f>IF(O350&gt;0,ROUND(ROUND(O350*100,0)*ROUND(M$7*10000,0)/12000000,0)/100,0)</f>
        <v>0</v>
      </c>
      <c r="O351" s="24">
        <f>IF(O350&gt;0,ROUND(O350+N351-M351,2),0)</f>
        <v>0</v>
      </c>
      <c r="P351" s="24">
        <f>IF(O350&gt;0,ROUND(P350+ROUND(ROUND(P350*100,0)*ROUND(M$7*10000,0)/12000000,0)/100+0.02,2),0)</f>
        <v>0</v>
      </c>
      <c r="Q351" s="24">
        <f>IF(S350&gt;0,IF(AND(ROUND(S350+R351-ROUND(Q$6+IF(Q$5=$C351,$E$5+$E351,0),2),2)&gt;0,ROUND(S350+R351-ROUND(Q$6+IF(Q$5=$C351,$E$5+$E351,0),2),2)&lt;=T351,ROUND(S350+R351-ROUND(Q$6+IF(Q$5=$C351,$E$5+$E351,0),2),2)*10&lt;=ROUND(Q$6+IF(Q$5=$C351,$E$5+$E351,0),2)),ROUND(S350+R351,2),MIN(ROUND(Q$6+IF(Q$5=$C351,$E$5+$E351,0),2),ROUND(S350+R351,2))),0)</f>
        <v>0</v>
      </c>
      <c r="R351" s="24">
        <f>IF(S350&gt;0,ROUND(ROUND(S350*100,0)*ROUND(Q$7*10000,0)/12000000,0)/100,0)</f>
        <v>0</v>
      </c>
      <c r="S351" s="24">
        <f>IF(S350&gt;0,ROUND(S350+R351-Q351,2),0)</f>
        <v>0</v>
      </c>
      <c r="T351" s="24">
        <f>IF(S350&gt;0,ROUND(T350+ROUND(ROUND(T350*100,0)*ROUND(Q$7*10000,0)/12000000,0)/100+0.02,2),0)</f>
        <v>0</v>
      </c>
      <c r="U351" s="24">
        <f>IF(W350&gt;0,IF(AND(ROUND(W350+V351-ROUND(U$6+IF(U$5=$C351,$E$5+$E351,0),2),2)&gt;0,ROUND(W350+V351-ROUND(U$6+IF(U$5=$C351,$E$5+$E351,0),2),2)&lt;=X351,ROUND(W350+V351-ROUND(U$6+IF(U$5=$C351,$E$5+$E351,0),2),2)*10&lt;=ROUND(U$6+IF(U$5=$C351,$E$5+$E351,0),2)),ROUND(W350+V351,2),MIN(ROUND(U$6+IF(U$5=$C351,$E$5+$E351,0),2),ROUND(W350+V351,2))),0)</f>
        <v>0</v>
      </c>
      <c r="V351" s="24">
        <f>IF(W350&gt;0,ROUND(ROUND(W350*100,0)*ROUND(U$7*10000,0)/12000000,0)/100,0)</f>
        <v>0</v>
      </c>
      <c r="W351" s="24">
        <f>IF(W350&gt;0,ROUND(W350+V351-U351,2),0)</f>
        <v>0</v>
      </c>
      <c r="X351" s="24">
        <f>IF(W350&gt;0,ROUND(X350+ROUND(ROUND(X350*100,0)*ROUND(U$7*10000,0)/12000000,0)/100+0.02,2),0)</f>
        <v>0</v>
      </c>
      <c r="Y351" s="24">
        <f>IF(AA350&gt;0,IF(AND(ROUND(AA350+Z351-ROUND(Y$6+IF(Y$5=$C351,$E$5+$E351,0),2),2)&gt;0,ROUND(AA350+Z351-ROUND(Y$6+IF(Y$5=$C351,$E$5+$E351,0),2),2)&lt;=AB351,ROUND(AA350+Z351-ROUND(Y$6+IF(Y$5=$C351,$E$5+$E351,0),2),2)*10&lt;=ROUND(Y$6+IF(Y$5=$C351,$E$5+$E351,0),2)),ROUND(AA350+Z351,2),MIN(ROUND(Y$6+IF(Y$5=$C351,$E$5+$E351,0),2),ROUND(AA350+Z351,2))),0)</f>
        <v>0</v>
      </c>
      <c r="Z351" s="24">
        <f>IF(AA350&gt;0,ROUND(ROUND(AA350*100,0)*ROUND(Y$7*10000,0)/12000000,0)/100,0)</f>
        <v>0</v>
      </c>
      <c r="AA351" s="24">
        <f>IF(AA350&gt;0,ROUND(AA350+Z351-Y351,2),0)</f>
        <v>0</v>
      </c>
      <c r="AB351" s="24">
        <f>IF(AA350&gt;0,ROUND(AB350+ROUND(ROUND(AB350*100,0)*ROUND(Y$7*10000,0)/12000000,0)/100+0.02,2),0)</f>
        <v>0</v>
      </c>
      <c r="AC351" s="24">
        <f>IF(AE350&gt;0,IF(AND(ROUND(AE350+AD351-ROUND(AC$6+IF(AC$5=$C351,$E$5+$E351,0),2),2)&gt;0,ROUND(AE350+AD351-ROUND(AC$6+IF(AC$5=$C351,$E$5+$E351,0),2),2)&lt;=AF351,ROUND(AE350+AD351-ROUND(AC$6+IF(AC$5=$C351,$E$5+$E351,0),2),2)*10&lt;=ROUND(AC$6+IF(AC$5=$C351,$E$5+$E351,0),2)),ROUND(AE350+AD351,2),MIN(ROUND(AC$6+IF(AC$5=$C351,$E$5+$E351,0),2),ROUND(AE350+AD351,2))),0)</f>
        <v>0</v>
      </c>
      <c r="AD351" s="24">
        <f>IF(AE350&gt;0,ROUND(ROUND(AE350*100,0)*ROUND(AC$7*10000,0)/12000000,0)/100,0)</f>
        <v>0</v>
      </c>
      <c r="AE351" s="24">
        <f>IF(AE350&gt;0,ROUND(AE350+AD351-AC351,2),0)</f>
        <v>0</v>
      </c>
      <c r="AF351" s="24">
        <f>IF(AE350&gt;0,ROUND(AF350+ROUND(ROUND(AF350*100,0)*ROUND(AC$7*10000,0)/12000000,0)/100+0.02,2),0)</f>
        <v>0</v>
      </c>
      <c r="AG351" s="24">
        <f>IF(AI350&gt;0,IF(AND(ROUND(AI350+AH351-ROUND(AG$6+IF(AG$5=$C351,$E$5+$E351,0),2),2)&gt;0,ROUND(AI350+AH351-ROUND(AG$6+IF(AG$5=$C351,$E$5+$E351,0),2),2)&lt;=AJ351,ROUND(AI350+AH351-ROUND(AG$6+IF(AG$5=$C351,$E$5+$E351,0),2),2)*10&lt;=ROUND(AG$6+IF(AG$5=$C351,$E$5+$E351,0),2)),ROUND(AI350+AH351,2),MIN(ROUND(AG$6+IF(AG$5=$C351,$E$5+$E351,0),2),ROUND(AI350+AH351,2))),0)</f>
        <v>0</v>
      </c>
      <c r="AH351" s="24">
        <f>IF(AI350&gt;0,ROUND(ROUND(AI350*100,0)*ROUND(AG$7*10000,0)/12000000,0)/100,0)</f>
        <v>0</v>
      </c>
      <c r="AI351" s="24">
        <f>IF(AI350&gt;0,ROUND(AI350+AH351-AG351,2),0)</f>
        <v>0</v>
      </c>
      <c r="AJ351" s="24">
        <f>IF(AI350&gt;0,ROUND(AJ350+ROUND(ROUND(AJ350*100,0)*ROUND(AG$7*10000,0)/12000000,0)/100+0.02,2),0)</f>
        <v>0</v>
      </c>
      <c r="AK351" s="24">
        <f>IF(AM350&gt;0,IF(AND(ROUND(AM350+AL351-ROUND(AK$6+IF(AK$5=$C351,$E$5+$E351,0),2),2)&gt;0,ROUND(AM350+AL351-ROUND(AK$6+IF(AK$5=$C351,$E$5+$E351,0),2),2)&lt;=AN351,ROUND(AM350+AL351-ROUND(AK$6+IF(AK$5=$C351,$E$5+$E351,0),2),2)*10&lt;=ROUND(AK$6+IF(AK$5=$C351,$E$5+$E351,0),2)),ROUND(AM350+AL351,2),MIN(ROUND(AK$6+IF(AK$5=$C351,$E$5+$E351,0),2),ROUND(AM350+AL351,2))),0)</f>
        <v>0</v>
      </c>
      <c r="AL351" s="24">
        <f>IF(AM350&gt;0,ROUND(ROUND(AM350*100,0)*ROUND(AK$7*10000,0)/12000000,0)/100,0)</f>
        <v>0</v>
      </c>
      <c r="AM351" s="24">
        <f>IF(AM350&gt;0,ROUND(AM350+AL351-AK351,2),0)</f>
        <v>0</v>
      </c>
      <c r="AN351" s="24">
        <f>IF(AM350&gt;0,ROUND(AN350+ROUND(ROUND(AN350*100,0)*ROUND(AK$7*10000,0)/12000000,0)/100+0.02,2),0)</f>
        <v>0</v>
      </c>
      <c r="AO351" s="24">
        <f>IF(AQ350&gt;0,IF(AND(ROUND(AQ350+AP351-ROUND(AO$6+IF(AO$5=$C351,$E$5+$E351,0),2),2)&gt;0,ROUND(AQ350+AP351-ROUND(AO$6+IF(AO$5=$C351,$E$5+$E351,0),2),2)&lt;=AR351,ROUND(AQ350+AP351-ROUND(AO$6+IF(AO$5=$C351,$E$5+$E351,0),2),2)*10&lt;=ROUND(AO$6+IF(AO$5=$C351,$E$5+$E351,0),2)),ROUND(AQ350+AP351,2),MIN(ROUND(AO$6+IF(AO$5=$C351,$E$5+$E351,0),2),ROUND(AQ350+AP351,2))),0)</f>
        <v>0</v>
      </c>
      <c r="AP351" s="24">
        <f>IF(AQ350&gt;0,ROUND(ROUND(AQ350*100,0)*ROUND(AO$7*10000,0)/12000000,0)/100,0)</f>
        <v>0</v>
      </c>
      <c r="AQ351" s="24">
        <f>IF(AQ350&gt;0,ROUND(AQ350+AP351-AO351,2),0)</f>
        <v>0</v>
      </c>
      <c r="AR351" s="24">
        <f>IF(AQ350&gt;0,ROUND(AR350+ROUND(ROUND(AR350*100,0)*ROUND(AO$7*10000,0)/12000000,0)/100+0.02,2),0)</f>
        <v>0</v>
      </c>
      <c r="AS351" s="24">
        <f>IF(AU350&gt;0,IF(AND(ROUND(AU350+AT351-ROUND(AS$6+IF(AS$5=$C351,$E$5+$E351,0),2),2)&gt;0,ROUND(AU350+AT351-ROUND(AS$6+IF(AS$5=$C351,$E$5+$E351,0),2),2)&lt;=AV351,ROUND(AU350+AT351-ROUND(AS$6+IF(AS$5=$C351,$E$5+$E351,0),2),2)*10&lt;=ROUND(AS$6+IF(AS$5=$C351,$E$5+$E351,0),2)),ROUND(AU350+AT351,2),MIN(ROUND(AS$6+IF(AS$5=$C351,$E$5+$E351,0),2),ROUND(AU350+AT351,2))),0)</f>
        <v>0</v>
      </c>
      <c r="AT351" s="24">
        <f>IF(AU350&gt;0,ROUND(ROUND(AU350*100,0)*ROUND(AS$7*10000,0)/12000000,0)/100,0)</f>
        <v>0</v>
      </c>
      <c r="AU351" s="24">
        <f>IF(AU350&gt;0,ROUND(AU350+AT351-AS351,2),0)</f>
        <v>0</v>
      </c>
      <c r="AV351" s="24">
        <f>IF(AU350&gt;0,ROUND(AV350+ROUND(ROUND(AV350*100,0)*ROUND(AS$7*10000,0)/12000000,0)/100+0.02,2),0)</f>
        <v>0</v>
      </c>
    </row>
    <row r="352" spans="1:48" x14ac:dyDescent="0.25">
      <c r="A352" s="17" t="str">
        <f>IF(F352&gt;0,342,"")</f>
        <v/>
      </c>
      <c r="B352" s="18" t="str">
        <f>IF(F352&gt;0,EDATE($E$6,342),"")</f>
        <v/>
      </c>
      <c r="C352" s="21">
        <f>IF(H351&gt;0,MIN(IF(K351&gt;0,I$5,99),IF(O351&gt;0,M$5,99),IF(S351&gt;0,Q$5,99),IF(W351&gt;0,U$5,99),IF(AA351&gt;0,Y$5,99),IF(AE351&gt;0,AC$5,99),IF(AI351&gt;0,AG$5,99),IF(AM351&gt;0,AK$5,99),IF(AQ351&gt;0,AO$5,99),IF(AU351&gt;0,AS$5,99)),0)</f>
        <v>0</v>
      </c>
      <c r="D352" t="str">
        <f>IF(C352&gt;0,INDEX($I$4:$AV$4,1,MATCH(C352,$I$5:$AV$5,0)),"")</f>
        <v/>
      </c>
      <c r="E352" s="24">
        <f>ROUND(IF(AND(I$8&gt;0,K351=0),I$6,0)+IF(AND(M$8&gt;0,O351=0),M$6,0)+IF(AND(Q$8&gt;0,S351=0),Q$6,0)+IF(AND(U$8&gt;0,W351=0),U$6,0)+IF(AND(Y$8&gt;0,AA351=0),Y$6,0)+IF(AND(AC$8&gt;0,AE351=0),AC$6,0)+IF(AND(AG$8&gt;0,AI351=0),AG$6,0)+IF(AND(AK$8&gt;0,AM351=0),AK$6,0)+IF(AND(AO$8&gt;0,AQ351=0),AO$6,0)+IF(AND(AS$8&gt;0,AU351=0),AS$6,0),2)</f>
        <v>325</v>
      </c>
      <c r="F352" s="24">
        <f>ROUND(I352+M352+Q352+U352+Y352+AC352+AG352+AK352+AO352+AS352,2)</f>
        <v>0</v>
      </c>
      <c r="G352" s="24">
        <f>ROUND(J352+N352+R352+V352+Z352+AD352+AH352+AL352+AP352+AT352,2)</f>
        <v>0</v>
      </c>
      <c r="H352" s="24">
        <f>ROUND(K352+O352+S352+W352+AA352+AE352+AI352+AM352+AQ352+AU352,2)</f>
        <v>0</v>
      </c>
      <c r="I352" s="24">
        <f>IF(K351&gt;0,IF(AND(ROUND(K351+J352-ROUND(I$6+IF(I$5=$C352,$E$5+$E352,0),2),2)&gt;0,ROUND(K351+J352-ROUND(I$6+IF(I$5=$C352,$E$5+$E352,0),2),2)&lt;=L352,ROUND(K351+J352-ROUND(I$6+IF(I$5=$C352,$E$5+$E352,0),2),2)*10&lt;=ROUND(I$6+IF(I$5=$C352,$E$5+$E352,0),2)),ROUND(K351+J352,2),MIN(ROUND(I$6+IF(I$5=$C352,$E$5+$E352,0),2),ROUND(K351+J352,2))),0)</f>
        <v>0</v>
      </c>
      <c r="J352" s="24">
        <f>IF(K351&gt;0,ROUND(ROUND(K351*100,0)*ROUND(I$7*10000,0)/12000000,0)/100,0)</f>
        <v>0</v>
      </c>
      <c r="K352" s="24">
        <f>IF(K351&gt;0,ROUND(K351+J352-I352,2),0)</f>
        <v>0</v>
      </c>
      <c r="L352" s="24">
        <f>IF(K351&gt;0,ROUND(L351+ROUND(ROUND(L351*100,0)*ROUND(I$7*10000,0)/12000000,0)/100+0.02,2),0)</f>
        <v>0</v>
      </c>
      <c r="M352" s="24">
        <f>IF(O351&gt;0,IF(AND(ROUND(O351+N352-ROUND(M$6+IF(M$5=$C352,$E$5+$E352,0),2),2)&gt;0,ROUND(O351+N352-ROUND(M$6+IF(M$5=$C352,$E$5+$E352,0),2),2)&lt;=P352,ROUND(O351+N352-ROUND(M$6+IF(M$5=$C352,$E$5+$E352,0),2),2)*10&lt;=ROUND(M$6+IF(M$5=$C352,$E$5+$E352,0),2)),ROUND(O351+N352,2),MIN(ROUND(M$6+IF(M$5=$C352,$E$5+$E352,0),2),ROUND(O351+N352,2))),0)</f>
        <v>0</v>
      </c>
      <c r="N352" s="24">
        <f>IF(O351&gt;0,ROUND(ROUND(O351*100,0)*ROUND(M$7*10000,0)/12000000,0)/100,0)</f>
        <v>0</v>
      </c>
      <c r="O352" s="24">
        <f>IF(O351&gt;0,ROUND(O351+N352-M352,2),0)</f>
        <v>0</v>
      </c>
      <c r="P352" s="24">
        <f>IF(O351&gt;0,ROUND(P351+ROUND(ROUND(P351*100,0)*ROUND(M$7*10000,0)/12000000,0)/100+0.02,2),0)</f>
        <v>0</v>
      </c>
      <c r="Q352" s="24">
        <f>IF(S351&gt;0,IF(AND(ROUND(S351+R352-ROUND(Q$6+IF(Q$5=$C352,$E$5+$E352,0),2),2)&gt;0,ROUND(S351+R352-ROUND(Q$6+IF(Q$5=$C352,$E$5+$E352,0),2),2)&lt;=T352,ROUND(S351+R352-ROUND(Q$6+IF(Q$5=$C352,$E$5+$E352,0),2),2)*10&lt;=ROUND(Q$6+IF(Q$5=$C352,$E$5+$E352,0),2)),ROUND(S351+R352,2),MIN(ROUND(Q$6+IF(Q$5=$C352,$E$5+$E352,0),2),ROUND(S351+R352,2))),0)</f>
        <v>0</v>
      </c>
      <c r="R352" s="24">
        <f>IF(S351&gt;0,ROUND(ROUND(S351*100,0)*ROUND(Q$7*10000,0)/12000000,0)/100,0)</f>
        <v>0</v>
      </c>
      <c r="S352" s="24">
        <f>IF(S351&gt;0,ROUND(S351+R352-Q352,2),0)</f>
        <v>0</v>
      </c>
      <c r="T352" s="24">
        <f>IF(S351&gt;0,ROUND(T351+ROUND(ROUND(T351*100,0)*ROUND(Q$7*10000,0)/12000000,0)/100+0.02,2),0)</f>
        <v>0</v>
      </c>
      <c r="U352" s="24">
        <f>IF(W351&gt;0,IF(AND(ROUND(W351+V352-ROUND(U$6+IF(U$5=$C352,$E$5+$E352,0),2),2)&gt;0,ROUND(W351+V352-ROUND(U$6+IF(U$5=$C352,$E$5+$E352,0),2),2)&lt;=X352,ROUND(W351+V352-ROUND(U$6+IF(U$5=$C352,$E$5+$E352,0),2),2)*10&lt;=ROUND(U$6+IF(U$5=$C352,$E$5+$E352,0),2)),ROUND(W351+V352,2),MIN(ROUND(U$6+IF(U$5=$C352,$E$5+$E352,0),2),ROUND(W351+V352,2))),0)</f>
        <v>0</v>
      </c>
      <c r="V352" s="24">
        <f>IF(W351&gt;0,ROUND(ROUND(W351*100,0)*ROUND(U$7*10000,0)/12000000,0)/100,0)</f>
        <v>0</v>
      </c>
      <c r="W352" s="24">
        <f>IF(W351&gt;0,ROUND(W351+V352-U352,2),0)</f>
        <v>0</v>
      </c>
      <c r="X352" s="24">
        <f>IF(W351&gt;0,ROUND(X351+ROUND(ROUND(X351*100,0)*ROUND(U$7*10000,0)/12000000,0)/100+0.02,2),0)</f>
        <v>0</v>
      </c>
      <c r="Y352" s="24">
        <f>IF(AA351&gt;0,IF(AND(ROUND(AA351+Z352-ROUND(Y$6+IF(Y$5=$C352,$E$5+$E352,0),2),2)&gt;0,ROUND(AA351+Z352-ROUND(Y$6+IF(Y$5=$C352,$E$5+$E352,0),2),2)&lt;=AB352,ROUND(AA351+Z352-ROUND(Y$6+IF(Y$5=$C352,$E$5+$E352,0),2),2)*10&lt;=ROUND(Y$6+IF(Y$5=$C352,$E$5+$E352,0),2)),ROUND(AA351+Z352,2),MIN(ROUND(Y$6+IF(Y$5=$C352,$E$5+$E352,0),2),ROUND(AA351+Z352,2))),0)</f>
        <v>0</v>
      </c>
      <c r="Z352" s="24">
        <f>IF(AA351&gt;0,ROUND(ROUND(AA351*100,0)*ROUND(Y$7*10000,0)/12000000,0)/100,0)</f>
        <v>0</v>
      </c>
      <c r="AA352" s="24">
        <f>IF(AA351&gt;0,ROUND(AA351+Z352-Y352,2),0)</f>
        <v>0</v>
      </c>
      <c r="AB352" s="24">
        <f>IF(AA351&gt;0,ROUND(AB351+ROUND(ROUND(AB351*100,0)*ROUND(Y$7*10000,0)/12000000,0)/100+0.02,2),0)</f>
        <v>0</v>
      </c>
      <c r="AC352" s="24">
        <f>IF(AE351&gt;0,IF(AND(ROUND(AE351+AD352-ROUND(AC$6+IF(AC$5=$C352,$E$5+$E352,0),2),2)&gt;0,ROUND(AE351+AD352-ROUND(AC$6+IF(AC$5=$C352,$E$5+$E352,0),2),2)&lt;=AF352,ROUND(AE351+AD352-ROUND(AC$6+IF(AC$5=$C352,$E$5+$E352,0),2),2)*10&lt;=ROUND(AC$6+IF(AC$5=$C352,$E$5+$E352,0),2)),ROUND(AE351+AD352,2),MIN(ROUND(AC$6+IF(AC$5=$C352,$E$5+$E352,0),2),ROUND(AE351+AD352,2))),0)</f>
        <v>0</v>
      </c>
      <c r="AD352" s="24">
        <f>IF(AE351&gt;0,ROUND(ROUND(AE351*100,0)*ROUND(AC$7*10000,0)/12000000,0)/100,0)</f>
        <v>0</v>
      </c>
      <c r="AE352" s="24">
        <f>IF(AE351&gt;0,ROUND(AE351+AD352-AC352,2),0)</f>
        <v>0</v>
      </c>
      <c r="AF352" s="24">
        <f>IF(AE351&gt;0,ROUND(AF351+ROUND(ROUND(AF351*100,0)*ROUND(AC$7*10000,0)/12000000,0)/100+0.02,2),0)</f>
        <v>0</v>
      </c>
      <c r="AG352" s="24">
        <f>IF(AI351&gt;0,IF(AND(ROUND(AI351+AH352-ROUND(AG$6+IF(AG$5=$C352,$E$5+$E352,0),2),2)&gt;0,ROUND(AI351+AH352-ROUND(AG$6+IF(AG$5=$C352,$E$5+$E352,0),2),2)&lt;=AJ352,ROUND(AI351+AH352-ROUND(AG$6+IF(AG$5=$C352,$E$5+$E352,0),2),2)*10&lt;=ROUND(AG$6+IF(AG$5=$C352,$E$5+$E352,0),2)),ROUND(AI351+AH352,2),MIN(ROUND(AG$6+IF(AG$5=$C352,$E$5+$E352,0),2),ROUND(AI351+AH352,2))),0)</f>
        <v>0</v>
      </c>
      <c r="AH352" s="24">
        <f>IF(AI351&gt;0,ROUND(ROUND(AI351*100,0)*ROUND(AG$7*10000,0)/12000000,0)/100,0)</f>
        <v>0</v>
      </c>
      <c r="AI352" s="24">
        <f>IF(AI351&gt;0,ROUND(AI351+AH352-AG352,2),0)</f>
        <v>0</v>
      </c>
      <c r="AJ352" s="24">
        <f>IF(AI351&gt;0,ROUND(AJ351+ROUND(ROUND(AJ351*100,0)*ROUND(AG$7*10000,0)/12000000,0)/100+0.02,2),0)</f>
        <v>0</v>
      </c>
      <c r="AK352" s="24">
        <f>IF(AM351&gt;0,IF(AND(ROUND(AM351+AL352-ROUND(AK$6+IF(AK$5=$C352,$E$5+$E352,0),2),2)&gt;0,ROUND(AM351+AL352-ROUND(AK$6+IF(AK$5=$C352,$E$5+$E352,0),2),2)&lt;=AN352,ROUND(AM351+AL352-ROUND(AK$6+IF(AK$5=$C352,$E$5+$E352,0),2),2)*10&lt;=ROUND(AK$6+IF(AK$5=$C352,$E$5+$E352,0),2)),ROUND(AM351+AL352,2),MIN(ROUND(AK$6+IF(AK$5=$C352,$E$5+$E352,0),2),ROUND(AM351+AL352,2))),0)</f>
        <v>0</v>
      </c>
      <c r="AL352" s="24">
        <f>IF(AM351&gt;0,ROUND(ROUND(AM351*100,0)*ROUND(AK$7*10000,0)/12000000,0)/100,0)</f>
        <v>0</v>
      </c>
      <c r="AM352" s="24">
        <f>IF(AM351&gt;0,ROUND(AM351+AL352-AK352,2),0)</f>
        <v>0</v>
      </c>
      <c r="AN352" s="24">
        <f>IF(AM351&gt;0,ROUND(AN351+ROUND(ROUND(AN351*100,0)*ROUND(AK$7*10000,0)/12000000,0)/100+0.02,2),0)</f>
        <v>0</v>
      </c>
      <c r="AO352" s="24">
        <f>IF(AQ351&gt;0,IF(AND(ROUND(AQ351+AP352-ROUND(AO$6+IF(AO$5=$C352,$E$5+$E352,0),2),2)&gt;0,ROUND(AQ351+AP352-ROUND(AO$6+IF(AO$5=$C352,$E$5+$E352,0),2),2)&lt;=AR352,ROUND(AQ351+AP352-ROUND(AO$6+IF(AO$5=$C352,$E$5+$E352,0),2),2)*10&lt;=ROUND(AO$6+IF(AO$5=$C352,$E$5+$E352,0),2)),ROUND(AQ351+AP352,2),MIN(ROUND(AO$6+IF(AO$5=$C352,$E$5+$E352,0),2),ROUND(AQ351+AP352,2))),0)</f>
        <v>0</v>
      </c>
      <c r="AP352" s="24">
        <f>IF(AQ351&gt;0,ROUND(ROUND(AQ351*100,0)*ROUND(AO$7*10000,0)/12000000,0)/100,0)</f>
        <v>0</v>
      </c>
      <c r="AQ352" s="24">
        <f>IF(AQ351&gt;0,ROUND(AQ351+AP352-AO352,2),0)</f>
        <v>0</v>
      </c>
      <c r="AR352" s="24">
        <f>IF(AQ351&gt;0,ROUND(AR351+ROUND(ROUND(AR351*100,0)*ROUND(AO$7*10000,0)/12000000,0)/100+0.02,2),0)</f>
        <v>0</v>
      </c>
      <c r="AS352" s="24">
        <f>IF(AU351&gt;0,IF(AND(ROUND(AU351+AT352-ROUND(AS$6+IF(AS$5=$C352,$E$5+$E352,0),2),2)&gt;0,ROUND(AU351+AT352-ROUND(AS$6+IF(AS$5=$C352,$E$5+$E352,0),2),2)&lt;=AV352,ROUND(AU351+AT352-ROUND(AS$6+IF(AS$5=$C352,$E$5+$E352,0),2),2)*10&lt;=ROUND(AS$6+IF(AS$5=$C352,$E$5+$E352,0),2)),ROUND(AU351+AT352,2),MIN(ROUND(AS$6+IF(AS$5=$C352,$E$5+$E352,0),2),ROUND(AU351+AT352,2))),0)</f>
        <v>0</v>
      </c>
      <c r="AT352" s="24">
        <f>IF(AU351&gt;0,ROUND(ROUND(AU351*100,0)*ROUND(AS$7*10000,0)/12000000,0)/100,0)</f>
        <v>0</v>
      </c>
      <c r="AU352" s="24">
        <f>IF(AU351&gt;0,ROUND(AU351+AT352-AS352,2),0)</f>
        <v>0</v>
      </c>
      <c r="AV352" s="24">
        <f>IF(AU351&gt;0,ROUND(AV351+ROUND(ROUND(AV351*100,0)*ROUND(AS$7*10000,0)/12000000,0)/100+0.02,2),0)</f>
        <v>0</v>
      </c>
    </row>
    <row r="353" spans="1:48" x14ac:dyDescent="0.25">
      <c r="A353" s="17" t="str">
        <f>IF(F353&gt;0,343,"")</f>
        <v/>
      </c>
      <c r="B353" s="18" t="str">
        <f>IF(F353&gt;0,EDATE($E$6,343),"")</f>
        <v/>
      </c>
      <c r="C353" s="21">
        <f>IF(H352&gt;0,MIN(IF(K352&gt;0,I$5,99),IF(O352&gt;0,M$5,99),IF(S352&gt;0,Q$5,99),IF(W352&gt;0,U$5,99),IF(AA352&gt;0,Y$5,99),IF(AE352&gt;0,AC$5,99),IF(AI352&gt;0,AG$5,99),IF(AM352&gt;0,AK$5,99),IF(AQ352&gt;0,AO$5,99),IF(AU352&gt;0,AS$5,99)),0)</f>
        <v>0</v>
      </c>
      <c r="D353" t="str">
        <f>IF(C353&gt;0,INDEX($I$4:$AV$4,1,MATCH(C353,$I$5:$AV$5,0)),"")</f>
        <v/>
      </c>
      <c r="E353" s="24">
        <f>ROUND(IF(AND(I$8&gt;0,K352=0),I$6,0)+IF(AND(M$8&gt;0,O352=0),M$6,0)+IF(AND(Q$8&gt;0,S352=0),Q$6,0)+IF(AND(U$8&gt;0,W352=0),U$6,0)+IF(AND(Y$8&gt;0,AA352=0),Y$6,0)+IF(AND(AC$8&gt;0,AE352=0),AC$6,0)+IF(AND(AG$8&gt;0,AI352=0),AG$6,0)+IF(AND(AK$8&gt;0,AM352=0),AK$6,0)+IF(AND(AO$8&gt;0,AQ352=0),AO$6,0)+IF(AND(AS$8&gt;0,AU352=0),AS$6,0),2)</f>
        <v>325</v>
      </c>
      <c r="F353" s="24">
        <f>ROUND(I353+M353+Q353+U353+Y353+AC353+AG353+AK353+AO353+AS353,2)</f>
        <v>0</v>
      </c>
      <c r="G353" s="24">
        <f>ROUND(J353+N353+R353+V353+Z353+AD353+AH353+AL353+AP353+AT353,2)</f>
        <v>0</v>
      </c>
      <c r="H353" s="24">
        <f>ROUND(K353+O353+S353+W353+AA353+AE353+AI353+AM353+AQ353+AU353,2)</f>
        <v>0</v>
      </c>
      <c r="I353" s="24">
        <f>IF(K352&gt;0,IF(AND(ROUND(K352+J353-ROUND(I$6+IF(I$5=$C353,$E$5+$E353,0),2),2)&gt;0,ROUND(K352+J353-ROUND(I$6+IF(I$5=$C353,$E$5+$E353,0),2),2)&lt;=L353,ROUND(K352+J353-ROUND(I$6+IF(I$5=$C353,$E$5+$E353,0),2),2)*10&lt;=ROUND(I$6+IF(I$5=$C353,$E$5+$E353,0),2)),ROUND(K352+J353,2),MIN(ROUND(I$6+IF(I$5=$C353,$E$5+$E353,0),2),ROUND(K352+J353,2))),0)</f>
        <v>0</v>
      </c>
      <c r="J353" s="24">
        <f>IF(K352&gt;0,ROUND(ROUND(K352*100,0)*ROUND(I$7*10000,0)/12000000,0)/100,0)</f>
        <v>0</v>
      </c>
      <c r="K353" s="24">
        <f>IF(K352&gt;0,ROUND(K352+J353-I353,2),0)</f>
        <v>0</v>
      </c>
      <c r="L353" s="24">
        <f>IF(K352&gt;0,ROUND(L352+ROUND(ROUND(L352*100,0)*ROUND(I$7*10000,0)/12000000,0)/100+0.02,2),0)</f>
        <v>0</v>
      </c>
      <c r="M353" s="24">
        <f>IF(O352&gt;0,IF(AND(ROUND(O352+N353-ROUND(M$6+IF(M$5=$C353,$E$5+$E353,0),2),2)&gt;0,ROUND(O352+N353-ROUND(M$6+IF(M$5=$C353,$E$5+$E353,0),2),2)&lt;=P353,ROUND(O352+N353-ROUND(M$6+IF(M$5=$C353,$E$5+$E353,0),2),2)*10&lt;=ROUND(M$6+IF(M$5=$C353,$E$5+$E353,0),2)),ROUND(O352+N353,2),MIN(ROUND(M$6+IF(M$5=$C353,$E$5+$E353,0),2),ROUND(O352+N353,2))),0)</f>
        <v>0</v>
      </c>
      <c r="N353" s="24">
        <f>IF(O352&gt;0,ROUND(ROUND(O352*100,0)*ROUND(M$7*10000,0)/12000000,0)/100,0)</f>
        <v>0</v>
      </c>
      <c r="O353" s="24">
        <f>IF(O352&gt;0,ROUND(O352+N353-M353,2),0)</f>
        <v>0</v>
      </c>
      <c r="P353" s="24">
        <f>IF(O352&gt;0,ROUND(P352+ROUND(ROUND(P352*100,0)*ROUND(M$7*10000,0)/12000000,0)/100+0.02,2),0)</f>
        <v>0</v>
      </c>
      <c r="Q353" s="24">
        <f>IF(S352&gt;0,IF(AND(ROUND(S352+R353-ROUND(Q$6+IF(Q$5=$C353,$E$5+$E353,0),2),2)&gt;0,ROUND(S352+R353-ROUND(Q$6+IF(Q$5=$C353,$E$5+$E353,0),2),2)&lt;=T353,ROUND(S352+R353-ROUND(Q$6+IF(Q$5=$C353,$E$5+$E353,0),2),2)*10&lt;=ROUND(Q$6+IF(Q$5=$C353,$E$5+$E353,0),2)),ROUND(S352+R353,2),MIN(ROUND(Q$6+IF(Q$5=$C353,$E$5+$E353,0),2),ROUND(S352+R353,2))),0)</f>
        <v>0</v>
      </c>
      <c r="R353" s="24">
        <f>IF(S352&gt;0,ROUND(ROUND(S352*100,0)*ROUND(Q$7*10000,0)/12000000,0)/100,0)</f>
        <v>0</v>
      </c>
      <c r="S353" s="24">
        <f>IF(S352&gt;0,ROUND(S352+R353-Q353,2),0)</f>
        <v>0</v>
      </c>
      <c r="T353" s="24">
        <f>IF(S352&gt;0,ROUND(T352+ROUND(ROUND(T352*100,0)*ROUND(Q$7*10000,0)/12000000,0)/100+0.02,2),0)</f>
        <v>0</v>
      </c>
      <c r="U353" s="24">
        <f>IF(W352&gt;0,IF(AND(ROUND(W352+V353-ROUND(U$6+IF(U$5=$C353,$E$5+$E353,0),2),2)&gt;0,ROUND(W352+V353-ROUND(U$6+IF(U$5=$C353,$E$5+$E353,0),2),2)&lt;=X353,ROUND(W352+V353-ROUND(U$6+IF(U$5=$C353,$E$5+$E353,0),2),2)*10&lt;=ROUND(U$6+IF(U$5=$C353,$E$5+$E353,0),2)),ROUND(W352+V353,2),MIN(ROUND(U$6+IF(U$5=$C353,$E$5+$E353,0),2),ROUND(W352+V353,2))),0)</f>
        <v>0</v>
      </c>
      <c r="V353" s="24">
        <f>IF(W352&gt;0,ROUND(ROUND(W352*100,0)*ROUND(U$7*10000,0)/12000000,0)/100,0)</f>
        <v>0</v>
      </c>
      <c r="W353" s="24">
        <f>IF(W352&gt;0,ROUND(W352+V353-U353,2),0)</f>
        <v>0</v>
      </c>
      <c r="X353" s="24">
        <f>IF(W352&gt;0,ROUND(X352+ROUND(ROUND(X352*100,0)*ROUND(U$7*10000,0)/12000000,0)/100+0.02,2),0)</f>
        <v>0</v>
      </c>
      <c r="Y353" s="24">
        <f>IF(AA352&gt;0,IF(AND(ROUND(AA352+Z353-ROUND(Y$6+IF(Y$5=$C353,$E$5+$E353,0),2),2)&gt;0,ROUND(AA352+Z353-ROUND(Y$6+IF(Y$5=$C353,$E$5+$E353,0),2),2)&lt;=AB353,ROUND(AA352+Z353-ROUND(Y$6+IF(Y$5=$C353,$E$5+$E353,0),2),2)*10&lt;=ROUND(Y$6+IF(Y$5=$C353,$E$5+$E353,0),2)),ROUND(AA352+Z353,2),MIN(ROUND(Y$6+IF(Y$5=$C353,$E$5+$E353,0),2),ROUND(AA352+Z353,2))),0)</f>
        <v>0</v>
      </c>
      <c r="Z353" s="24">
        <f>IF(AA352&gt;0,ROUND(ROUND(AA352*100,0)*ROUND(Y$7*10000,0)/12000000,0)/100,0)</f>
        <v>0</v>
      </c>
      <c r="AA353" s="24">
        <f>IF(AA352&gt;0,ROUND(AA352+Z353-Y353,2),0)</f>
        <v>0</v>
      </c>
      <c r="AB353" s="24">
        <f>IF(AA352&gt;0,ROUND(AB352+ROUND(ROUND(AB352*100,0)*ROUND(Y$7*10000,0)/12000000,0)/100+0.02,2),0)</f>
        <v>0</v>
      </c>
      <c r="AC353" s="24">
        <f>IF(AE352&gt;0,IF(AND(ROUND(AE352+AD353-ROUND(AC$6+IF(AC$5=$C353,$E$5+$E353,0),2),2)&gt;0,ROUND(AE352+AD353-ROUND(AC$6+IF(AC$5=$C353,$E$5+$E353,0),2),2)&lt;=AF353,ROUND(AE352+AD353-ROUND(AC$6+IF(AC$5=$C353,$E$5+$E353,0),2),2)*10&lt;=ROUND(AC$6+IF(AC$5=$C353,$E$5+$E353,0),2)),ROUND(AE352+AD353,2),MIN(ROUND(AC$6+IF(AC$5=$C353,$E$5+$E353,0),2),ROUND(AE352+AD353,2))),0)</f>
        <v>0</v>
      </c>
      <c r="AD353" s="24">
        <f>IF(AE352&gt;0,ROUND(ROUND(AE352*100,0)*ROUND(AC$7*10000,0)/12000000,0)/100,0)</f>
        <v>0</v>
      </c>
      <c r="AE353" s="24">
        <f>IF(AE352&gt;0,ROUND(AE352+AD353-AC353,2),0)</f>
        <v>0</v>
      </c>
      <c r="AF353" s="24">
        <f>IF(AE352&gt;0,ROUND(AF352+ROUND(ROUND(AF352*100,0)*ROUND(AC$7*10000,0)/12000000,0)/100+0.02,2),0)</f>
        <v>0</v>
      </c>
      <c r="AG353" s="24">
        <f>IF(AI352&gt;0,IF(AND(ROUND(AI352+AH353-ROUND(AG$6+IF(AG$5=$C353,$E$5+$E353,0),2),2)&gt;0,ROUND(AI352+AH353-ROUND(AG$6+IF(AG$5=$C353,$E$5+$E353,0),2),2)&lt;=AJ353,ROUND(AI352+AH353-ROUND(AG$6+IF(AG$5=$C353,$E$5+$E353,0),2),2)*10&lt;=ROUND(AG$6+IF(AG$5=$C353,$E$5+$E353,0),2)),ROUND(AI352+AH353,2),MIN(ROUND(AG$6+IF(AG$5=$C353,$E$5+$E353,0),2),ROUND(AI352+AH353,2))),0)</f>
        <v>0</v>
      </c>
      <c r="AH353" s="24">
        <f>IF(AI352&gt;0,ROUND(ROUND(AI352*100,0)*ROUND(AG$7*10000,0)/12000000,0)/100,0)</f>
        <v>0</v>
      </c>
      <c r="AI353" s="24">
        <f>IF(AI352&gt;0,ROUND(AI352+AH353-AG353,2),0)</f>
        <v>0</v>
      </c>
      <c r="AJ353" s="24">
        <f>IF(AI352&gt;0,ROUND(AJ352+ROUND(ROUND(AJ352*100,0)*ROUND(AG$7*10000,0)/12000000,0)/100+0.02,2),0)</f>
        <v>0</v>
      </c>
      <c r="AK353" s="24">
        <f>IF(AM352&gt;0,IF(AND(ROUND(AM352+AL353-ROUND(AK$6+IF(AK$5=$C353,$E$5+$E353,0),2),2)&gt;0,ROUND(AM352+AL353-ROUND(AK$6+IF(AK$5=$C353,$E$5+$E353,0),2),2)&lt;=AN353,ROUND(AM352+AL353-ROUND(AK$6+IF(AK$5=$C353,$E$5+$E353,0),2),2)*10&lt;=ROUND(AK$6+IF(AK$5=$C353,$E$5+$E353,0),2)),ROUND(AM352+AL353,2),MIN(ROUND(AK$6+IF(AK$5=$C353,$E$5+$E353,0),2),ROUND(AM352+AL353,2))),0)</f>
        <v>0</v>
      </c>
      <c r="AL353" s="24">
        <f>IF(AM352&gt;0,ROUND(ROUND(AM352*100,0)*ROUND(AK$7*10000,0)/12000000,0)/100,0)</f>
        <v>0</v>
      </c>
      <c r="AM353" s="24">
        <f>IF(AM352&gt;0,ROUND(AM352+AL353-AK353,2),0)</f>
        <v>0</v>
      </c>
      <c r="AN353" s="24">
        <f>IF(AM352&gt;0,ROUND(AN352+ROUND(ROUND(AN352*100,0)*ROUND(AK$7*10000,0)/12000000,0)/100+0.02,2),0)</f>
        <v>0</v>
      </c>
      <c r="AO353" s="24">
        <f>IF(AQ352&gt;0,IF(AND(ROUND(AQ352+AP353-ROUND(AO$6+IF(AO$5=$C353,$E$5+$E353,0),2),2)&gt;0,ROUND(AQ352+AP353-ROUND(AO$6+IF(AO$5=$C353,$E$5+$E353,0),2),2)&lt;=AR353,ROUND(AQ352+AP353-ROUND(AO$6+IF(AO$5=$C353,$E$5+$E353,0),2),2)*10&lt;=ROUND(AO$6+IF(AO$5=$C353,$E$5+$E353,0),2)),ROUND(AQ352+AP353,2),MIN(ROUND(AO$6+IF(AO$5=$C353,$E$5+$E353,0),2),ROUND(AQ352+AP353,2))),0)</f>
        <v>0</v>
      </c>
      <c r="AP353" s="24">
        <f>IF(AQ352&gt;0,ROUND(ROUND(AQ352*100,0)*ROUND(AO$7*10000,0)/12000000,0)/100,0)</f>
        <v>0</v>
      </c>
      <c r="AQ353" s="24">
        <f>IF(AQ352&gt;0,ROUND(AQ352+AP353-AO353,2),0)</f>
        <v>0</v>
      </c>
      <c r="AR353" s="24">
        <f>IF(AQ352&gt;0,ROUND(AR352+ROUND(ROUND(AR352*100,0)*ROUND(AO$7*10000,0)/12000000,0)/100+0.02,2),0)</f>
        <v>0</v>
      </c>
      <c r="AS353" s="24">
        <f>IF(AU352&gt;0,IF(AND(ROUND(AU352+AT353-ROUND(AS$6+IF(AS$5=$C353,$E$5+$E353,0),2),2)&gt;0,ROUND(AU352+AT353-ROUND(AS$6+IF(AS$5=$C353,$E$5+$E353,0),2),2)&lt;=AV353,ROUND(AU352+AT353-ROUND(AS$6+IF(AS$5=$C353,$E$5+$E353,0),2),2)*10&lt;=ROUND(AS$6+IF(AS$5=$C353,$E$5+$E353,0),2)),ROUND(AU352+AT353,2),MIN(ROUND(AS$6+IF(AS$5=$C353,$E$5+$E353,0),2),ROUND(AU352+AT353,2))),0)</f>
        <v>0</v>
      </c>
      <c r="AT353" s="24">
        <f>IF(AU352&gt;0,ROUND(ROUND(AU352*100,0)*ROUND(AS$7*10000,0)/12000000,0)/100,0)</f>
        <v>0</v>
      </c>
      <c r="AU353" s="24">
        <f>IF(AU352&gt;0,ROUND(AU352+AT353-AS353,2),0)</f>
        <v>0</v>
      </c>
      <c r="AV353" s="24">
        <f>IF(AU352&gt;0,ROUND(AV352+ROUND(ROUND(AV352*100,0)*ROUND(AS$7*10000,0)/12000000,0)/100+0.02,2),0)</f>
        <v>0</v>
      </c>
    </row>
    <row r="354" spans="1:48" x14ac:dyDescent="0.25">
      <c r="A354" s="17" t="str">
        <f>IF(F354&gt;0,344,"")</f>
        <v/>
      </c>
      <c r="B354" s="18" t="str">
        <f>IF(F354&gt;0,EDATE($E$6,344),"")</f>
        <v/>
      </c>
      <c r="C354" s="21">
        <f>IF(H353&gt;0,MIN(IF(K353&gt;0,I$5,99),IF(O353&gt;0,M$5,99),IF(S353&gt;0,Q$5,99),IF(W353&gt;0,U$5,99),IF(AA353&gt;0,Y$5,99),IF(AE353&gt;0,AC$5,99),IF(AI353&gt;0,AG$5,99),IF(AM353&gt;0,AK$5,99),IF(AQ353&gt;0,AO$5,99),IF(AU353&gt;0,AS$5,99)),0)</f>
        <v>0</v>
      </c>
      <c r="D354" t="str">
        <f>IF(C354&gt;0,INDEX($I$4:$AV$4,1,MATCH(C354,$I$5:$AV$5,0)),"")</f>
        <v/>
      </c>
      <c r="E354" s="24">
        <f>ROUND(IF(AND(I$8&gt;0,K353=0),I$6,0)+IF(AND(M$8&gt;0,O353=0),M$6,0)+IF(AND(Q$8&gt;0,S353=0),Q$6,0)+IF(AND(U$8&gt;0,W353=0),U$6,0)+IF(AND(Y$8&gt;0,AA353=0),Y$6,0)+IF(AND(AC$8&gt;0,AE353=0),AC$6,0)+IF(AND(AG$8&gt;0,AI353=0),AG$6,0)+IF(AND(AK$8&gt;0,AM353=0),AK$6,0)+IF(AND(AO$8&gt;0,AQ353=0),AO$6,0)+IF(AND(AS$8&gt;0,AU353=0),AS$6,0),2)</f>
        <v>325</v>
      </c>
      <c r="F354" s="24">
        <f>ROUND(I354+M354+Q354+U354+Y354+AC354+AG354+AK354+AO354+AS354,2)</f>
        <v>0</v>
      </c>
      <c r="G354" s="24">
        <f>ROUND(J354+N354+R354+V354+Z354+AD354+AH354+AL354+AP354+AT354,2)</f>
        <v>0</v>
      </c>
      <c r="H354" s="24">
        <f>ROUND(K354+O354+S354+W354+AA354+AE354+AI354+AM354+AQ354+AU354,2)</f>
        <v>0</v>
      </c>
      <c r="I354" s="24">
        <f>IF(K353&gt;0,IF(AND(ROUND(K353+J354-ROUND(I$6+IF(I$5=$C354,$E$5+$E354,0),2),2)&gt;0,ROUND(K353+J354-ROUND(I$6+IF(I$5=$C354,$E$5+$E354,0),2),2)&lt;=L354,ROUND(K353+J354-ROUND(I$6+IF(I$5=$C354,$E$5+$E354,0),2),2)*10&lt;=ROUND(I$6+IF(I$5=$C354,$E$5+$E354,0),2)),ROUND(K353+J354,2),MIN(ROUND(I$6+IF(I$5=$C354,$E$5+$E354,0),2),ROUND(K353+J354,2))),0)</f>
        <v>0</v>
      </c>
      <c r="J354" s="24">
        <f>IF(K353&gt;0,ROUND(ROUND(K353*100,0)*ROUND(I$7*10000,0)/12000000,0)/100,0)</f>
        <v>0</v>
      </c>
      <c r="K354" s="24">
        <f>IF(K353&gt;0,ROUND(K353+J354-I354,2),0)</f>
        <v>0</v>
      </c>
      <c r="L354" s="24">
        <f>IF(K353&gt;0,ROUND(L353+ROUND(ROUND(L353*100,0)*ROUND(I$7*10000,0)/12000000,0)/100+0.02,2),0)</f>
        <v>0</v>
      </c>
      <c r="M354" s="24">
        <f>IF(O353&gt;0,IF(AND(ROUND(O353+N354-ROUND(M$6+IF(M$5=$C354,$E$5+$E354,0),2),2)&gt;0,ROUND(O353+N354-ROUND(M$6+IF(M$5=$C354,$E$5+$E354,0),2),2)&lt;=P354,ROUND(O353+N354-ROUND(M$6+IF(M$5=$C354,$E$5+$E354,0),2),2)*10&lt;=ROUND(M$6+IF(M$5=$C354,$E$5+$E354,0),2)),ROUND(O353+N354,2),MIN(ROUND(M$6+IF(M$5=$C354,$E$5+$E354,0),2),ROUND(O353+N354,2))),0)</f>
        <v>0</v>
      </c>
      <c r="N354" s="24">
        <f>IF(O353&gt;0,ROUND(ROUND(O353*100,0)*ROUND(M$7*10000,0)/12000000,0)/100,0)</f>
        <v>0</v>
      </c>
      <c r="O354" s="24">
        <f>IF(O353&gt;0,ROUND(O353+N354-M354,2),0)</f>
        <v>0</v>
      </c>
      <c r="P354" s="24">
        <f>IF(O353&gt;0,ROUND(P353+ROUND(ROUND(P353*100,0)*ROUND(M$7*10000,0)/12000000,0)/100+0.02,2),0)</f>
        <v>0</v>
      </c>
      <c r="Q354" s="24">
        <f>IF(S353&gt;0,IF(AND(ROUND(S353+R354-ROUND(Q$6+IF(Q$5=$C354,$E$5+$E354,0),2),2)&gt;0,ROUND(S353+R354-ROUND(Q$6+IF(Q$5=$C354,$E$5+$E354,0),2),2)&lt;=T354,ROUND(S353+R354-ROUND(Q$6+IF(Q$5=$C354,$E$5+$E354,0),2),2)*10&lt;=ROUND(Q$6+IF(Q$5=$C354,$E$5+$E354,0),2)),ROUND(S353+R354,2),MIN(ROUND(Q$6+IF(Q$5=$C354,$E$5+$E354,0),2),ROUND(S353+R354,2))),0)</f>
        <v>0</v>
      </c>
      <c r="R354" s="24">
        <f>IF(S353&gt;0,ROUND(ROUND(S353*100,0)*ROUND(Q$7*10000,0)/12000000,0)/100,0)</f>
        <v>0</v>
      </c>
      <c r="S354" s="24">
        <f>IF(S353&gt;0,ROUND(S353+R354-Q354,2),0)</f>
        <v>0</v>
      </c>
      <c r="T354" s="24">
        <f>IF(S353&gt;0,ROUND(T353+ROUND(ROUND(T353*100,0)*ROUND(Q$7*10000,0)/12000000,0)/100+0.02,2),0)</f>
        <v>0</v>
      </c>
      <c r="U354" s="24">
        <f>IF(W353&gt;0,IF(AND(ROUND(W353+V354-ROUND(U$6+IF(U$5=$C354,$E$5+$E354,0),2),2)&gt;0,ROUND(W353+V354-ROUND(U$6+IF(U$5=$C354,$E$5+$E354,0),2),2)&lt;=X354,ROUND(W353+V354-ROUND(U$6+IF(U$5=$C354,$E$5+$E354,0),2),2)*10&lt;=ROUND(U$6+IF(U$5=$C354,$E$5+$E354,0),2)),ROUND(W353+V354,2),MIN(ROUND(U$6+IF(U$5=$C354,$E$5+$E354,0),2),ROUND(W353+V354,2))),0)</f>
        <v>0</v>
      </c>
      <c r="V354" s="24">
        <f>IF(W353&gt;0,ROUND(ROUND(W353*100,0)*ROUND(U$7*10000,0)/12000000,0)/100,0)</f>
        <v>0</v>
      </c>
      <c r="W354" s="24">
        <f>IF(W353&gt;0,ROUND(W353+V354-U354,2),0)</f>
        <v>0</v>
      </c>
      <c r="X354" s="24">
        <f>IF(W353&gt;0,ROUND(X353+ROUND(ROUND(X353*100,0)*ROUND(U$7*10000,0)/12000000,0)/100+0.02,2),0)</f>
        <v>0</v>
      </c>
      <c r="Y354" s="24">
        <f>IF(AA353&gt;0,IF(AND(ROUND(AA353+Z354-ROUND(Y$6+IF(Y$5=$C354,$E$5+$E354,0),2),2)&gt;0,ROUND(AA353+Z354-ROUND(Y$6+IF(Y$5=$C354,$E$5+$E354,0),2),2)&lt;=AB354,ROUND(AA353+Z354-ROUND(Y$6+IF(Y$5=$C354,$E$5+$E354,0),2),2)*10&lt;=ROUND(Y$6+IF(Y$5=$C354,$E$5+$E354,0),2)),ROUND(AA353+Z354,2),MIN(ROUND(Y$6+IF(Y$5=$C354,$E$5+$E354,0),2),ROUND(AA353+Z354,2))),0)</f>
        <v>0</v>
      </c>
      <c r="Z354" s="24">
        <f>IF(AA353&gt;0,ROUND(ROUND(AA353*100,0)*ROUND(Y$7*10000,0)/12000000,0)/100,0)</f>
        <v>0</v>
      </c>
      <c r="AA354" s="24">
        <f>IF(AA353&gt;0,ROUND(AA353+Z354-Y354,2),0)</f>
        <v>0</v>
      </c>
      <c r="AB354" s="24">
        <f>IF(AA353&gt;0,ROUND(AB353+ROUND(ROUND(AB353*100,0)*ROUND(Y$7*10000,0)/12000000,0)/100+0.02,2),0)</f>
        <v>0</v>
      </c>
      <c r="AC354" s="24">
        <f>IF(AE353&gt;0,IF(AND(ROUND(AE353+AD354-ROUND(AC$6+IF(AC$5=$C354,$E$5+$E354,0),2),2)&gt;0,ROUND(AE353+AD354-ROUND(AC$6+IF(AC$5=$C354,$E$5+$E354,0),2),2)&lt;=AF354,ROUND(AE353+AD354-ROUND(AC$6+IF(AC$5=$C354,$E$5+$E354,0),2),2)*10&lt;=ROUND(AC$6+IF(AC$5=$C354,$E$5+$E354,0),2)),ROUND(AE353+AD354,2),MIN(ROUND(AC$6+IF(AC$5=$C354,$E$5+$E354,0),2),ROUND(AE353+AD354,2))),0)</f>
        <v>0</v>
      </c>
      <c r="AD354" s="24">
        <f>IF(AE353&gt;0,ROUND(ROUND(AE353*100,0)*ROUND(AC$7*10000,0)/12000000,0)/100,0)</f>
        <v>0</v>
      </c>
      <c r="AE354" s="24">
        <f>IF(AE353&gt;0,ROUND(AE353+AD354-AC354,2),0)</f>
        <v>0</v>
      </c>
      <c r="AF354" s="24">
        <f>IF(AE353&gt;0,ROUND(AF353+ROUND(ROUND(AF353*100,0)*ROUND(AC$7*10000,0)/12000000,0)/100+0.02,2),0)</f>
        <v>0</v>
      </c>
      <c r="AG354" s="24">
        <f>IF(AI353&gt;0,IF(AND(ROUND(AI353+AH354-ROUND(AG$6+IF(AG$5=$C354,$E$5+$E354,0),2),2)&gt;0,ROUND(AI353+AH354-ROUND(AG$6+IF(AG$5=$C354,$E$5+$E354,0),2),2)&lt;=AJ354,ROUND(AI353+AH354-ROUND(AG$6+IF(AG$5=$C354,$E$5+$E354,0),2),2)*10&lt;=ROUND(AG$6+IF(AG$5=$C354,$E$5+$E354,0),2)),ROUND(AI353+AH354,2),MIN(ROUND(AG$6+IF(AG$5=$C354,$E$5+$E354,0),2),ROUND(AI353+AH354,2))),0)</f>
        <v>0</v>
      </c>
      <c r="AH354" s="24">
        <f>IF(AI353&gt;0,ROUND(ROUND(AI353*100,0)*ROUND(AG$7*10000,0)/12000000,0)/100,0)</f>
        <v>0</v>
      </c>
      <c r="AI354" s="24">
        <f>IF(AI353&gt;0,ROUND(AI353+AH354-AG354,2),0)</f>
        <v>0</v>
      </c>
      <c r="AJ354" s="24">
        <f>IF(AI353&gt;0,ROUND(AJ353+ROUND(ROUND(AJ353*100,0)*ROUND(AG$7*10000,0)/12000000,0)/100+0.02,2),0)</f>
        <v>0</v>
      </c>
      <c r="AK354" s="24">
        <f>IF(AM353&gt;0,IF(AND(ROUND(AM353+AL354-ROUND(AK$6+IF(AK$5=$C354,$E$5+$E354,0),2),2)&gt;0,ROUND(AM353+AL354-ROUND(AK$6+IF(AK$5=$C354,$E$5+$E354,0),2),2)&lt;=AN354,ROUND(AM353+AL354-ROUND(AK$6+IF(AK$5=$C354,$E$5+$E354,0),2),2)*10&lt;=ROUND(AK$6+IF(AK$5=$C354,$E$5+$E354,0),2)),ROUND(AM353+AL354,2),MIN(ROUND(AK$6+IF(AK$5=$C354,$E$5+$E354,0),2),ROUND(AM353+AL354,2))),0)</f>
        <v>0</v>
      </c>
      <c r="AL354" s="24">
        <f>IF(AM353&gt;0,ROUND(ROUND(AM353*100,0)*ROUND(AK$7*10000,0)/12000000,0)/100,0)</f>
        <v>0</v>
      </c>
      <c r="AM354" s="24">
        <f>IF(AM353&gt;0,ROUND(AM353+AL354-AK354,2),0)</f>
        <v>0</v>
      </c>
      <c r="AN354" s="24">
        <f>IF(AM353&gt;0,ROUND(AN353+ROUND(ROUND(AN353*100,0)*ROUND(AK$7*10000,0)/12000000,0)/100+0.02,2),0)</f>
        <v>0</v>
      </c>
      <c r="AO354" s="24">
        <f>IF(AQ353&gt;0,IF(AND(ROUND(AQ353+AP354-ROUND(AO$6+IF(AO$5=$C354,$E$5+$E354,0),2),2)&gt;0,ROUND(AQ353+AP354-ROUND(AO$6+IF(AO$5=$C354,$E$5+$E354,0),2),2)&lt;=AR354,ROUND(AQ353+AP354-ROUND(AO$6+IF(AO$5=$C354,$E$5+$E354,0),2),2)*10&lt;=ROUND(AO$6+IF(AO$5=$C354,$E$5+$E354,0),2)),ROUND(AQ353+AP354,2),MIN(ROUND(AO$6+IF(AO$5=$C354,$E$5+$E354,0),2),ROUND(AQ353+AP354,2))),0)</f>
        <v>0</v>
      </c>
      <c r="AP354" s="24">
        <f>IF(AQ353&gt;0,ROUND(ROUND(AQ353*100,0)*ROUND(AO$7*10000,0)/12000000,0)/100,0)</f>
        <v>0</v>
      </c>
      <c r="AQ354" s="24">
        <f>IF(AQ353&gt;0,ROUND(AQ353+AP354-AO354,2),0)</f>
        <v>0</v>
      </c>
      <c r="AR354" s="24">
        <f>IF(AQ353&gt;0,ROUND(AR353+ROUND(ROUND(AR353*100,0)*ROUND(AO$7*10000,0)/12000000,0)/100+0.02,2),0)</f>
        <v>0</v>
      </c>
      <c r="AS354" s="24">
        <f>IF(AU353&gt;0,IF(AND(ROUND(AU353+AT354-ROUND(AS$6+IF(AS$5=$C354,$E$5+$E354,0),2),2)&gt;0,ROUND(AU353+AT354-ROUND(AS$6+IF(AS$5=$C354,$E$5+$E354,0),2),2)&lt;=AV354,ROUND(AU353+AT354-ROUND(AS$6+IF(AS$5=$C354,$E$5+$E354,0),2),2)*10&lt;=ROUND(AS$6+IF(AS$5=$C354,$E$5+$E354,0),2)),ROUND(AU353+AT354,2),MIN(ROUND(AS$6+IF(AS$5=$C354,$E$5+$E354,0),2),ROUND(AU353+AT354,2))),0)</f>
        <v>0</v>
      </c>
      <c r="AT354" s="24">
        <f>IF(AU353&gt;0,ROUND(ROUND(AU353*100,0)*ROUND(AS$7*10000,0)/12000000,0)/100,0)</f>
        <v>0</v>
      </c>
      <c r="AU354" s="24">
        <f>IF(AU353&gt;0,ROUND(AU353+AT354-AS354,2),0)</f>
        <v>0</v>
      </c>
      <c r="AV354" s="24">
        <f>IF(AU353&gt;0,ROUND(AV353+ROUND(ROUND(AV353*100,0)*ROUND(AS$7*10000,0)/12000000,0)/100+0.02,2),0)</f>
        <v>0</v>
      </c>
    </row>
    <row r="355" spans="1:48" x14ac:dyDescent="0.25">
      <c r="A355" s="17" t="str">
        <f>IF(F355&gt;0,345,"")</f>
        <v/>
      </c>
      <c r="B355" s="18" t="str">
        <f>IF(F355&gt;0,EDATE($E$6,345),"")</f>
        <v/>
      </c>
      <c r="C355" s="21">
        <f>IF(H354&gt;0,MIN(IF(K354&gt;0,I$5,99),IF(O354&gt;0,M$5,99),IF(S354&gt;0,Q$5,99),IF(W354&gt;0,U$5,99),IF(AA354&gt;0,Y$5,99),IF(AE354&gt;0,AC$5,99),IF(AI354&gt;0,AG$5,99),IF(AM354&gt;0,AK$5,99),IF(AQ354&gt;0,AO$5,99),IF(AU354&gt;0,AS$5,99)),0)</f>
        <v>0</v>
      </c>
      <c r="D355" t="str">
        <f>IF(C355&gt;0,INDEX($I$4:$AV$4,1,MATCH(C355,$I$5:$AV$5,0)),"")</f>
        <v/>
      </c>
      <c r="E355" s="24">
        <f>ROUND(IF(AND(I$8&gt;0,K354=0),I$6,0)+IF(AND(M$8&gt;0,O354=0),M$6,0)+IF(AND(Q$8&gt;0,S354=0),Q$6,0)+IF(AND(U$8&gt;0,W354=0),U$6,0)+IF(AND(Y$8&gt;0,AA354=0),Y$6,0)+IF(AND(AC$8&gt;0,AE354=0),AC$6,0)+IF(AND(AG$8&gt;0,AI354=0),AG$6,0)+IF(AND(AK$8&gt;0,AM354=0),AK$6,0)+IF(AND(AO$8&gt;0,AQ354=0),AO$6,0)+IF(AND(AS$8&gt;0,AU354=0),AS$6,0),2)</f>
        <v>325</v>
      </c>
      <c r="F355" s="24">
        <f>ROUND(I355+M355+Q355+U355+Y355+AC355+AG355+AK355+AO355+AS355,2)</f>
        <v>0</v>
      </c>
      <c r="G355" s="24">
        <f>ROUND(J355+N355+R355+V355+Z355+AD355+AH355+AL355+AP355+AT355,2)</f>
        <v>0</v>
      </c>
      <c r="H355" s="24">
        <f>ROUND(K355+O355+S355+W355+AA355+AE355+AI355+AM355+AQ355+AU355,2)</f>
        <v>0</v>
      </c>
      <c r="I355" s="24">
        <f>IF(K354&gt;0,IF(AND(ROUND(K354+J355-ROUND(I$6+IF(I$5=$C355,$E$5+$E355,0),2),2)&gt;0,ROUND(K354+J355-ROUND(I$6+IF(I$5=$C355,$E$5+$E355,0),2),2)&lt;=L355,ROUND(K354+J355-ROUND(I$6+IF(I$5=$C355,$E$5+$E355,0),2),2)*10&lt;=ROUND(I$6+IF(I$5=$C355,$E$5+$E355,0),2)),ROUND(K354+J355,2),MIN(ROUND(I$6+IF(I$5=$C355,$E$5+$E355,0),2),ROUND(K354+J355,2))),0)</f>
        <v>0</v>
      </c>
      <c r="J355" s="24">
        <f>IF(K354&gt;0,ROUND(ROUND(K354*100,0)*ROUND(I$7*10000,0)/12000000,0)/100,0)</f>
        <v>0</v>
      </c>
      <c r="K355" s="24">
        <f>IF(K354&gt;0,ROUND(K354+J355-I355,2),0)</f>
        <v>0</v>
      </c>
      <c r="L355" s="24">
        <f>IF(K354&gt;0,ROUND(L354+ROUND(ROUND(L354*100,0)*ROUND(I$7*10000,0)/12000000,0)/100+0.02,2),0)</f>
        <v>0</v>
      </c>
      <c r="M355" s="24">
        <f>IF(O354&gt;0,IF(AND(ROUND(O354+N355-ROUND(M$6+IF(M$5=$C355,$E$5+$E355,0),2),2)&gt;0,ROUND(O354+N355-ROUND(M$6+IF(M$5=$C355,$E$5+$E355,0),2),2)&lt;=P355,ROUND(O354+N355-ROUND(M$6+IF(M$5=$C355,$E$5+$E355,0),2),2)*10&lt;=ROUND(M$6+IF(M$5=$C355,$E$5+$E355,0),2)),ROUND(O354+N355,2),MIN(ROUND(M$6+IF(M$5=$C355,$E$5+$E355,0),2),ROUND(O354+N355,2))),0)</f>
        <v>0</v>
      </c>
      <c r="N355" s="24">
        <f>IF(O354&gt;0,ROUND(ROUND(O354*100,0)*ROUND(M$7*10000,0)/12000000,0)/100,0)</f>
        <v>0</v>
      </c>
      <c r="O355" s="24">
        <f>IF(O354&gt;0,ROUND(O354+N355-M355,2),0)</f>
        <v>0</v>
      </c>
      <c r="P355" s="24">
        <f>IF(O354&gt;0,ROUND(P354+ROUND(ROUND(P354*100,0)*ROUND(M$7*10000,0)/12000000,0)/100+0.02,2),0)</f>
        <v>0</v>
      </c>
      <c r="Q355" s="24">
        <f>IF(S354&gt;0,IF(AND(ROUND(S354+R355-ROUND(Q$6+IF(Q$5=$C355,$E$5+$E355,0),2),2)&gt;0,ROUND(S354+R355-ROUND(Q$6+IF(Q$5=$C355,$E$5+$E355,0),2),2)&lt;=T355,ROUND(S354+R355-ROUND(Q$6+IF(Q$5=$C355,$E$5+$E355,0),2),2)*10&lt;=ROUND(Q$6+IF(Q$5=$C355,$E$5+$E355,0),2)),ROUND(S354+R355,2),MIN(ROUND(Q$6+IF(Q$5=$C355,$E$5+$E355,0),2),ROUND(S354+R355,2))),0)</f>
        <v>0</v>
      </c>
      <c r="R355" s="24">
        <f>IF(S354&gt;0,ROUND(ROUND(S354*100,0)*ROUND(Q$7*10000,0)/12000000,0)/100,0)</f>
        <v>0</v>
      </c>
      <c r="S355" s="24">
        <f>IF(S354&gt;0,ROUND(S354+R355-Q355,2),0)</f>
        <v>0</v>
      </c>
      <c r="T355" s="24">
        <f>IF(S354&gt;0,ROUND(T354+ROUND(ROUND(T354*100,0)*ROUND(Q$7*10000,0)/12000000,0)/100+0.02,2),0)</f>
        <v>0</v>
      </c>
      <c r="U355" s="24">
        <f>IF(W354&gt;0,IF(AND(ROUND(W354+V355-ROUND(U$6+IF(U$5=$C355,$E$5+$E355,0),2),2)&gt;0,ROUND(W354+V355-ROUND(U$6+IF(U$5=$C355,$E$5+$E355,0),2),2)&lt;=X355,ROUND(W354+V355-ROUND(U$6+IF(U$5=$C355,$E$5+$E355,0),2),2)*10&lt;=ROUND(U$6+IF(U$5=$C355,$E$5+$E355,0),2)),ROUND(W354+V355,2),MIN(ROUND(U$6+IF(U$5=$C355,$E$5+$E355,0),2),ROUND(W354+V355,2))),0)</f>
        <v>0</v>
      </c>
      <c r="V355" s="24">
        <f>IF(W354&gt;0,ROUND(ROUND(W354*100,0)*ROUND(U$7*10000,0)/12000000,0)/100,0)</f>
        <v>0</v>
      </c>
      <c r="W355" s="24">
        <f>IF(W354&gt;0,ROUND(W354+V355-U355,2),0)</f>
        <v>0</v>
      </c>
      <c r="X355" s="24">
        <f>IF(W354&gt;0,ROUND(X354+ROUND(ROUND(X354*100,0)*ROUND(U$7*10000,0)/12000000,0)/100+0.02,2),0)</f>
        <v>0</v>
      </c>
      <c r="Y355" s="24">
        <f>IF(AA354&gt;0,IF(AND(ROUND(AA354+Z355-ROUND(Y$6+IF(Y$5=$C355,$E$5+$E355,0),2),2)&gt;0,ROUND(AA354+Z355-ROUND(Y$6+IF(Y$5=$C355,$E$5+$E355,0),2),2)&lt;=AB355,ROUND(AA354+Z355-ROUND(Y$6+IF(Y$5=$C355,$E$5+$E355,0),2),2)*10&lt;=ROUND(Y$6+IF(Y$5=$C355,$E$5+$E355,0),2)),ROUND(AA354+Z355,2),MIN(ROUND(Y$6+IF(Y$5=$C355,$E$5+$E355,0),2),ROUND(AA354+Z355,2))),0)</f>
        <v>0</v>
      </c>
      <c r="Z355" s="24">
        <f>IF(AA354&gt;0,ROUND(ROUND(AA354*100,0)*ROUND(Y$7*10000,0)/12000000,0)/100,0)</f>
        <v>0</v>
      </c>
      <c r="AA355" s="24">
        <f>IF(AA354&gt;0,ROUND(AA354+Z355-Y355,2),0)</f>
        <v>0</v>
      </c>
      <c r="AB355" s="24">
        <f>IF(AA354&gt;0,ROUND(AB354+ROUND(ROUND(AB354*100,0)*ROUND(Y$7*10000,0)/12000000,0)/100+0.02,2),0)</f>
        <v>0</v>
      </c>
      <c r="AC355" s="24">
        <f>IF(AE354&gt;0,IF(AND(ROUND(AE354+AD355-ROUND(AC$6+IF(AC$5=$C355,$E$5+$E355,0),2),2)&gt;0,ROUND(AE354+AD355-ROUND(AC$6+IF(AC$5=$C355,$E$5+$E355,0),2),2)&lt;=AF355,ROUND(AE354+AD355-ROUND(AC$6+IF(AC$5=$C355,$E$5+$E355,0),2),2)*10&lt;=ROUND(AC$6+IF(AC$5=$C355,$E$5+$E355,0),2)),ROUND(AE354+AD355,2),MIN(ROUND(AC$6+IF(AC$5=$C355,$E$5+$E355,0),2),ROUND(AE354+AD355,2))),0)</f>
        <v>0</v>
      </c>
      <c r="AD355" s="24">
        <f>IF(AE354&gt;0,ROUND(ROUND(AE354*100,0)*ROUND(AC$7*10000,0)/12000000,0)/100,0)</f>
        <v>0</v>
      </c>
      <c r="AE355" s="24">
        <f>IF(AE354&gt;0,ROUND(AE354+AD355-AC355,2),0)</f>
        <v>0</v>
      </c>
      <c r="AF355" s="24">
        <f>IF(AE354&gt;0,ROUND(AF354+ROUND(ROUND(AF354*100,0)*ROUND(AC$7*10000,0)/12000000,0)/100+0.02,2),0)</f>
        <v>0</v>
      </c>
      <c r="AG355" s="24">
        <f>IF(AI354&gt;0,IF(AND(ROUND(AI354+AH355-ROUND(AG$6+IF(AG$5=$C355,$E$5+$E355,0),2),2)&gt;0,ROUND(AI354+AH355-ROUND(AG$6+IF(AG$5=$C355,$E$5+$E355,0),2),2)&lt;=AJ355,ROUND(AI354+AH355-ROUND(AG$6+IF(AG$5=$C355,$E$5+$E355,0),2),2)*10&lt;=ROUND(AG$6+IF(AG$5=$C355,$E$5+$E355,0),2)),ROUND(AI354+AH355,2),MIN(ROUND(AG$6+IF(AG$5=$C355,$E$5+$E355,0),2),ROUND(AI354+AH355,2))),0)</f>
        <v>0</v>
      </c>
      <c r="AH355" s="24">
        <f>IF(AI354&gt;0,ROUND(ROUND(AI354*100,0)*ROUND(AG$7*10000,0)/12000000,0)/100,0)</f>
        <v>0</v>
      </c>
      <c r="AI355" s="24">
        <f>IF(AI354&gt;0,ROUND(AI354+AH355-AG355,2),0)</f>
        <v>0</v>
      </c>
      <c r="AJ355" s="24">
        <f>IF(AI354&gt;0,ROUND(AJ354+ROUND(ROUND(AJ354*100,0)*ROUND(AG$7*10000,0)/12000000,0)/100+0.02,2),0)</f>
        <v>0</v>
      </c>
      <c r="AK355" s="24">
        <f>IF(AM354&gt;0,IF(AND(ROUND(AM354+AL355-ROUND(AK$6+IF(AK$5=$C355,$E$5+$E355,0),2),2)&gt;0,ROUND(AM354+AL355-ROUND(AK$6+IF(AK$5=$C355,$E$5+$E355,0),2),2)&lt;=AN355,ROUND(AM354+AL355-ROUND(AK$6+IF(AK$5=$C355,$E$5+$E355,0),2),2)*10&lt;=ROUND(AK$6+IF(AK$5=$C355,$E$5+$E355,0),2)),ROUND(AM354+AL355,2),MIN(ROUND(AK$6+IF(AK$5=$C355,$E$5+$E355,0),2),ROUND(AM354+AL355,2))),0)</f>
        <v>0</v>
      </c>
      <c r="AL355" s="24">
        <f>IF(AM354&gt;0,ROUND(ROUND(AM354*100,0)*ROUND(AK$7*10000,0)/12000000,0)/100,0)</f>
        <v>0</v>
      </c>
      <c r="AM355" s="24">
        <f>IF(AM354&gt;0,ROUND(AM354+AL355-AK355,2),0)</f>
        <v>0</v>
      </c>
      <c r="AN355" s="24">
        <f>IF(AM354&gt;0,ROUND(AN354+ROUND(ROUND(AN354*100,0)*ROUND(AK$7*10000,0)/12000000,0)/100+0.02,2),0)</f>
        <v>0</v>
      </c>
      <c r="AO355" s="24">
        <f>IF(AQ354&gt;0,IF(AND(ROUND(AQ354+AP355-ROUND(AO$6+IF(AO$5=$C355,$E$5+$E355,0),2),2)&gt;0,ROUND(AQ354+AP355-ROUND(AO$6+IF(AO$5=$C355,$E$5+$E355,0),2),2)&lt;=AR355,ROUND(AQ354+AP355-ROUND(AO$6+IF(AO$5=$C355,$E$5+$E355,0),2),2)*10&lt;=ROUND(AO$6+IF(AO$5=$C355,$E$5+$E355,0),2)),ROUND(AQ354+AP355,2),MIN(ROUND(AO$6+IF(AO$5=$C355,$E$5+$E355,0),2),ROUND(AQ354+AP355,2))),0)</f>
        <v>0</v>
      </c>
      <c r="AP355" s="24">
        <f>IF(AQ354&gt;0,ROUND(ROUND(AQ354*100,0)*ROUND(AO$7*10000,0)/12000000,0)/100,0)</f>
        <v>0</v>
      </c>
      <c r="AQ355" s="24">
        <f>IF(AQ354&gt;0,ROUND(AQ354+AP355-AO355,2),0)</f>
        <v>0</v>
      </c>
      <c r="AR355" s="24">
        <f>IF(AQ354&gt;0,ROUND(AR354+ROUND(ROUND(AR354*100,0)*ROUND(AO$7*10000,0)/12000000,0)/100+0.02,2),0)</f>
        <v>0</v>
      </c>
      <c r="AS355" s="24">
        <f>IF(AU354&gt;0,IF(AND(ROUND(AU354+AT355-ROUND(AS$6+IF(AS$5=$C355,$E$5+$E355,0),2),2)&gt;0,ROUND(AU354+AT355-ROUND(AS$6+IF(AS$5=$C355,$E$5+$E355,0),2),2)&lt;=AV355,ROUND(AU354+AT355-ROUND(AS$6+IF(AS$5=$C355,$E$5+$E355,0),2),2)*10&lt;=ROUND(AS$6+IF(AS$5=$C355,$E$5+$E355,0),2)),ROUND(AU354+AT355,2),MIN(ROUND(AS$6+IF(AS$5=$C355,$E$5+$E355,0),2),ROUND(AU354+AT355,2))),0)</f>
        <v>0</v>
      </c>
      <c r="AT355" s="24">
        <f>IF(AU354&gt;0,ROUND(ROUND(AU354*100,0)*ROUND(AS$7*10000,0)/12000000,0)/100,0)</f>
        <v>0</v>
      </c>
      <c r="AU355" s="24">
        <f>IF(AU354&gt;0,ROUND(AU354+AT355-AS355,2),0)</f>
        <v>0</v>
      </c>
      <c r="AV355" s="24">
        <f>IF(AU354&gt;0,ROUND(AV354+ROUND(ROUND(AV354*100,0)*ROUND(AS$7*10000,0)/12000000,0)/100+0.02,2),0)</f>
        <v>0</v>
      </c>
    </row>
    <row r="356" spans="1:48" x14ac:dyDescent="0.25">
      <c r="A356" s="17" t="str">
        <f>IF(F356&gt;0,346,"")</f>
        <v/>
      </c>
      <c r="B356" s="18" t="str">
        <f>IF(F356&gt;0,EDATE($E$6,346),"")</f>
        <v/>
      </c>
      <c r="C356" s="21">
        <f>IF(H355&gt;0,MIN(IF(K355&gt;0,I$5,99),IF(O355&gt;0,M$5,99),IF(S355&gt;0,Q$5,99),IF(W355&gt;0,U$5,99),IF(AA355&gt;0,Y$5,99),IF(AE355&gt;0,AC$5,99),IF(AI355&gt;0,AG$5,99),IF(AM355&gt;0,AK$5,99),IF(AQ355&gt;0,AO$5,99),IF(AU355&gt;0,AS$5,99)),0)</f>
        <v>0</v>
      </c>
      <c r="D356" t="str">
        <f>IF(C356&gt;0,INDEX($I$4:$AV$4,1,MATCH(C356,$I$5:$AV$5,0)),"")</f>
        <v/>
      </c>
      <c r="E356" s="24">
        <f>ROUND(IF(AND(I$8&gt;0,K355=0),I$6,0)+IF(AND(M$8&gt;0,O355=0),M$6,0)+IF(AND(Q$8&gt;0,S355=0),Q$6,0)+IF(AND(U$8&gt;0,W355=0),U$6,0)+IF(AND(Y$8&gt;0,AA355=0),Y$6,0)+IF(AND(AC$8&gt;0,AE355=0),AC$6,0)+IF(AND(AG$8&gt;0,AI355=0),AG$6,0)+IF(AND(AK$8&gt;0,AM355=0),AK$6,0)+IF(AND(AO$8&gt;0,AQ355=0),AO$6,0)+IF(AND(AS$8&gt;0,AU355=0),AS$6,0),2)</f>
        <v>325</v>
      </c>
      <c r="F356" s="24">
        <f>ROUND(I356+M356+Q356+U356+Y356+AC356+AG356+AK356+AO356+AS356,2)</f>
        <v>0</v>
      </c>
      <c r="G356" s="24">
        <f>ROUND(J356+N356+R356+V356+Z356+AD356+AH356+AL356+AP356+AT356,2)</f>
        <v>0</v>
      </c>
      <c r="H356" s="24">
        <f>ROUND(K356+O356+S356+W356+AA356+AE356+AI356+AM356+AQ356+AU356,2)</f>
        <v>0</v>
      </c>
      <c r="I356" s="24">
        <f>IF(K355&gt;0,IF(AND(ROUND(K355+J356-ROUND(I$6+IF(I$5=$C356,$E$5+$E356,0),2),2)&gt;0,ROUND(K355+J356-ROUND(I$6+IF(I$5=$C356,$E$5+$E356,0),2),2)&lt;=L356,ROUND(K355+J356-ROUND(I$6+IF(I$5=$C356,$E$5+$E356,0),2),2)*10&lt;=ROUND(I$6+IF(I$5=$C356,$E$5+$E356,0),2)),ROUND(K355+J356,2),MIN(ROUND(I$6+IF(I$5=$C356,$E$5+$E356,0),2),ROUND(K355+J356,2))),0)</f>
        <v>0</v>
      </c>
      <c r="J356" s="24">
        <f>IF(K355&gt;0,ROUND(ROUND(K355*100,0)*ROUND(I$7*10000,0)/12000000,0)/100,0)</f>
        <v>0</v>
      </c>
      <c r="K356" s="24">
        <f>IF(K355&gt;0,ROUND(K355+J356-I356,2),0)</f>
        <v>0</v>
      </c>
      <c r="L356" s="24">
        <f>IF(K355&gt;0,ROUND(L355+ROUND(ROUND(L355*100,0)*ROUND(I$7*10000,0)/12000000,0)/100+0.02,2),0)</f>
        <v>0</v>
      </c>
      <c r="M356" s="24">
        <f>IF(O355&gt;0,IF(AND(ROUND(O355+N356-ROUND(M$6+IF(M$5=$C356,$E$5+$E356,0),2),2)&gt;0,ROUND(O355+N356-ROUND(M$6+IF(M$5=$C356,$E$5+$E356,0),2),2)&lt;=P356,ROUND(O355+N356-ROUND(M$6+IF(M$5=$C356,$E$5+$E356,0),2),2)*10&lt;=ROUND(M$6+IF(M$5=$C356,$E$5+$E356,0),2)),ROUND(O355+N356,2),MIN(ROUND(M$6+IF(M$5=$C356,$E$5+$E356,0),2),ROUND(O355+N356,2))),0)</f>
        <v>0</v>
      </c>
      <c r="N356" s="24">
        <f>IF(O355&gt;0,ROUND(ROUND(O355*100,0)*ROUND(M$7*10000,0)/12000000,0)/100,0)</f>
        <v>0</v>
      </c>
      <c r="O356" s="24">
        <f>IF(O355&gt;0,ROUND(O355+N356-M356,2),0)</f>
        <v>0</v>
      </c>
      <c r="P356" s="24">
        <f>IF(O355&gt;0,ROUND(P355+ROUND(ROUND(P355*100,0)*ROUND(M$7*10000,0)/12000000,0)/100+0.02,2),0)</f>
        <v>0</v>
      </c>
      <c r="Q356" s="24">
        <f>IF(S355&gt;0,IF(AND(ROUND(S355+R356-ROUND(Q$6+IF(Q$5=$C356,$E$5+$E356,0),2),2)&gt;0,ROUND(S355+R356-ROUND(Q$6+IF(Q$5=$C356,$E$5+$E356,0),2),2)&lt;=T356,ROUND(S355+R356-ROUND(Q$6+IF(Q$5=$C356,$E$5+$E356,0),2),2)*10&lt;=ROUND(Q$6+IF(Q$5=$C356,$E$5+$E356,0),2)),ROUND(S355+R356,2),MIN(ROUND(Q$6+IF(Q$5=$C356,$E$5+$E356,0),2),ROUND(S355+R356,2))),0)</f>
        <v>0</v>
      </c>
      <c r="R356" s="24">
        <f>IF(S355&gt;0,ROUND(ROUND(S355*100,0)*ROUND(Q$7*10000,0)/12000000,0)/100,0)</f>
        <v>0</v>
      </c>
      <c r="S356" s="24">
        <f>IF(S355&gt;0,ROUND(S355+R356-Q356,2),0)</f>
        <v>0</v>
      </c>
      <c r="T356" s="24">
        <f>IF(S355&gt;0,ROUND(T355+ROUND(ROUND(T355*100,0)*ROUND(Q$7*10000,0)/12000000,0)/100+0.02,2),0)</f>
        <v>0</v>
      </c>
      <c r="U356" s="24">
        <f>IF(W355&gt;0,IF(AND(ROUND(W355+V356-ROUND(U$6+IF(U$5=$C356,$E$5+$E356,0),2),2)&gt;0,ROUND(W355+V356-ROUND(U$6+IF(U$5=$C356,$E$5+$E356,0),2),2)&lt;=X356,ROUND(W355+V356-ROUND(U$6+IF(U$5=$C356,$E$5+$E356,0),2),2)*10&lt;=ROUND(U$6+IF(U$5=$C356,$E$5+$E356,0),2)),ROUND(W355+V356,2),MIN(ROUND(U$6+IF(U$5=$C356,$E$5+$E356,0),2),ROUND(W355+V356,2))),0)</f>
        <v>0</v>
      </c>
      <c r="V356" s="24">
        <f>IF(W355&gt;0,ROUND(ROUND(W355*100,0)*ROUND(U$7*10000,0)/12000000,0)/100,0)</f>
        <v>0</v>
      </c>
      <c r="W356" s="24">
        <f>IF(W355&gt;0,ROUND(W355+V356-U356,2),0)</f>
        <v>0</v>
      </c>
      <c r="X356" s="24">
        <f>IF(W355&gt;0,ROUND(X355+ROUND(ROUND(X355*100,0)*ROUND(U$7*10000,0)/12000000,0)/100+0.02,2),0)</f>
        <v>0</v>
      </c>
      <c r="Y356" s="24">
        <f>IF(AA355&gt;0,IF(AND(ROUND(AA355+Z356-ROUND(Y$6+IF(Y$5=$C356,$E$5+$E356,0),2),2)&gt;0,ROUND(AA355+Z356-ROUND(Y$6+IF(Y$5=$C356,$E$5+$E356,0),2),2)&lt;=AB356,ROUND(AA355+Z356-ROUND(Y$6+IF(Y$5=$C356,$E$5+$E356,0),2),2)*10&lt;=ROUND(Y$6+IF(Y$5=$C356,$E$5+$E356,0),2)),ROUND(AA355+Z356,2),MIN(ROUND(Y$6+IF(Y$5=$C356,$E$5+$E356,0),2),ROUND(AA355+Z356,2))),0)</f>
        <v>0</v>
      </c>
      <c r="Z356" s="24">
        <f>IF(AA355&gt;0,ROUND(ROUND(AA355*100,0)*ROUND(Y$7*10000,0)/12000000,0)/100,0)</f>
        <v>0</v>
      </c>
      <c r="AA356" s="24">
        <f>IF(AA355&gt;0,ROUND(AA355+Z356-Y356,2),0)</f>
        <v>0</v>
      </c>
      <c r="AB356" s="24">
        <f>IF(AA355&gt;0,ROUND(AB355+ROUND(ROUND(AB355*100,0)*ROUND(Y$7*10000,0)/12000000,0)/100+0.02,2),0)</f>
        <v>0</v>
      </c>
      <c r="AC356" s="24">
        <f>IF(AE355&gt;0,IF(AND(ROUND(AE355+AD356-ROUND(AC$6+IF(AC$5=$C356,$E$5+$E356,0),2),2)&gt;0,ROUND(AE355+AD356-ROUND(AC$6+IF(AC$5=$C356,$E$5+$E356,0),2),2)&lt;=AF356,ROUND(AE355+AD356-ROUND(AC$6+IF(AC$5=$C356,$E$5+$E356,0),2),2)*10&lt;=ROUND(AC$6+IF(AC$5=$C356,$E$5+$E356,0),2)),ROUND(AE355+AD356,2),MIN(ROUND(AC$6+IF(AC$5=$C356,$E$5+$E356,0),2),ROUND(AE355+AD356,2))),0)</f>
        <v>0</v>
      </c>
      <c r="AD356" s="24">
        <f>IF(AE355&gt;0,ROUND(ROUND(AE355*100,0)*ROUND(AC$7*10000,0)/12000000,0)/100,0)</f>
        <v>0</v>
      </c>
      <c r="AE356" s="24">
        <f>IF(AE355&gt;0,ROUND(AE355+AD356-AC356,2),0)</f>
        <v>0</v>
      </c>
      <c r="AF356" s="24">
        <f>IF(AE355&gt;0,ROUND(AF355+ROUND(ROUND(AF355*100,0)*ROUND(AC$7*10000,0)/12000000,0)/100+0.02,2),0)</f>
        <v>0</v>
      </c>
      <c r="AG356" s="24">
        <f>IF(AI355&gt;0,IF(AND(ROUND(AI355+AH356-ROUND(AG$6+IF(AG$5=$C356,$E$5+$E356,0),2),2)&gt;0,ROUND(AI355+AH356-ROUND(AG$6+IF(AG$5=$C356,$E$5+$E356,0),2),2)&lt;=AJ356,ROUND(AI355+AH356-ROUND(AG$6+IF(AG$5=$C356,$E$5+$E356,0),2),2)*10&lt;=ROUND(AG$6+IF(AG$5=$C356,$E$5+$E356,0),2)),ROUND(AI355+AH356,2),MIN(ROUND(AG$6+IF(AG$5=$C356,$E$5+$E356,0),2),ROUND(AI355+AH356,2))),0)</f>
        <v>0</v>
      </c>
      <c r="AH356" s="24">
        <f>IF(AI355&gt;0,ROUND(ROUND(AI355*100,0)*ROUND(AG$7*10000,0)/12000000,0)/100,0)</f>
        <v>0</v>
      </c>
      <c r="AI356" s="24">
        <f>IF(AI355&gt;0,ROUND(AI355+AH356-AG356,2),0)</f>
        <v>0</v>
      </c>
      <c r="AJ356" s="24">
        <f>IF(AI355&gt;0,ROUND(AJ355+ROUND(ROUND(AJ355*100,0)*ROUND(AG$7*10000,0)/12000000,0)/100+0.02,2),0)</f>
        <v>0</v>
      </c>
      <c r="AK356" s="24">
        <f>IF(AM355&gt;0,IF(AND(ROUND(AM355+AL356-ROUND(AK$6+IF(AK$5=$C356,$E$5+$E356,0),2),2)&gt;0,ROUND(AM355+AL356-ROUND(AK$6+IF(AK$5=$C356,$E$5+$E356,0),2),2)&lt;=AN356,ROUND(AM355+AL356-ROUND(AK$6+IF(AK$5=$C356,$E$5+$E356,0),2),2)*10&lt;=ROUND(AK$6+IF(AK$5=$C356,$E$5+$E356,0),2)),ROUND(AM355+AL356,2),MIN(ROUND(AK$6+IF(AK$5=$C356,$E$5+$E356,0),2),ROUND(AM355+AL356,2))),0)</f>
        <v>0</v>
      </c>
      <c r="AL356" s="24">
        <f>IF(AM355&gt;0,ROUND(ROUND(AM355*100,0)*ROUND(AK$7*10000,0)/12000000,0)/100,0)</f>
        <v>0</v>
      </c>
      <c r="AM356" s="24">
        <f>IF(AM355&gt;0,ROUND(AM355+AL356-AK356,2),0)</f>
        <v>0</v>
      </c>
      <c r="AN356" s="24">
        <f>IF(AM355&gt;0,ROUND(AN355+ROUND(ROUND(AN355*100,0)*ROUND(AK$7*10000,0)/12000000,0)/100+0.02,2),0)</f>
        <v>0</v>
      </c>
      <c r="AO356" s="24">
        <f>IF(AQ355&gt;0,IF(AND(ROUND(AQ355+AP356-ROUND(AO$6+IF(AO$5=$C356,$E$5+$E356,0),2),2)&gt;0,ROUND(AQ355+AP356-ROUND(AO$6+IF(AO$5=$C356,$E$5+$E356,0),2),2)&lt;=AR356,ROUND(AQ355+AP356-ROUND(AO$6+IF(AO$5=$C356,$E$5+$E356,0),2),2)*10&lt;=ROUND(AO$6+IF(AO$5=$C356,$E$5+$E356,0),2)),ROUND(AQ355+AP356,2),MIN(ROUND(AO$6+IF(AO$5=$C356,$E$5+$E356,0),2),ROUND(AQ355+AP356,2))),0)</f>
        <v>0</v>
      </c>
      <c r="AP356" s="24">
        <f>IF(AQ355&gt;0,ROUND(ROUND(AQ355*100,0)*ROUND(AO$7*10000,0)/12000000,0)/100,0)</f>
        <v>0</v>
      </c>
      <c r="AQ356" s="24">
        <f>IF(AQ355&gt;0,ROUND(AQ355+AP356-AO356,2),0)</f>
        <v>0</v>
      </c>
      <c r="AR356" s="24">
        <f>IF(AQ355&gt;0,ROUND(AR355+ROUND(ROUND(AR355*100,0)*ROUND(AO$7*10000,0)/12000000,0)/100+0.02,2),0)</f>
        <v>0</v>
      </c>
      <c r="AS356" s="24">
        <f>IF(AU355&gt;0,IF(AND(ROUND(AU355+AT356-ROUND(AS$6+IF(AS$5=$C356,$E$5+$E356,0),2),2)&gt;0,ROUND(AU355+AT356-ROUND(AS$6+IF(AS$5=$C356,$E$5+$E356,0),2),2)&lt;=AV356,ROUND(AU355+AT356-ROUND(AS$6+IF(AS$5=$C356,$E$5+$E356,0),2),2)*10&lt;=ROUND(AS$6+IF(AS$5=$C356,$E$5+$E356,0),2)),ROUND(AU355+AT356,2),MIN(ROUND(AS$6+IF(AS$5=$C356,$E$5+$E356,0),2),ROUND(AU355+AT356,2))),0)</f>
        <v>0</v>
      </c>
      <c r="AT356" s="24">
        <f>IF(AU355&gt;0,ROUND(ROUND(AU355*100,0)*ROUND(AS$7*10000,0)/12000000,0)/100,0)</f>
        <v>0</v>
      </c>
      <c r="AU356" s="24">
        <f>IF(AU355&gt;0,ROUND(AU355+AT356-AS356,2),0)</f>
        <v>0</v>
      </c>
      <c r="AV356" s="24">
        <f>IF(AU355&gt;0,ROUND(AV355+ROUND(ROUND(AV355*100,0)*ROUND(AS$7*10000,0)/12000000,0)/100+0.02,2),0)</f>
        <v>0</v>
      </c>
    </row>
    <row r="357" spans="1:48" x14ac:dyDescent="0.25">
      <c r="A357" s="17" t="str">
        <f>IF(F357&gt;0,347,"")</f>
        <v/>
      </c>
      <c r="B357" s="18" t="str">
        <f>IF(F357&gt;0,EDATE($E$6,347),"")</f>
        <v/>
      </c>
      <c r="C357" s="21">
        <f>IF(H356&gt;0,MIN(IF(K356&gt;0,I$5,99),IF(O356&gt;0,M$5,99),IF(S356&gt;0,Q$5,99),IF(W356&gt;0,U$5,99),IF(AA356&gt;0,Y$5,99),IF(AE356&gt;0,AC$5,99),IF(AI356&gt;0,AG$5,99),IF(AM356&gt;0,AK$5,99),IF(AQ356&gt;0,AO$5,99),IF(AU356&gt;0,AS$5,99)),0)</f>
        <v>0</v>
      </c>
      <c r="D357" t="str">
        <f>IF(C357&gt;0,INDEX($I$4:$AV$4,1,MATCH(C357,$I$5:$AV$5,0)),"")</f>
        <v/>
      </c>
      <c r="E357" s="24">
        <f>ROUND(IF(AND(I$8&gt;0,K356=0),I$6,0)+IF(AND(M$8&gt;0,O356=0),M$6,0)+IF(AND(Q$8&gt;0,S356=0),Q$6,0)+IF(AND(U$8&gt;0,W356=0),U$6,0)+IF(AND(Y$8&gt;0,AA356=0),Y$6,0)+IF(AND(AC$8&gt;0,AE356=0),AC$6,0)+IF(AND(AG$8&gt;0,AI356=0),AG$6,0)+IF(AND(AK$8&gt;0,AM356=0),AK$6,0)+IF(AND(AO$8&gt;0,AQ356=0),AO$6,0)+IF(AND(AS$8&gt;0,AU356=0),AS$6,0),2)</f>
        <v>325</v>
      </c>
      <c r="F357" s="24">
        <f>ROUND(I357+M357+Q357+U357+Y357+AC357+AG357+AK357+AO357+AS357,2)</f>
        <v>0</v>
      </c>
      <c r="G357" s="24">
        <f>ROUND(J357+N357+R357+V357+Z357+AD357+AH357+AL357+AP357+AT357,2)</f>
        <v>0</v>
      </c>
      <c r="H357" s="24">
        <f>ROUND(K357+O357+S357+W357+AA357+AE357+AI357+AM357+AQ357+AU357,2)</f>
        <v>0</v>
      </c>
      <c r="I357" s="24">
        <f>IF(K356&gt;0,IF(AND(ROUND(K356+J357-ROUND(I$6+IF(I$5=$C357,$E$5+$E357,0),2),2)&gt;0,ROUND(K356+J357-ROUND(I$6+IF(I$5=$C357,$E$5+$E357,0),2),2)&lt;=L357,ROUND(K356+J357-ROUND(I$6+IF(I$5=$C357,$E$5+$E357,0),2),2)*10&lt;=ROUND(I$6+IF(I$5=$C357,$E$5+$E357,0),2)),ROUND(K356+J357,2),MIN(ROUND(I$6+IF(I$5=$C357,$E$5+$E357,0),2),ROUND(K356+J357,2))),0)</f>
        <v>0</v>
      </c>
      <c r="J357" s="24">
        <f>IF(K356&gt;0,ROUND(ROUND(K356*100,0)*ROUND(I$7*10000,0)/12000000,0)/100,0)</f>
        <v>0</v>
      </c>
      <c r="K357" s="24">
        <f>IF(K356&gt;0,ROUND(K356+J357-I357,2),0)</f>
        <v>0</v>
      </c>
      <c r="L357" s="24">
        <f>IF(K356&gt;0,ROUND(L356+ROUND(ROUND(L356*100,0)*ROUND(I$7*10000,0)/12000000,0)/100+0.02,2),0)</f>
        <v>0</v>
      </c>
      <c r="M357" s="24">
        <f>IF(O356&gt;0,IF(AND(ROUND(O356+N357-ROUND(M$6+IF(M$5=$C357,$E$5+$E357,0),2),2)&gt;0,ROUND(O356+N357-ROUND(M$6+IF(M$5=$C357,$E$5+$E357,0),2),2)&lt;=P357,ROUND(O356+N357-ROUND(M$6+IF(M$5=$C357,$E$5+$E357,0),2),2)*10&lt;=ROUND(M$6+IF(M$5=$C357,$E$5+$E357,0),2)),ROUND(O356+N357,2),MIN(ROUND(M$6+IF(M$5=$C357,$E$5+$E357,0),2),ROUND(O356+N357,2))),0)</f>
        <v>0</v>
      </c>
      <c r="N357" s="24">
        <f>IF(O356&gt;0,ROUND(ROUND(O356*100,0)*ROUND(M$7*10000,0)/12000000,0)/100,0)</f>
        <v>0</v>
      </c>
      <c r="O357" s="24">
        <f>IF(O356&gt;0,ROUND(O356+N357-M357,2),0)</f>
        <v>0</v>
      </c>
      <c r="P357" s="24">
        <f>IF(O356&gt;0,ROUND(P356+ROUND(ROUND(P356*100,0)*ROUND(M$7*10000,0)/12000000,0)/100+0.02,2),0)</f>
        <v>0</v>
      </c>
      <c r="Q357" s="24">
        <f>IF(S356&gt;0,IF(AND(ROUND(S356+R357-ROUND(Q$6+IF(Q$5=$C357,$E$5+$E357,0),2),2)&gt;0,ROUND(S356+R357-ROUND(Q$6+IF(Q$5=$C357,$E$5+$E357,0),2),2)&lt;=T357,ROUND(S356+R357-ROUND(Q$6+IF(Q$5=$C357,$E$5+$E357,0),2),2)*10&lt;=ROUND(Q$6+IF(Q$5=$C357,$E$5+$E357,0),2)),ROUND(S356+R357,2),MIN(ROUND(Q$6+IF(Q$5=$C357,$E$5+$E357,0),2),ROUND(S356+R357,2))),0)</f>
        <v>0</v>
      </c>
      <c r="R357" s="24">
        <f>IF(S356&gt;0,ROUND(ROUND(S356*100,0)*ROUND(Q$7*10000,0)/12000000,0)/100,0)</f>
        <v>0</v>
      </c>
      <c r="S357" s="24">
        <f>IF(S356&gt;0,ROUND(S356+R357-Q357,2),0)</f>
        <v>0</v>
      </c>
      <c r="T357" s="24">
        <f>IF(S356&gt;0,ROUND(T356+ROUND(ROUND(T356*100,0)*ROUND(Q$7*10000,0)/12000000,0)/100+0.02,2),0)</f>
        <v>0</v>
      </c>
      <c r="U357" s="24">
        <f>IF(W356&gt;0,IF(AND(ROUND(W356+V357-ROUND(U$6+IF(U$5=$C357,$E$5+$E357,0),2),2)&gt;0,ROUND(W356+V357-ROUND(U$6+IF(U$5=$C357,$E$5+$E357,0),2),2)&lt;=X357,ROUND(W356+V357-ROUND(U$6+IF(U$5=$C357,$E$5+$E357,0),2),2)*10&lt;=ROUND(U$6+IF(U$5=$C357,$E$5+$E357,0),2)),ROUND(W356+V357,2),MIN(ROUND(U$6+IF(U$5=$C357,$E$5+$E357,0),2),ROUND(W356+V357,2))),0)</f>
        <v>0</v>
      </c>
      <c r="V357" s="24">
        <f>IF(W356&gt;0,ROUND(ROUND(W356*100,0)*ROUND(U$7*10000,0)/12000000,0)/100,0)</f>
        <v>0</v>
      </c>
      <c r="W357" s="24">
        <f>IF(W356&gt;0,ROUND(W356+V357-U357,2),0)</f>
        <v>0</v>
      </c>
      <c r="X357" s="24">
        <f>IF(W356&gt;0,ROUND(X356+ROUND(ROUND(X356*100,0)*ROUND(U$7*10000,0)/12000000,0)/100+0.02,2),0)</f>
        <v>0</v>
      </c>
      <c r="Y357" s="24">
        <f>IF(AA356&gt;0,IF(AND(ROUND(AA356+Z357-ROUND(Y$6+IF(Y$5=$C357,$E$5+$E357,0),2),2)&gt;0,ROUND(AA356+Z357-ROUND(Y$6+IF(Y$5=$C357,$E$5+$E357,0),2),2)&lt;=AB357,ROUND(AA356+Z357-ROUND(Y$6+IF(Y$5=$C357,$E$5+$E357,0),2),2)*10&lt;=ROUND(Y$6+IF(Y$5=$C357,$E$5+$E357,0),2)),ROUND(AA356+Z357,2),MIN(ROUND(Y$6+IF(Y$5=$C357,$E$5+$E357,0),2),ROUND(AA356+Z357,2))),0)</f>
        <v>0</v>
      </c>
      <c r="Z357" s="24">
        <f>IF(AA356&gt;0,ROUND(ROUND(AA356*100,0)*ROUND(Y$7*10000,0)/12000000,0)/100,0)</f>
        <v>0</v>
      </c>
      <c r="AA357" s="24">
        <f>IF(AA356&gt;0,ROUND(AA356+Z357-Y357,2),0)</f>
        <v>0</v>
      </c>
      <c r="AB357" s="24">
        <f>IF(AA356&gt;0,ROUND(AB356+ROUND(ROUND(AB356*100,0)*ROUND(Y$7*10000,0)/12000000,0)/100+0.02,2),0)</f>
        <v>0</v>
      </c>
      <c r="AC357" s="24">
        <f>IF(AE356&gt;0,IF(AND(ROUND(AE356+AD357-ROUND(AC$6+IF(AC$5=$C357,$E$5+$E357,0),2),2)&gt;0,ROUND(AE356+AD357-ROUND(AC$6+IF(AC$5=$C357,$E$5+$E357,0),2),2)&lt;=AF357,ROUND(AE356+AD357-ROUND(AC$6+IF(AC$5=$C357,$E$5+$E357,0),2),2)*10&lt;=ROUND(AC$6+IF(AC$5=$C357,$E$5+$E357,0),2)),ROUND(AE356+AD357,2),MIN(ROUND(AC$6+IF(AC$5=$C357,$E$5+$E357,0),2),ROUND(AE356+AD357,2))),0)</f>
        <v>0</v>
      </c>
      <c r="AD357" s="24">
        <f>IF(AE356&gt;0,ROUND(ROUND(AE356*100,0)*ROUND(AC$7*10000,0)/12000000,0)/100,0)</f>
        <v>0</v>
      </c>
      <c r="AE357" s="24">
        <f>IF(AE356&gt;0,ROUND(AE356+AD357-AC357,2),0)</f>
        <v>0</v>
      </c>
      <c r="AF357" s="24">
        <f>IF(AE356&gt;0,ROUND(AF356+ROUND(ROUND(AF356*100,0)*ROUND(AC$7*10000,0)/12000000,0)/100+0.02,2),0)</f>
        <v>0</v>
      </c>
      <c r="AG357" s="24">
        <f>IF(AI356&gt;0,IF(AND(ROUND(AI356+AH357-ROUND(AG$6+IF(AG$5=$C357,$E$5+$E357,0),2),2)&gt;0,ROUND(AI356+AH357-ROUND(AG$6+IF(AG$5=$C357,$E$5+$E357,0),2),2)&lt;=AJ357,ROUND(AI356+AH357-ROUND(AG$6+IF(AG$5=$C357,$E$5+$E357,0),2),2)*10&lt;=ROUND(AG$6+IF(AG$5=$C357,$E$5+$E357,0),2)),ROUND(AI356+AH357,2),MIN(ROUND(AG$6+IF(AG$5=$C357,$E$5+$E357,0),2),ROUND(AI356+AH357,2))),0)</f>
        <v>0</v>
      </c>
      <c r="AH357" s="24">
        <f>IF(AI356&gt;0,ROUND(ROUND(AI356*100,0)*ROUND(AG$7*10000,0)/12000000,0)/100,0)</f>
        <v>0</v>
      </c>
      <c r="AI357" s="24">
        <f>IF(AI356&gt;0,ROUND(AI356+AH357-AG357,2),0)</f>
        <v>0</v>
      </c>
      <c r="AJ357" s="24">
        <f>IF(AI356&gt;0,ROUND(AJ356+ROUND(ROUND(AJ356*100,0)*ROUND(AG$7*10000,0)/12000000,0)/100+0.02,2),0)</f>
        <v>0</v>
      </c>
      <c r="AK357" s="24">
        <f>IF(AM356&gt;0,IF(AND(ROUND(AM356+AL357-ROUND(AK$6+IF(AK$5=$C357,$E$5+$E357,0),2),2)&gt;0,ROUND(AM356+AL357-ROUND(AK$6+IF(AK$5=$C357,$E$5+$E357,0),2),2)&lt;=AN357,ROUND(AM356+AL357-ROUND(AK$6+IF(AK$5=$C357,$E$5+$E357,0),2),2)*10&lt;=ROUND(AK$6+IF(AK$5=$C357,$E$5+$E357,0),2)),ROUND(AM356+AL357,2),MIN(ROUND(AK$6+IF(AK$5=$C357,$E$5+$E357,0),2),ROUND(AM356+AL357,2))),0)</f>
        <v>0</v>
      </c>
      <c r="AL357" s="24">
        <f>IF(AM356&gt;0,ROUND(ROUND(AM356*100,0)*ROUND(AK$7*10000,0)/12000000,0)/100,0)</f>
        <v>0</v>
      </c>
      <c r="AM357" s="24">
        <f>IF(AM356&gt;0,ROUND(AM356+AL357-AK357,2),0)</f>
        <v>0</v>
      </c>
      <c r="AN357" s="24">
        <f>IF(AM356&gt;0,ROUND(AN356+ROUND(ROUND(AN356*100,0)*ROUND(AK$7*10000,0)/12000000,0)/100+0.02,2),0)</f>
        <v>0</v>
      </c>
      <c r="AO357" s="24">
        <f>IF(AQ356&gt;0,IF(AND(ROUND(AQ356+AP357-ROUND(AO$6+IF(AO$5=$C357,$E$5+$E357,0),2),2)&gt;0,ROUND(AQ356+AP357-ROUND(AO$6+IF(AO$5=$C357,$E$5+$E357,0),2),2)&lt;=AR357,ROUND(AQ356+AP357-ROUND(AO$6+IF(AO$5=$C357,$E$5+$E357,0),2),2)*10&lt;=ROUND(AO$6+IF(AO$5=$C357,$E$5+$E357,0),2)),ROUND(AQ356+AP357,2),MIN(ROUND(AO$6+IF(AO$5=$C357,$E$5+$E357,0),2),ROUND(AQ356+AP357,2))),0)</f>
        <v>0</v>
      </c>
      <c r="AP357" s="24">
        <f>IF(AQ356&gt;0,ROUND(ROUND(AQ356*100,0)*ROUND(AO$7*10000,0)/12000000,0)/100,0)</f>
        <v>0</v>
      </c>
      <c r="AQ357" s="24">
        <f>IF(AQ356&gt;0,ROUND(AQ356+AP357-AO357,2),0)</f>
        <v>0</v>
      </c>
      <c r="AR357" s="24">
        <f>IF(AQ356&gt;0,ROUND(AR356+ROUND(ROUND(AR356*100,0)*ROUND(AO$7*10000,0)/12000000,0)/100+0.02,2),0)</f>
        <v>0</v>
      </c>
      <c r="AS357" s="24">
        <f>IF(AU356&gt;0,IF(AND(ROUND(AU356+AT357-ROUND(AS$6+IF(AS$5=$C357,$E$5+$E357,0),2),2)&gt;0,ROUND(AU356+AT357-ROUND(AS$6+IF(AS$5=$C357,$E$5+$E357,0),2),2)&lt;=AV357,ROUND(AU356+AT357-ROUND(AS$6+IF(AS$5=$C357,$E$5+$E357,0),2),2)*10&lt;=ROUND(AS$6+IF(AS$5=$C357,$E$5+$E357,0),2)),ROUND(AU356+AT357,2),MIN(ROUND(AS$6+IF(AS$5=$C357,$E$5+$E357,0),2),ROUND(AU356+AT357,2))),0)</f>
        <v>0</v>
      </c>
      <c r="AT357" s="24">
        <f>IF(AU356&gt;0,ROUND(ROUND(AU356*100,0)*ROUND(AS$7*10000,0)/12000000,0)/100,0)</f>
        <v>0</v>
      </c>
      <c r="AU357" s="24">
        <f>IF(AU356&gt;0,ROUND(AU356+AT357-AS357,2),0)</f>
        <v>0</v>
      </c>
      <c r="AV357" s="24">
        <f>IF(AU356&gt;0,ROUND(AV356+ROUND(ROUND(AV356*100,0)*ROUND(AS$7*10000,0)/12000000,0)/100+0.02,2),0)</f>
        <v>0</v>
      </c>
    </row>
    <row r="358" spans="1:48" x14ac:dyDescent="0.25">
      <c r="A358" s="17" t="str">
        <f>IF(F358&gt;0,348,"")</f>
        <v/>
      </c>
      <c r="B358" s="18" t="str">
        <f>IF(F358&gt;0,EDATE($E$6,348),"")</f>
        <v/>
      </c>
      <c r="C358" s="21">
        <f>IF(H357&gt;0,MIN(IF(K357&gt;0,I$5,99),IF(O357&gt;0,M$5,99),IF(S357&gt;0,Q$5,99),IF(W357&gt;0,U$5,99),IF(AA357&gt;0,Y$5,99),IF(AE357&gt;0,AC$5,99),IF(AI357&gt;0,AG$5,99),IF(AM357&gt;0,AK$5,99),IF(AQ357&gt;0,AO$5,99),IF(AU357&gt;0,AS$5,99)),0)</f>
        <v>0</v>
      </c>
      <c r="D358" t="str">
        <f>IF(C358&gt;0,INDEX($I$4:$AV$4,1,MATCH(C358,$I$5:$AV$5,0)),"")</f>
        <v/>
      </c>
      <c r="E358" s="24">
        <f>ROUND(IF(AND(I$8&gt;0,K357=0),I$6,0)+IF(AND(M$8&gt;0,O357=0),M$6,0)+IF(AND(Q$8&gt;0,S357=0),Q$6,0)+IF(AND(U$8&gt;0,W357=0),U$6,0)+IF(AND(Y$8&gt;0,AA357=0),Y$6,0)+IF(AND(AC$8&gt;0,AE357=0),AC$6,0)+IF(AND(AG$8&gt;0,AI357=0),AG$6,0)+IF(AND(AK$8&gt;0,AM357=0),AK$6,0)+IF(AND(AO$8&gt;0,AQ357=0),AO$6,0)+IF(AND(AS$8&gt;0,AU357=0),AS$6,0),2)</f>
        <v>325</v>
      </c>
      <c r="F358" s="24">
        <f>ROUND(I358+M358+Q358+U358+Y358+AC358+AG358+AK358+AO358+AS358,2)</f>
        <v>0</v>
      </c>
      <c r="G358" s="24">
        <f>ROUND(J358+N358+R358+V358+Z358+AD358+AH358+AL358+AP358+AT358,2)</f>
        <v>0</v>
      </c>
      <c r="H358" s="24">
        <f>ROUND(K358+O358+S358+W358+AA358+AE358+AI358+AM358+AQ358+AU358,2)</f>
        <v>0</v>
      </c>
      <c r="I358" s="24">
        <f>IF(K357&gt;0,IF(AND(ROUND(K357+J358-ROUND(I$6+IF(I$5=$C358,$E$5+$E358,0),2),2)&gt;0,ROUND(K357+J358-ROUND(I$6+IF(I$5=$C358,$E$5+$E358,0),2),2)&lt;=L358,ROUND(K357+J358-ROUND(I$6+IF(I$5=$C358,$E$5+$E358,0),2),2)*10&lt;=ROUND(I$6+IF(I$5=$C358,$E$5+$E358,0),2)),ROUND(K357+J358,2),MIN(ROUND(I$6+IF(I$5=$C358,$E$5+$E358,0),2),ROUND(K357+J358,2))),0)</f>
        <v>0</v>
      </c>
      <c r="J358" s="24">
        <f>IF(K357&gt;0,ROUND(ROUND(K357*100,0)*ROUND(I$7*10000,0)/12000000,0)/100,0)</f>
        <v>0</v>
      </c>
      <c r="K358" s="24">
        <f>IF(K357&gt;0,ROUND(K357+J358-I358,2),0)</f>
        <v>0</v>
      </c>
      <c r="L358" s="24">
        <f>IF(K357&gt;0,ROUND(L357+ROUND(ROUND(L357*100,0)*ROUND(I$7*10000,0)/12000000,0)/100+0.02,2),0)</f>
        <v>0</v>
      </c>
      <c r="M358" s="24">
        <f>IF(O357&gt;0,IF(AND(ROUND(O357+N358-ROUND(M$6+IF(M$5=$C358,$E$5+$E358,0),2),2)&gt;0,ROUND(O357+N358-ROUND(M$6+IF(M$5=$C358,$E$5+$E358,0),2),2)&lt;=P358,ROUND(O357+N358-ROUND(M$6+IF(M$5=$C358,$E$5+$E358,0),2),2)*10&lt;=ROUND(M$6+IF(M$5=$C358,$E$5+$E358,0),2)),ROUND(O357+N358,2),MIN(ROUND(M$6+IF(M$5=$C358,$E$5+$E358,0),2),ROUND(O357+N358,2))),0)</f>
        <v>0</v>
      </c>
      <c r="N358" s="24">
        <f>IF(O357&gt;0,ROUND(ROUND(O357*100,0)*ROUND(M$7*10000,0)/12000000,0)/100,0)</f>
        <v>0</v>
      </c>
      <c r="O358" s="24">
        <f>IF(O357&gt;0,ROUND(O357+N358-M358,2),0)</f>
        <v>0</v>
      </c>
      <c r="P358" s="24">
        <f>IF(O357&gt;0,ROUND(P357+ROUND(ROUND(P357*100,0)*ROUND(M$7*10000,0)/12000000,0)/100+0.02,2),0)</f>
        <v>0</v>
      </c>
      <c r="Q358" s="24">
        <f>IF(S357&gt;0,IF(AND(ROUND(S357+R358-ROUND(Q$6+IF(Q$5=$C358,$E$5+$E358,0),2),2)&gt;0,ROUND(S357+R358-ROUND(Q$6+IF(Q$5=$C358,$E$5+$E358,0),2),2)&lt;=T358,ROUND(S357+R358-ROUND(Q$6+IF(Q$5=$C358,$E$5+$E358,0),2),2)*10&lt;=ROUND(Q$6+IF(Q$5=$C358,$E$5+$E358,0),2)),ROUND(S357+R358,2),MIN(ROUND(Q$6+IF(Q$5=$C358,$E$5+$E358,0),2),ROUND(S357+R358,2))),0)</f>
        <v>0</v>
      </c>
      <c r="R358" s="24">
        <f>IF(S357&gt;0,ROUND(ROUND(S357*100,0)*ROUND(Q$7*10000,0)/12000000,0)/100,0)</f>
        <v>0</v>
      </c>
      <c r="S358" s="24">
        <f>IF(S357&gt;0,ROUND(S357+R358-Q358,2),0)</f>
        <v>0</v>
      </c>
      <c r="T358" s="24">
        <f>IF(S357&gt;0,ROUND(T357+ROUND(ROUND(T357*100,0)*ROUND(Q$7*10000,0)/12000000,0)/100+0.02,2),0)</f>
        <v>0</v>
      </c>
      <c r="U358" s="24">
        <f>IF(W357&gt;0,IF(AND(ROUND(W357+V358-ROUND(U$6+IF(U$5=$C358,$E$5+$E358,0),2),2)&gt;0,ROUND(W357+V358-ROUND(U$6+IF(U$5=$C358,$E$5+$E358,0),2),2)&lt;=X358,ROUND(W357+V358-ROUND(U$6+IF(U$5=$C358,$E$5+$E358,0),2),2)*10&lt;=ROUND(U$6+IF(U$5=$C358,$E$5+$E358,0),2)),ROUND(W357+V358,2),MIN(ROUND(U$6+IF(U$5=$C358,$E$5+$E358,0),2),ROUND(W357+V358,2))),0)</f>
        <v>0</v>
      </c>
      <c r="V358" s="24">
        <f>IF(W357&gt;0,ROUND(ROUND(W357*100,0)*ROUND(U$7*10000,0)/12000000,0)/100,0)</f>
        <v>0</v>
      </c>
      <c r="W358" s="24">
        <f>IF(W357&gt;0,ROUND(W357+V358-U358,2),0)</f>
        <v>0</v>
      </c>
      <c r="X358" s="24">
        <f>IF(W357&gt;0,ROUND(X357+ROUND(ROUND(X357*100,0)*ROUND(U$7*10000,0)/12000000,0)/100+0.02,2),0)</f>
        <v>0</v>
      </c>
      <c r="Y358" s="24">
        <f>IF(AA357&gt;0,IF(AND(ROUND(AA357+Z358-ROUND(Y$6+IF(Y$5=$C358,$E$5+$E358,0),2),2)&gt;0,ROUND(AA357+Z358-ROUND(Y$6+IF(Y$5=$C358,$E$5+$E358,0),2),2)&lt;=AB358,ROUND(AA357+Z358-ROUND(Y$6+IF(Y$5=$C358,$E$5+$E358,0),2),2)*10&lt;=ROUND(Y$6+IF(Y$5=$C358,$E$5+$E358,0),2)),ROUND(AA357+Z358,2),MIN(ROUND(Y$6+IF(Y$5=$C358,$E$5+$E358,0),2),ROUND(AA357+Z358,2))),0)</f>
        <v>0</v>
      </c>
      <c r="Z358" s="24">
        <f>IF(AA357&gt;0,ROUND(ROUND(AA357*100,0)*ROUND(Y$7*10000,0)/12000000,0)/100,0)</f>
        <v>0</v>
      </c>
      <c r="AA358" s="24">
        <f>IF(AA357&gt;0,ROUND(AA357+Z358-Y358,2),0)</f>
        <v>0</v>
      </c>
      <c r="AB358" s="24">
        <f>IF(AA357&gt;0,ROUND(AB357+ROUND(ROUND(AB357*100,0)*ROUND(Y$7*10000,0)/12000000,0)/100+0.02,2),0)</f>
        <v>0</v>
      </c>
      <c r="AC358" s="24">
        <f>IF(AE357&gt;0,IF(AND(ROUND(AE357+AD358-ROUND(AC$6+IF(AC$5=$C358,$E$5+$E358,0),2),2)&gt;0,ROUND(AE357+AD358-ROUND(AC$6+IF(AC$5=$C358,$E$5+$E358,0),2),2)&lt;=AF358,ROUND(AE357+AD358-ROUND(AC$6+IF(AC$5=$C358,$E$5+$E358,0),2),2)*10&lt;=ROUND(AC$6+IF(AC$5=$C358,$E$5+$E358,0),2)),ROUND(AE357+AD358,2),MIN(ROUND(AC$6+IF(AC$5=$C358,$E$5+$E358,0),2),ROUND(AE357+AD358,2))),0)</f>
        <v>0</v>
      </c>
      <c r="AD358" s="24">
        <f>IF(AE357&gt;0,ROUND(ROUND(AE357*100,0)*ROUND(AC$7*10000,0)/12000000,0)/100,0)</f>
        <v>0</v>
      </c>
      <c r="AE358" s="24">
        <f>IF(AE357&gt;0,ROUND(AE357+AD358-AC358,2),0)</f>
        <v>0</v>
      </c>
      <c r="AF358" s="24">
        <f>IF(AE357&gt;0,ROUND(AF357+ROUND(ROUND(AF357*100,0)*ROUND(AC$7*10000,0)/12000000,0)/100+0.02,2),0)</f>
        <v>0</v>
      </c>
      <c r="AG358" s="24">
        <f>IF(AI357&gt;0,IF(AND(ROUND(AI357+AH358-ROUND(AG$6+IF(AG$5=$C358,$E$5+$E358,0),2),2)&gt;0,ROUND(AI357+AH358-ROUND(AG$6+IF(AG$5=$C358,$E$5+$E358,0),2),2)&lt;=AJ358,ROUND(AI357+AH358-ROUND(AG$6+IF(AG$5=$C358,$E$5+$E358,0),2),2)*10&lt;=ROUND(AG$6+IF(AG$5=$C358,$E$5+$E358,0),2)),ROUND(AI357+AH358,2),MIN(ROUND(AG$6+IF(AG$5=$C358,$E$5+$E358,0),2),ROUND(AI357+AH358,2))),0)</f>
        <v>0</v>
      </c>
      <c r="AH358" s="24">
        <f>IF(AI357&gt;0,ROUND(ROUND(AI357*100,0)*ROUND(AG$7*10000,0)/12000000,0)/100,0)</f>
        <v>0</v>
      </c>
      <c r="AI358" s="24">
        <f>IF(AI357&gt;0,ROUND(AI357+AH358-AG358,2),0)</f>
        <v>0</v>
      </c>
      <c r="AJ358" s="24">
        <f>IF(AI357&gt;0,ROUND(AJ357+ROUND(ROUND(AJ357*100,0)*ROUND(AG$7*10000,0)/12000000,0)/100+0.02,2),0)</f>
        <v>0</v>
      </c>
      <c r="AK358" s="24">
        <f>IF(AM357&gt;0,IF(AND(ROUND(AM357+AL358-ROUND(AK$6+IF(AK$5=$C358,$E$5+$E358,0),2),2)&gt;0,ROUND(AM357+AL358-ROUND(AK$6+IF(AK$5=$C358,$E$5+$E358,0),2),2)&lt;=AN358,ROUND(AM357+AL358-ROUND(AK$6+IF(AK$5=$C358,$E$5+$E358,0),2),2)*10&lt;=ROUND(AK$6+IF(AK$5=$C358,$E$5+$E358,0),2)),ROUND(AM357+AL358,2),MIN(ROUND(AK$6+IF(AK$5=$C358,$E$5+$E358,0),2),ROUND(AM357+AL358,2))),0)</f>
        <v>0</v>
      </c>
      <c r="AL358" s="24">
        <f>IF(AM357&gt;0,ROUND(ROUND(AM357*100,0)*ROUND(AK$7*10000,0)/12000000,0)/100,0)</f>
        <v>0</v>
      </c>
      <c r="AM358" s="24">
        <f>IF(AM357&gt;0,ROUND(AM357+AL358-AK358,2),0)</f>
        <v>0</v>
      </c>
      <c r="AN358" s="24">
        <f>IF(AM357&gt;0,ROUND(AN357+ROUND(ROUND(AN357*100,0)*ROUND(AK$7*10000,0)/12000000,0)/100+0.02,2),0)</f>
        <v>0</v>
      </c>
      <c r="AO358" s="24">
        <f>IF(AQ357&gt;0,IF(AND(ROUND(AQ357+AP358-ROUND(AO$6+IF(AO$5=$C358,$E$5+$E358,0),2),2)&gt;0,ROUND(AQ357+AP358-ROUND(AO$6+IF(AO$5=$C358,$E$5+$E358,0),2),2)&lt;=AR358,ROUND(AQ357+AP358-ROUND(AO$6+IF(AO$5=$C358,$E$5+$E358,0),2),2)*10&lt;=ROUND(AO$6+IF(AO$5=$C358,$E$5+$E358,0),2)),ROUND(AQ357+AP358,2),MIN(ROUND(AO$6+IF(AO$5=$C358,$E$5+$E358,0),2),ROUND(AQ357+AP358,2))),0)</f>
        <v>0</v>
      </c>
      <c r="AP358" s="24">
        <f>IF(AQ357&gt;0,ROUND(ROUND(AQ357*100,0)*ROUND(AO$7*10000,0)/12000000,0)/100,0)</f>
        <v>0</v>
      </c>
      <c r="AQ358" s="24">
        <f>IF(AQ357&gt;0,ROUND(AQ357+AP358-AO358,2),0)</f>
        <v>0</v>
      </c>
      <c r="AR358" s="24">
        <f>IF(AQ357&gt;0,ROUND(AR357+ROUND(ROUND(AR357*100,0)*ROUND(AO$7*10000,0)/12000000,0)/100+0.02,2),0)</f>
        <v>0</v>
      </c>
      <c r="AS358" s="24">
        <f>IF(AU357&gt;0,IF(AND(ROUND(AU357+AT358-ROUND(AS$6+IF(AS$5=$C358,$E$5+$E358,0),2),2)&gt;0,ROUND(AU357+AT358-ROUND(AS$6+IF(AS$5=$C358,$E$5+$E358,0),2),2)&lt;=AV358,ROUND(AU357+AT358-ROUND(AS$6+IF(AS$5=$C358,$E$5+$E358,0),2),2)*10&lt;=ROUND(AS$6+IF(AS$5=$C358,$E$5+$E358,0),2)),ROUND(AU357+AT358,2),MIN(ROUND(AS$6+IF(AS$5=$C358,$E$5+$E358,0),2),ROUND(AU357+AT358,2))),0)</f>
        <v>0</v>
      </c>
      <c r="AT358" s="24">
        <f>IF(AU357&gt;0,ROUND(ROUND(AU357*100,0)*ROUND(AS$7*10000,0)/12000000,0)/100,0)</f>
        <v>0</v>
      </c>
      <c r="AU358" s="24">
        <f>IF(AU357&gt;0,ROUND(AU357+AT358-AS358,2),0)</f>
        <v>0</v>
      </c>
      <c r="AV358" s="24">
        <f>IF(AU357&gt;0,ROUND(AV357+ROUND(ROUND(AV357*100,0)*ROUND(AS$7*10000,0)/12000000,0)/100+0.02,2),0)</f>
        <v>0</v>
      </c>
    </row>
    <row r="359" spans="1:48" x14ac:dyDescent="0.25">
      <c r="A359" s="17" t="str">
        <f>IF(F359&gt;0,349,"")</f>
        <v/>
      </c>
      <c r="B359" s="18" t="str">
        <f>IF(F359&gt;0,EDATE($E$6,349),"")</f>
        <v/>
      </c>
      <c r="C359" s="21">
        <f>IF(H358&gt;0,MIN(IF(K358&gt;0,I$5,99),IF(O358&gt;0,M$5,99),IF(S358&gt;0,Q$5,99),IF(W358&gt;0,U$5,99),IF(AA358&gt;0,Y$5,99),IF(AE358&gt;0,AC$5,99),IF(AI358&gt;0,AG$5,99),IF(AM358&gt;0,AK$5,99),IF(AQ358&gt;0,AO$5,99),IF(AU358&gt;0,AS$5,99)),0)</f>
        <v>0</v>
      </c>
      <c r="D359" t="str">
        <f>IF(C359&gt;0,INDEX($I$4:$AV$4,1,MATCH(C359,$I$5:$AV$5,0)),"")</f>
        <v/>
      </c>
      <c r="E359" s="24">
        <f>ROUND(IF(AND(I$8&gt;0,K358=0),I$6,0)+IF(AND(M$8&gt;0,O358=0),M$6,0)+IF(AND(Q$8&gt;0,S358=0),Q$6,0)+IF(AND(U$8&gt;0,W358=0),U$6,0)+IF(AND(Y$8&gt;0,AA358=0),Y$6,0)+IF(AND(AC$8&gt;0,AE358=0),AC$6,0)+IF(AND(AG$8&gt;0,AI358=0),AG$6,0)+IF(AND(AK$8&gt;0,AM358=0),AK$6,0)+IF(AND(AO$8&gt;0,AQ358=0),AO$6,0)+IF(AND(AS$8&gt;0,AU358=0),AS$6,0),2)</f>
        <v>325</v>
      </c>
      <c r="F359" s="24">
        <f>ROUND(I359+M359+Q359+U359+Y359+AC359+AG359+AK359+AO359+AS359,2)</f>
        <v>0</v>
      </c>
      <c r="G359" s="24">
        <f>ROUND(J359+N359+R359+V359+Z359+AD359+AH359+AL359+AP359+AT359,2)</f>
        <v>0</v>
      </c>
      <c r="H359" s="24">
        <f>ROUND(K359+O359+S359+W359+AA359+AE359+AI359+AM359+AQ359+AU359,2)</f>
        <v>0</v>
      </c>
      <c r="I359" s="24">
        <f>IF(K358&gt;0,IF(AND(ROUND(K358+J359-ROUND(I$6+IF(I$5=$C359,$E$5+$E359,0),2),2)&gt;0,ROUND(K358+J359-ROUND(I$6+IF(I$5=$C359,$E$5+$E359,0),2),2)&lt;=L359,ROUND(K358+J359-ROUND(I$6+IF(I$5=$C359,$E$5+$E359,0),2),2)*10&lt;=ROUND(I$6+IF(I$5=$C359,$E$5+$E359,0),2)),ROUND(K358+J359,2),MIN(ROUND(I$6+IF(I$5=$C359,$E$5+$E359,0),2),ROUND(K358+J359,2))),0)</f>
        <v>0</v>
      </c>
      <c r="J359" s="24">
        <f>IF(K358&gt;0,ROUND(ROUND(K358*100,0)*ROUND(I$7*10000,0)/12000000,0)/100,0)</f>
        <v>0</v>
      </c>
      <c r="K359" s="24">
        <f>IF(K358&gt;0,ROUND(K358+J359-I359,2),0)</f>
        <v>0</v>
      </c>
      <c r="L359" s="24">
        <f>IF(K358&gt;0,ROUND(L358+ROUND(ROUND(L358*100,0)*ROUND(I$7*10000,0)/12000000,0)/100+0.02,2),0)</f>
        <v>0</v>
      </c>
      <c r="M359" s="24">
        <f>IF(O358&gt;0,IF(AND(ROUND(O358+N359-ROUND(M$6+IF(M$5=$C359,$E$5+$E359,0),2),2)&gt;0,ROUND(O358+N359-ROUND(M$6+IF(M$5=$C359,$E$5+$E359,0),2),2)&lt;=P359,ROUND(O358+N359-ROUND(M$6+IF(M$5=$C359,$E$5+$E359,0),2),2)*10&lt;=ROUND(M$6+IF(M$5=$C359,$E$5+$E359,0),2)),ROUND(O358+N359,2),MIN(ROUND(M$6+IF(M$5=$C359,$E$5+$E359,0),2),ROUND(O358+N359,2))),0)</f>
        <v>0</v>
      </c>
      <c r="N359" s="24">
        <f>IF(O358&gt;0,ROUND(ROUND(O358*100,0)*ROUND(M$7*10000,0)/12000000,0)/100,0)</f>
        <v>0</v>
      </c>
      <c r="O359" s="24">
        <f>IF(O358&gt;0,ROUND(O358+N359-M359,2),0)</f>
        <v>0</v>
      </c>
      <c r="P359" s="24">
        <f>IF(O358&gt;0,ROUND(P358+ROUND(ROUND(P358*100,0)*ROUND(M$7*10000,0)/12000000,0)/100+0.02,2),0)</f>
        <v>0</v>
      </c>
      <c r="Q359" s="24">
        <f>IF(S358&gt;0,IF(AND(ROUND(S358+R359-ROUND(Q$6+IF(Q$5=$C359,$E$5+$E359,0),2),2)&gt;0,ROUND(S358+R359-ROUND(Q$6+IF(Q$5=$C359,$E$5+$E359,0),2),2)&lt;=T359,ROUND(S358+R359-ROUND(Q$6+IF(Q$5=$C359,$E$5+$E359,0),2),2)*10&lt;=ROUND(Q$6+IF(Q$5=$C359,$E$5+$E359,0),2)),ROUND(S358+R359,2),MIN(ROUND(Q$6+IF(Q$5=$C359,$E$5+$E359,0),2),ROUND(S358+R359,2))),0)</f>
        <v>0</v>
      </c>
      <c r="R359" s="24">
        <f>IF(S358&gt;0,ROUND(ROUND(S358*100,0)*ROUND(Q$7*10000,0)/12000000,0)/100,0)</f>
        <v>0</v>
      </c>
      <c r="S359" s="24">
        <f>IF(S358&gt;0,ROUND(S358+R359-Q359,2),0)</f>
        <v>0</v>
      </c>
      <c r="T359" s="24">
        <f>IF(S358&gt;0,ROUND(T358+ROUND(ROUND(T358*100,0)*ROUND(Q$7*10000,0)/12000000,0)/100+0.02,2),0)</f>
        <v>0</v>
      </c>
      <c r="U359" s="24">
        <f>IF(W358&gt;0,IF(AND(ROUND(W358+V359-ROUND(U$6+IF(U$5=$C359,$E$5+$E359,0),2),2)&gt;0,ROUND(W358+V359-ROUND(U$6+IF(U$5=$C359,$E$5+$E359,0),2),2)&lt;=X359,ROUND(W358+V359-ROUND(U$6+IF(U$5=$C359,$E$5+$E359,0),2),2)*10&lt;=ROUND(U$6+IF(U$5=$C359,$E$5+$E359,0),2)),ROUND(W358+V359,2),MIN(ROUND(U$6+IF(U$5=$C359,$E$5+$E359,0),2),ROUND(W358+V359,2))),0)</f>
        <v>0</v>
      </c>
      <c r="V359" s="24">
        <f>IF(W358&gt;0,ROUND(ROUND(W358*100,0)*ROUND(U$7*10000,0)/12000000,0)/100,0)</f>
        <v>0</v>
      </c>
      <c r="W359" s="24">
        <f>IF(W358&gt;0,ROUND(W358+V359-U359,2),0)</f>
        <v>0</v>
      </c>
      <c r="X359" s="24">
        <f>IF(W358&gt;0,ROUND(X358+ROUND(ROUND(X358*100,0)*ROUND(U$7*10000,0)/12000000,0)/100+0.02,2),0)</f>
        <v>0</v>
      </c>
      <c r="Y359" s="24">
        <f>IF(AA358&gt;0,IF(AND(ROUND(AA358+Z359-ROUND(Y$6+IF(Y$5=$C359,$E$5+$E359,0),2),2)&gt;0,ROUND(AA358+Z359-ROUND(Y$6+IF(Y$5=$C359,$E$5+$E359,0),2),2)&lt;=AB359,ROUND(AA358+Z359-ROUND(Y$6+IF(Y$5=$C359,$E$5+$E359,0),2),2)*10&lt;=ROUND(Y$6+IF(Y$5=$C359,$E$5+$E359,0),2)),ROUND(AA358+Z359,2),MIN(ROUND(Y$6+IF(Y$5=$C359,$E$5+$E359,0),2),ROUND(AA358+Z359,2))),0)</f>
        <v>0</v>
      </c>
      <c r="Z359" s="24">
        <f>IF(AA358&gt;0,ROUND(ROUND(AA358*100,0)*ROUND(Y$7*10000,0)/12000000,0)/100,0)</f>
        <v>0</v>
      </c>
      <c r="AA359" s="24">
        <f>IF(AA358&gt;0,ROUND(AA358+Z359-Y359,2),0)</f>
        <v>0</v>
      </c>
      <c r="AB359" s="24">
        <f>IF(AA358&gt;0,ROUND(AB358+ROUND(ROUND(AB358*100,0)*ROUND(Y$7*10000,0)/12000000,0)/100+0.02,2),0)</f>
        <v>0</v>
      </c>
      <c r="AC359" s="24">
        <f>IF(AE358&gt;0,IF(AND(ROUND(AE358+AD359-ROUND(AC$6+IF(AC$5=$C359,$E$5+$E359,0),2),2)&gt;0,ROUND(AE358+AD359-ROUND(AC$6+IF(AC$5=$C359,$E$5+$E359,0),2),2)&lt;=AF359,ROUND(AE358+AD359-ROUND(AC$6+IF(AC$5=$C359,$E$5+$E359,0),2),2)*10&lt;=ROUND(AC$6+IF(AC$5=$C359,$E$5+$E359,0),2)),ROUND(AE358+AD359,2),MIN(ROUND(AC$6+IF(AC$5=$C359,$E$5+$E359,0),2),ROUND(AE358+AD359,2))),0)</f>
        <v>0</v>
      </c>
      <c r="AD359" s="24">
        <f>IF(AE358&gt;0,ROUND(ROUND(AE358*100,0)*ROUND(AC$7*10000,0)/12000000,0)/100,0)</f>
        <v>0</v>
      </c>
      <c r="AE359" s="24">
        <f>IF(AE358&gt;0,ROUND(AE358+AD359-AC359,2),0)</f>
        <v>0</v>
      </c>
      <c r="AF359" s="24">
        <f>IF(AE358&gt;0,ROUND(AF358+ROUND(ROUND(AF358*100,0)*ROUND(AC$7*10000,0)/12000000,0)/100+0.02,2),0)</f>
        <v>0</v>
      </c>
      <c r="AG359" s="24">
        <f>IF(AI358&gt;0,IF(AND(ROUND(AI358+AH359-ROUND(AG$6+IF(AG$5=$C359,$E$5+$E359,0),2),2)&gt;0,ROUND(AI358+AH359-ROUND(AG$6+IF(AG$5=$C359,$E$5+$E359,0),2),2)&lt;=AJ359,ROUND(AI358+AH359-ROUND(AG$6+IF(AG$5=$C359,$E$5+$E359,0),2),2)*10&lt;=ROUND(AG$6+IF(AG$5=$C359,$E$5+$E359,0),2)),ROUND(AI358+AH359,2),MIN(ROUND(AG$6+IF(AG$5=$C359,$E$5+$E359,0),2),ROUND(AI358+AH359,2))),0)</f>
        <v>0</v>
      </c>
      <c r="AH359" s="24">
        <f>IF(AI358&gt;0,ROUND(ROUND(AI358*100,0)*ROUND(AG$7*10000,0)/12000000,0)/100,0)</f>
        <v>0</v>
      </c>
      <c r="AI359" s="24">
        <f>IF(AI358&gt;0,ROUND(AI358+AH359-AG359,2),0)</f>
        <v>0</v>
      </c>
      <c r="AJ359" s="24">
        <f>IF(AI358&gt;0,ROUND(AJ358+ROUND(ROUND(AJ358*100,0)*ROUND(AG$7*10000,0)/12000000,0)/100+0.02,2),0)</f>
        <v>0</v>
      </c>
      <c r="AK359" s="24">
        <f>IF(AM358&gt;0,IF(AND(ROUND(AM358+AL359-ROUND(AK$6+IF(AK$5=$C359,$E$5+$E359,0),2),2)&gt;0,ROUND(AM358+AL359-ROUND(AK$6+IF(AK$5=$C359,$E$5+$E359,0),2),2)&lt;=AN359,ROUND(AM358+AL359-ROUND(AK$6+IF(AK$5=$C359,$E$5+$E359,0),2),2)*10&lt;=ROUND(AK$6+IF(AK$5=$C359,$E$5+$E359,0),2)),ROUND(AM358+AL359,2),MIN(ROUND(AK$6+IF(AK$5=$C359,$E$5+$E359,0),2),ROUND(AM358+AL359,2))),0)</f>
        <v>0</v>
      </c>
      <c r="AL359" s="24">
        <f>IF(AM358&gt;0,ROUND(ROUND(AM358*100,0)*ROUND(AK$7*10000,0)/12000000,0)/100,0)</f>
        <v>0</v>
      </c>
      <c r="AM359" s="24">
        <f>IF(AM358&gt;0,ROUND(AM358+AL359-AK359,2),0)</f>
        <v>0</v>
      </c>
      <c r="AN359" s="24">
        <f>IF(AM358&gt;0,ROUND(AN358+ROUND(ROUND(AN358*100,0)*ROUND(AK$7*10000,0)/12000000,0)/100+0.02,2),0)</f>
        <v>0</v>
      </c>
      <c r="AO359" s="24">
        <f>IF(AQ358&gt;0,IF(AND(ROUND(AQ358+AP359-ROUND(AO$6+IF(AO$5=$C359,$E$5+$E359,0),2),2)&gt;0,ROUND(AQ358+AP359-ROUND(AO$6+IF(AO$5=$C359,$E$5+$E359,0),2),2)&lt;=AR359,ROUND(AQ358+AP359-ROUND(AO$6+IF(AO$5=$C359,$E$5+$E359,0),2),2)*10&lt;=ROUND(AO$6+IF(AO$5=$C359,$E$5+$E359,0),2)),ROUND(AQ358+AP359,2),MIN(ROUND(AO$6+IF(AO$5=$C359,$E$5+$E359,0),2),ROUND(AQ358+AP359,2))),0)</f>
        <v>0</v>
      </c>
      <c r="AP359" s="24">
        <f>IF(AQ358&gt;0,ROUND(ROUND(AQ358*100,0)*ROUND(AO$7*10000,0)/12000000,0)/100,0)</f>
        <v>0</v>
      </c>
      <c r="AQ359" s="24">
        <f>IF(AQ358&gt;0,ROUND(AQ358+AP359-AO359,2),0)</f>
        <v>0</v>
      </c>
      <c r="AR359" s="24">
        <f>IF(AQ358&gt;0,ROUND(AR358+ROUND(ROUND(AR358*100,0)*ROUND(AO$7*10000,0)/12000000,0)/100+0.02,2),0)</f>
        <v>0</v>
      </c>
      <c r="AS359" s="24">
        <f>IF(AU358&gt;0,IF(AND(ROUND(AU358+AT359-ROUND(AS$6+IF(AS$5=$C359,$E$5+$E359,0),2),2)&gt;0,ROUND(AU358+AT359-ROUND(AS$6+IF(AS$5=$C359,$E$5+$E359,0),2),2)&lt;=AV359,ROUND(AU358+AT359-ROUND(AS$6+IF(AS$5=$C359,$E$5+$E359,0),2),2)*10&lt;=ROUND(AS$6+IF(AS$5=$C359,$E$5+$E359,0),2)),ROUND(AU358+AT359,2),MIN(ROUND(AS$6+IF(AS$5=$C359,$E$5+$E359,0),2),ROUND(AU358+AT359,2))),0)</f>
        <v>0</v>
      </c>
      <c r="AT359" s="24">
        <f>IF(AU358&gt;0,ROUND(ROUND(AU358*100,0)*ROUND(AS$7*10000,0)/12000000,0)/100,0)</f>
        <v>0</v>
      </c>
      <c r="AU359" s="24">
        <f>IF(AU358&gt;0,ROUND(AU358+AT359-AS359,2),0)</f>
        <v>0</v>
      </c>
      <c r="AV359" s="24">
        <f>IF(AU358&gt;0,ROUND(AV358+ROUND(ROUND(AV358*100,0)*ROUND(AS$7*10000,0)/12000000,0)/100+0.02,2),0)</f>
        <v>0</v>
      </c>
    </row>
    <row r="360" spans="1:48" x14ac:dyDescent="0.25">
      <c r="A360" s="17" t="str">
        <f>IF(F360&gt;0,350,"")</f>
        <v/>
      </c>
      <c r="B360" s="18" t="str">
        <f>IF(F360&gt;0,EDATE($E$6,350),"")</f>
        <v/>
      </c>
      <c r="C360" s="21">
        <f>IF(H359&gt;0,MIN(IF(K359&gt;0,I$5,99),IF(O359&gt;0,M$5,99),IF(S359&gt;0,Q$5,99),IF(W359&gt;0,U$5,99),IF(AA359&gt;0,Y$5,99),IF(AE359&gt;0,AC$5,99),IF(AI359&gt;0,AG$5,99),IF(AM359&gt;0,AK$5,99),IF(AQ359&gt;0,AO$5,99),IF(AU359&gt;0,AS$5,99)),0)</f>
        <v>0</v>
      </c>
      <c r="D360" t="str">
        <f>IF(C360&gt;0,INDEX($I$4:$AV$4,1,MATCH(C360,$I$5:$AV$5,0)),"")</f>
        <v/>
      </c>
      <c r="E360" s="24">
        <f>ROUND(IF(AND(I$8&gt;0,K359=0),I$6,0)+IF(AND(M$8&gt;0,O359=0),M$6,0)+IF(AND(Q$8&gt;0,S359=0),Q$6,0)+IF(AND(U$8&gt;0,W359=0),U$6,0)+IF(AND(Y$8&gt;0,AA359=0),Y$6,0)+IF(AND(AC$8&gt;0,AE359=0),AC$6,0)+IF(AND(AG$8&gt;0,AI359=0),AG$6,0)+IF(AND(AK$8&gt;0,AM359=0),AK$6,0)+IF(AND(AO$8&gt;0,AQ359=0),AO$6,0)+IF(AND(AS$8&gt;0,AU359=0),AS$6,0),2)</f>
        <v>325</v>
      </c>
      <c r="F360" s="24">
        <f>ROUND(I360+M360+Q360+U360+Y360+AC360+AG360+AK360+AO360+AS360,2)</f>
        <v>0</v>
      </c>
      <c r="G360" s="24">
        <f>ROUND(J360+N360+R360+V360+Z360+AD360+AH360+AL360+AP360+AT360,2)</f>
        <v>0</v>
      </c>
      <c r="H360" s="24">
        <f>ROUND(K360+O360+S360+W360+AA360+AE360+AI360+AM360+AQ360+AU360,2)</f>
        <v>0</v>
      </c>
      <c r="I360" s="24">
        <f>IF(K359&gt;0,IF(AND(ROUND(K359+J360-ROUND(I$6+IF(I$5=$C360,$E$5+$E360,0),2),2)&gt;0,ROUND(K359+J360-ROUND(I$6+IF(I$5=$C360,$E$5+$E360,0),2),2)&lt;=L360,ROUND(K359+J360-ROUND(I$6+IF(I$5=$C360,$E$5+$E360,0),2),2)*10&lt;=ROUND(I$6+IF(I$5=$C360,$E$5+$E360,0),2)),ROUND(K359+J360,2),MIN(ROUND(I$6+IF(I$5=$C360,$E$5+$E360,0),2),ROUND(K359+J360,2))),0)</f>
        <v>0</v>
      </c>
      <c r="J360" s="24">
        <f>IF(K359&gt;0,ROUND(ROUND(K359*100,0)*ROUND(I$7*10000,0)/12000000,0)/100,0)</f>
        <v>0</v>
      </c>
      <c r="K360" s="24">
        <f>IF(K359&gt;0,ROUND(K359+J360-I360,2),0)</f>
        <v>0</v>
      </c>
      <c r="L360" s="24">
        <f>IF(K359&gt;0,ROUND(L359+ROUND(ROUND(L359*100,0)*ROUND(I$7*10000,0)/12000000,0)/100+0.02,2),0)</f>
        <v>0</v>
      </c>
      <c r="M360" s="24">
        <f>IF(O359&gt;0,IF(AND(ROUND(O359+N360-ROUND(M$6+IF(M$5=$C360,$E$5+$E360,0),2),2)&gt;0,ROUND(O359+N360-ROUND(M$6+IF(M$5=$C360,$E$5+$E360,0),2),2)&lt;=P360,ROUND(O359+N360-ROUND(M$6+IF(M$5=$C360,$E$5+$E360,0),2),2)*10&lt;=ROUND(M$6+IF(M$5=$C360,$E$5+$E360,0),2)),ROUND(O359+N360,2),MIN(ROUND(M$6+IF(M$5=$C360,$E$5+$E360,0),2),ROUND(O359+N360,2))),0)</f>
        <v>0</v>
      </c>
      <c r="N360" s="24">
        <f>IF(O359&gt;0,ROUND(ROUND(O359*100,0)*ROUND(M$7*10000,0)/12000000,0)/100,0)</f>
        <v>0</v>
      </c>
      <c r="O360" s="24">
        <f>IF(O359&gt;0,ROUND(O359+N360-M360,2),0)</f>
        <v>0</v>
      </c>
      <c r="P360" s="24">
        <f>IF(O359&gt;0,ROUND(P359+ROUND(ROUND(P359*100,0)*ROUND(M$7*10000,0)/12000000,0)/100+0.02,2),0)</f>
        <v>0</v>
      </c>
      <c r="Q360" s="24">
        <f>IF(S359&gt;0,IF(AND(ROUND(S359+R360-ROUND(Q$6+IF(Q$5=$C360,$E$5+$E360,0),2),2)&gt;0,ROUND(S359+R360-ROUND(Q$6+IF(Q$5=$C360,$E$5+$E360,0),2),2)&lt;=T360,ROUND(S359+R360-ROUND(Q$6+IF(Q$5=$C360,$E$5+$E360,0),2),2)*10&lt;=ROUND(Q$6+IF(Q$5=$C360,$E$5+$E360,0),2)),ROUND(S359+R360,2),MIN(ROUND(Q$6+IF(Q$5=$C360,$E$5+$E360,0),2),ROUND(S359+R360,2))),0)</f>
        <v>0</v>
      </c>
      <c r="R360" s="24">
        <f>IF(S359&gt;0,ROUND(ROUND(S359*100,0)*ROUND(Q$7*10000,0)/12000000,0)/100,0)</f>
        <v>0</v>
      </c>
      <c r="S360" s="24">
        <f>IF(S359&gt;0,ROUND(S359+R360-Q360,2),0)</f>
        <v>0</v>
      </c>
      <c r="T360" s="24">
        <f>IF(S359&gt;0,ROUND(T359+ROUND(ROUND(T359*100,0)*ROUND(Q$7*10000,0)/12000000,0)/100+0.02,2),0)</f>
        <v>0</v>
      </c>
      <c r="U360" s="24">
        <f>IF(W359&gt;0,IF(AND(ROUND(W359+V360-ROUND(U$6+IF(U$5=$C360,$E$5+$E360,0),2),2)&gt;0,ROUND(W359+V360-ROUND(U$6+IF(U$5=$C360,$E$5+$E360,0),2),2)&lt;=X360,ROUND(W359+V360-ROUND(U$6+IF(U$5=$C360,$E$5+$E360,0),2),2)*10&lt;=ROUND(U$6+IF(U$5=$C360,$E$5+$E360,0),2)),ROUND(W359+V360,2),MIN(ROUND(U$6+IF(U$5=$C360,$E$5+$E360,0),2),ROUND(W359+V360,2))),0)</f>
        <v>0</v>
      </c>
      <c r="V360" s="24">
        <f>IF(W359&gt;0,ROUND(ROUND(W359*100,0)*ROUND(U$7*10000,0)/12000000,0)/100,0)</f>
        <v>0</v>
      </c>
      <c r="W360" s="24">
        <f>IF(W359&gt;0,ROUND(W359+V360-U360,2),0)</f>
        <v>0</v>
      </c>
      <c r="X360" s="24">
        <f>IF(W359&gt;0,ROUND(X359+ROUND(ROUND(X359*100,0)*ROUND(U$7*10000,0)/12000000,0)/100+0.02,2),0)</f>
        <v>0</v>
      </c>
      <c r="Y360" s="24">
        <f>IF(AA359&gt;0,IF(AND(ROUND(AA359+Z360-ROUND(Y$6+IF(Y$5=$C360,$E$5+$E360,0),2),2)&gt;0,ROUND(AA359+Z360-ROUND(Y$6+IF(Y$5=$C360,$E$5+$E360,0),2),2)&lt;=AB360,ROUND(AA359+Z360-ROUND(Y$6+IF(Y$5=$C360,$E$5+$E360,0),2),2)*10&lt;=ROUND(Y$6+IF(Y$5=$C360,$E$5+$E360,0),2)),ROUND(AA359+Z360,2),MIN(ROUND(Y$6+IF(Y$5=$C360,$E$5+$E360,0),2),ROUND(AA359+Z360,2))),0)</f>
        <v>0</v>
      </c>
      <c r="Z360" s="24">
        <f>IF(AA359&gt;0,ROUND(ROUND(AA359*100,0)*ROUND(Y$7*10000,0)/12000000,0)/100,0)</f>
        <v>0</v>
      </c>
      <c r="AA360" s="24">
        <f>IF(AA359&gt;0,ROUND(AA359+Z360-Y360,2),0)</f>
        <v>0</v>
      </c>
      <c r="AB360" s="24">
        <f>IF(AA359&gt;0,ROUND(AB359+ROUND(ROUND(AB359*100,0)*ROUND(Y$7*10000,0)/12000000,0)/100+0.02,2),0)</f>
        <v>0</v>
      </c>
      <c r="AC360" s="24">
        <f>IF(AE359&gt;0,IF(AND(ROUND(AE359+AD360-ROUND(AC$6+IF(AC$5=$C360,$E$5+$E360,0),2),2)&gt;0,ROUND(AE359+AD360-ROUND(AC$6+IF(AC$5=$C360,$E$5+$E360,0),2),2)&lt;=AF360,ROUND(AE359+AD360-ROUND(AC$6+IF(AC$5=$C360,$E$5+$E360,0),2),2)*10&lt;=ROUND(AC$6+IF(AC$5=$C360,$E$5+$E360,0),2)),ROUND(AE359+AD360,2),MIN(ROUND(AC$6+IF(AC$5=$C360,$E$5+$E360,0),2),ROUND(AE359+AD360,2))),0)</f>
        <v>0</v>
      </c>
      <c r="AD360" s="24">
        <f>IF(AE359&gt;0,ROUND(ROUND(AE359*100,0)*ROUND(AC$7*10000,0)/12000000,0)/100,0)</f>
        <v>0</v>
      </c>
      <c r="AE360" s="24">
        <f>IF(AE359&gt;0,ROUND(AE359+AD360-AC360,2),0)</f>
        <v>0</v>
      </c>
      <c r="AF360" s="24">
        <f>IF(AE359&gt;0,ROUND(AF359+ROUND(ROUND(AF359*100,0)*ROUND(AC$7*10000,0)/12000000,0)/100+0.02,2),0)</f>
        <v>0</v>
      </c>
      <c r="AG360" s="24">
        <f>IF(AI359&gt;0,IF(AND(ROUND(AI359+AH360-ROUND(AG$6+IF(AG$5=$C360,$E$5+$E360,0),2),2)&gt;0,ROUND(AI359+AH360-ROUND(AG$6+IF(AG$5=$C360,$E$5+$E360,0),2),2)&lt;=AJ360,ROUND(AI359+AH360-ROUND(AG$6+IF(AG$5=$C360,$E$5+$E360,0),2),2)*10&lt;=ROUND(AG$6+IF(AG$5=$C360,$E$5+$E360,0),2)),ROUND(AI359+AH360,2),MIN(ROUND(AG$6+IF(AG$5=$C360,$E$5+$E360,0),2),ROUND(AI359+AH360,2))),0)</f>
        <v>0</v>
      </c>
      <c r="AH360" s="24">
        <f>IF(AI359&gt;0,ROUND(ROUND(AI359*100,0)*ROUND(AG$7*10000,0)/12000000,0)/100,0)</f>
        <v>0</v>
      </c>
      <c r="AI360" s="24">
        <f>IF(AI359&gt;0,ROUND(AI359+AH360-AG360,2),0)</f>
        <v>0</v>
      </c>
      <c r="AJ360" s="24">
        <f>IF(AI359&gt;0,ROUND(AJ359+ROUND(ROUND(AJ359*100,0)*ROUND(AG$7*10000,0)/12000000,0)/100+0.02,2),0)</f>
        <v>0</v>
      </c>
      <c r="AK360" s="24">
        <f>IF(AM359&gt;0,IF(AND(ROUND(AM359+AL360-ROUND(AK$6+IF(AK$5=$C360,$E$5+$E360,0),2),2)&gt;0,ROUND(AM359+AL360-ROUND(AK$6+IF(AK$5=$C360,$E$5+$E360,0),2),2)&lt;=AN360,ROUND(AM359+AL360-ROUND(AK$6+IF(AK$5=$C360,$E$5+$E360,0),2),2)*10&lt;=ROUND(AK$6+IF(AK$5=$C360,$E$5+$E360,0),2)),ROUND(AM359+AL360,2),MIN(ROUND(AK$6+IF(AK$5=$C360,$E$5+$E360,0),2),ROUND(AM359+AL360,2))),0)</f>
        <v>0</v>
      </c>
      <c r="AL360" s="24">
        <f>IF(AM359&gt;0,ROUND(ROUND(AM359*100,0)*ROUND(AK$7*10000,0)/12000000,0)/100,0)</f>
        <v>0</v>
      </c>
      <c r="AM360" s="24">
        <f>IF(AM359&gt;0,ROUND(AM359+AL360-AK360,2),0)</f>
        <v>0</v>
      </c>
      <c r="AN360" s="24">
        <f>IF(AM359&gt;0,ROUND(AN359+ROUND(ROUND(AN359*100,0)*ROUND(AK$7*10000,0)/12000000,0)/100+0.02,2),0)</f>
        <v>0</v>
      </c>
      <c r="AO360" s="24">
        <f>IF(AQ359&gt;0,IF(AND(ROUND(AQ359+AP360-ROUND(AO$6+IF(AO$5=$C360,$E$5+$E360,0),2),2)&gt;0,ROUND(AQ359+AP360-ROUND(AO$6+IF(AO$5=$C360,$E$5+$E360,0),2),2)&lt;=AR360,ROUND(AQ359+AP360-ROUND(AO$6+IF(AO$5=$C360,$E$5+$E360,0),2),2)*10&lt;=ROUND(AO$6+IF(AO$5=$C360,$E$5+$E360,0),2)),ROUND(AQ359+AP360,2),MIN(ROUND(AO$6+IF(AO$5=$C360,$E$5+$E360,0),2),ROUND(AQ359+AP360,2))),0)</f>
        <v>0</v>
      </c>
      <c r="AP360" s="24">
        <f>IF(AQ359&gt;0,ROUND(ROUND(AQ359*100,0)*ROUND(AO$7*10000,0)/12000000,0)/100,0)</f>
        <v>0</v>
      </c>
      <c r="AQ360" s="24">
        <f>IF(AQ359&gt;0,ROUND(AQ359+AP360-AO360,2),0)</f>
        <v>0</v>
      </c>
      <c r="AR360" s="24">
        <f>IF(AQ359&gt;0,ROUND(AR359+ROUND(ROUND(AR359*100,0)*ROUND(AO$7*10000,0)/12000000,0)/100+0.02,2),0)</f>
        <v>0</v>
      </c>
      <c r="AS360" s="24">
        <f>IF(AU359&gt;0,IF(AND(ROUND(AU359+AT360-ROUND(AS$6+IF(AS$5=$C360,$E$5+$E360,0),2),2)&gt;0,ROUND(AU359+AT360-ROUND(AS$6+IF(AS$5=$C360,$E$5+$E360,0),2),2)&lt;=AV360,ROUND(AU359+AT360-ROUND(AS$6+IF(AS$5=$C360,$E$5+$E360,0),2),2)*10&lt;=ROUND(AS$6+IF(AS$5=$C360,$E$5+$E360,0),2)),ROUND(AU359+AT360,2),MIN(ROUND(AS$6+IF(AS$5=$C360,$E$5+$E360,0),2),ROUND(AU359+AT360,2))),0)</f>
        <v>0</v>
      </c>
      <c r="AT360" s="24">
        <f>IF(AU359&gt;0,ROUND(ROUND(AU359*100,0)*ROUND(AS$7*10000,0)/12000000,0)/100,0)</f>
        <v>0</v>
      </c>
      <c r="AU360" s="24">
        <f>IF(AU359&gt;0,ROUND(AU359+AT360-AS360,2),0)</f>
        <v>0</v>
      </c>
      <c r="AV360" s="24">
        <f>IF(AU359&gt;0,ROUND(AV359+ROUND(ROUND(AV359*100,0)*ROUND(AS$7*10000,0)/12000000,0)/100+0.02,2),0)</f>
        <v>0</v>
      </c>
    </row>
    <row r="361" spans="1:48" x14ac:dyDescent="0.25">
      <c r="A361" s="17" t="str">
        <f>IF(F361&gt;0,351,"")</f>
        <v/>
      </c>
      <c r="B361" s="18" t="str">
        <f>IF(F361&gt;0,EDATE($E$6,351),"")</f>
        <v/>
      </c>
      <c r="C361" s="21">
        <f>IF(H360&gt;0,MIN(IF(K360&gt;0,I$5,99),IF(O360&gt;0,M$5,99),IF(S360&gt;0,Q$5,99),IF(W360&gt;0,U$5,99),IF(AA360&gt;0,Y$5,99),IF(AE360&gt;0,AC$5,99),IF(AI360&gt;0,AG$5,99),IF(AM360&gt;0,AK$5,99),IF(AQ360&gt;0,AO$5,99),IF(AU360&gt;0,AS$5,99)),0)</f>
        <v>0</v>
      </c>
      <c r="D361" t="str">
        <f>IF(C361&gt;0,INDEX($I$4:$AV$4,1,MATCH(C361,$I$5:$AV$5,0)),"")</f>
        <v/>
      </c>
      <c r="E361" s="24">
        <f>ROUND(IF(AND(I$8&gt;0,K360=0),I$6,0)+IF(AND(M$8&gt;0,O360=0),M$6,0)+IF(AND(Q$8&gt;0,S360=0),Q$6,0)+IF(AND(U$8&gt;0,W360=0),U$6,0)+IF(AND(Y$8&gt;0,AA360=0),Y$6,0)+IF(AND(AC$8&gt;0,AE360=0),AC$6,0)+IF(AND(AG$8&gt;0,AI360=0),AG$6,0)+IF(AND(AK$8&gt;0,AM360=0),AK$6,0)+IF(AND(AO$8&gt;0,AQ360=0),AO$6,0)+IF(AND(AS$8&gt;0,AU360=0),AS$6,0),2)</f>
        <v>325</v>
      </c>
      <c r="F361" s="24">
        <f>ROUND(I361+M361+Q361+U361+Y361+AC361+AG361+AK361+AO361+AS361,2)</f>
        <v>0</v>
      </c>
      <c r="G361" s="24">
        <f>ROUND(J361+N361+R361+V361+Z361+AD361+AH361+AL361+AP361+AT361,2)</f>
        <v>0</v>
      </c>
      <c r="H361" s="24">
        <f>ROUND(K361+O361+S361+W361+AA361+AE361+AI361+AM361+AQ361+AU361,2)</f>
        <v>0</v>
      </c>
      <c r="I361" s="24">
        <f>IF(K360&gt;0,IF(AND(ROUND(K360+J361-ROUND(I$6+IF(I$5=$C361,$E$5+$E361,0),2),2)&gt;0,ROUND(K360+J361-ROUND(I$6+IF(I$5=$C361,$E$5+$E361,0),2),2)&lt;=L361,ROUND(K360+J361-ROUND(I$6+IF(I$5=$C361,$E$5+$E361,0),2),2)*10&lt;=ROUND(I$6+IF(I$5=$C361,$E$5+$E361,0),2)),ROUND(K360+J361,2),MIN(ROUND(I$6+IF(I$5=$C361,$E$5+$E361,0),2),ROUND(K360+J361,2))),0)</f>
        <v>0</v>
      </c>
      <c r="J361" s="24">
        <f>IF(K360&gt;0,ROUND(ROUND(K360*100,0)*ROUND(I$7*10000,0)/12000000,0)/100,0)</f>
        <v>0</v>
      </c>
      <c r="K361" s="24">
        <f>IF(K360&gt;0,ROUND(K360+J361-I361,2),0)</f>
        <v>0</v>
      </c>
      <c r="L361" s="24">
        <f>IF(K360&gt;0,ROUND(L360+ROUND(ROUND(L360*100,0)*ROUND(I$7*10000,0)/12000000,0)/100+0.02,2),0)</f>
        <v>0</v>
      </c>
      <c r="M361" s="24">
        <f>IF(O360&gt;0,IF(AND(ROUND(O360+N361-ROUND(M$6+IF(M$5=$C361,$E$5+$E361,0),2),2)&gt;0,ROUND(O360+N361-ROUND(M$6+IF(M$5=$C361,$E$5+$E361,0),2),2)&lt;=P361,ROUND(O360+N361-ROUND(M$6+IF(M$5=$C361,$E$5+$E361,0),2),2)*10&lt;=ROUND(M$6+IF(M$5=$C361,$E$5+$E361,0),2)),ROUND(O360+N361,2),MIN(ROUND(M$6+IF(M$5=$C361,$E$5+$E361,0),2),ROUND(O360+N361,2))),0)</f>
        <v>0</v>
      </c>
      <c r="N361" s="24">
        <f>IF(O360&gt;0,ROUND(ROUND(O360*100,0)*ROUND(M$7*10000,0)/12000000,0)/100,0)</f>
        <v>0</v>
      </c>
      <c r="O361" s="24">
        <f>IF(O360&gt;0,ROUND(O360+N361-M361,2),0)</f>
        <v>0</v>
      </c>
      <c r="P361" s="24">
        <f>IF(O360&gt;0,ROUND(P360+ROUND(ROUND(P360*100,0)*ROUND(M$7*10000,0)/12000000,0)/100+0.02,2),0)</f>
        <v>0</v>
      </c>
      <c r="Q361" s="24">
        <f>IF(S360&gt;0,IF(AND(ROUND(S360+R361-ROUND(Q$6+IF(Q$5=$C361,$E$5+$E361,0),2),2)&gt;0,ROUND(S360+R361-ROUND(Q$6+IF(Q$5=$C361,$E$5+$E361,0),2),2)&lt;=T361,ROUND(S360+R361-ROUND(Q$6+IF(Q$5=$C361,$E$5+$E361,0),2),2)*10&lt;=ROUND(Q$6+IF(Q$5=$C361,$E$5+$E361,0),2)),ROUND(S360+R361,2),MIN(ROUND(Q$6+IF(Q$5=$C361,$E$5+$E361,0),2),ROUND(S360+R361,2))),0)</f>
        <v>0</v>
      </c>
      <c r="R361" s="24">
        <f>IF(S360&gt;0,ROUND(ROUND(S360*100,0)*ROUND(Q$7*10000,0)/12000000,0)/100,0)</f>
        <v>0</v>
      </c>
      <c r="S361" s="24">
        <f>IF(S360&gt;0,ROUND(S360+R361-Q361,2),0)</f>
        <v>0</v>
      </c>
      <c r="T361" s="24">
        <f>IF(S360&gt;0,ROUND(T360+ROUND(ROUND(T360*100,0)*ROUND(Q$7*10000,0)/12000000,0)/100+0.02,2),0)</f>
        <v>0</v>
      </c>
      <c r="U361" s="24">
        <f>IF(W360&gt;0,IF(AND(ROUND(W360+V361-ROUND(U$6+IF(U$5=$C361,$E$5+$E361,0),2),2)&gt;0,ROUND(W360+V361-ROUND(U$6+IF(U$5=$C361,$E$5+$E361,0),2),2)&lt;=X361,ROUND(W360+V361-ROUND(U$6+IF(U$5=$C361,$E$5+$E361,0),2),2)*10&lt;=ROUND(U$6+IF(U$5=$C361,$E$5+$E361,0),2)),ROUND(W360+V361,2),MIN(ROUND(U$6+IF(U$5=$C361,$E$5+$E361,0),2),ROUND(W360+V361,2))),0)</f>
        <v>0</v>
      </c>
      <c r="V361" s="24">
        <f>IF(W360&gt;0,ROUND(ROUND(W360*100,0)*ROUND(U$7*10000,0)/12000000,0)/100,0)</f>
        <v>0</v>
      </c>
      <c r="W361" s="24">
        <f>IF(W360&gt;0,ROUND(W360+V361-U361,2),0)</f>
        <v>0</v>
      </c>
      <c r="X361" s="24">
        <f>IF(W360&gt;0,ROUND(X360+ROUND(ROUND(X360*100,0)*ROUND(U$7*10000,0)/12000000,0)/100+0.02,2),0)</f>
        <v>0</v>
      </c>
      <c r="Y361" s="24">
        <f>IF(AA360&gt;0,IF(AND(ROUND(AA360+Z361-ROUND(Y$6+IF(Y$5=$C361,$E$5+$E361,0),2),2)&gt;0,ROUND(AA360+Z361-ROUND(Y$6+IF(Y$5=$C361,$E$5+$E361,0),2),2)&lt;=AB361,ROUND(AA360+Z361-ROUND(Y$6+IF(Y$5=$C361,$E$5+$E361,0),2),2)*10&lt;=ROUND(Y$6+IF(Y$5=$C361,$E$5+$E361,0),2)),ROUND(AA360+Z361,2),MIN(ROUND(Y$6+IF(Y$5=$C361,$E$5+$E361,0),2),ROUND(AA360+Z361,2))),0)</f>
        <v>0</v>
      </c>
      <c r="Z361" s="24">
        <f>IF(AA360&gt;0,ROUND(ROUND(AA360*100,0)*ROUND(Y$7*10000,0)/12000000,0)/100,0)</f>
        <v>0</v>
      </c>
      <c r="AA361" s="24">
        <f>IF(AA360&gt;0,ROUND(AA360+Z361-Y361,2),0)</f>
        <v>0</v>
      </c>
      <c r="AB361" s="24">
        <f>IF(AA360&gt;0,ROUND(AB360+ROUND(ROUND(AB360*100,0)*ROUND(Y$7*10000,0)/12000000,0)/100+0.02,2),0)</f>
        <v>0</v>
      </c>
      <c r="AC361" s="24">
        <f>IF(AE360&gt;0,IF(AND(ROUND(AE360+AD361-ROUND(AC$6+IF(AC$5=$C361,$E$5+$E361,0),2),2)&gt;0,ROUND(AE360+AD361-ROUND(AC$6+IF(AC$5=$C361,$E$5+$E361,0),2),2)&lt;=AF361,ROUND(AE360+AD361-ROUND(AC$6+IF(AC$5=$C361,$E$5+$E361,0),2),2)*10&lt;=ROUND(AC$6+IF(AC$5=$C361,$E$5+$E361,0),2)),ROUND(AE360+AD361,2),MIN(ROUND(AC$6+IF(AC$5=$C361,$E$5+$E361,0),2),ROUND(AE360+AD361,2))),0)</f>
        <v>0</v>
      </c>
      <c r="AD361" s="24">
        <f>IF(AE360&gt;0,ROUND(ROUND(AE360*100,0)*ROUND(AC$7*10000,0)/12000000,0)/100,0)</f>
        <v>0</v>
      </c>
      <c r="AE361" s="24">
        <f>IF(AE360&gt;0,ROUND(AE360+AD361-AC361,2),0)</f>
        <v>0</v>
      </c>
      <c r="AF361" s="24">
        <f>IF(AE360&gt;0,ROUND(AF360+ROUND(ROUND(AF360*100,0)*ROUND(AC$7*10000,0)/12000000,0)/100+0.02,2),0)</f>
        <v>0</v>
      </c>
      <c r="AG361" s="24">
        <f>IF(AI360&gt;0,IF(AND(ROUND(AI360+AH361-ROUND(AG$6+IF(AG$5=$C361,$E$5+$E361,0),2),2)&gt;0,ROUND(AI360+AH361-ROUND(AG$6+IF(AG$5=$C361,$E$5+$E361,0),2),2)&lt;=AJ361,ROUND(AI360+AH361-ROUND(AG$6+IF(AG$5=$C361,$E$5+$E361,0),2),2)*10&lt;=ROUND(AG$6+IF(AG$5=$C361,$E$5+$E361,0),2)),ROUND(AI360+AH361,2),MIN(ROUND(AG$6+IF(AG$5=$C361,$E$5+$E361,0),2),ROUND(AI360+AH361,2))),0)</f>
        <v>0</v>
      </c>
      <c r="AH361" s="24">
        <f>IF(AI360&gt;0,ROUND(ROUND(AI360*100,0)*ROUND(AG$7*10000,0)/12000000,0)/100,0)</f>
        <v>0</v>
      </c>
      <c r="AI361" s="24">
        <f>IF(AI360&gt;0,ROUND(AI360+AH361-AG361,2),0)</f>
        <v>0</v>
      </c>
      <c r="AJ361" s="24">
        <f>IF(AI360&gt;0,ROUND(AJ360+ROUND(ROUND(AJ360*100,0)*ROUND(AG$7*10000,0)/12000000,0)/100+0.02,2),0)</f>
        <v>0</v>
      </c>
      <c r="AK361" s="24">
        <f>IF(AM360&gt;0,IF(AND(ROUND(AM360+AL361-ROUND(AK$6+IF(AK$5=$C361,$E$5+$E361,0),2),2)&gt;0,ROUND(AM360+AL361-ROUND(AK$6+IF(AK$5=$C361,$E$5+$E361,0),2),2)&lt;=AN361,ROUND(AM360+AL361-ROUND(AK$6+IF(AK$5=$C361,$E$5+$E361,0),2),2)*10&lt;=ROUND(AK$6+IF(AK$5=$C361,$E$5+$E361,0),2)),ROUND(AM360+AL361,2),MIN(ROUND(AK$6+IF(AK$5=$C361,$E$5+$E361,0),2),ROUND(AM360+AL361,2))),0)</f>
        <v>0</v>
      </c>
      <c r="AL361" s="24">
        <f>IF(AM360&gt;0,ROUND(ROUND(AM360*100,0)*ROUND(AK$7*10000,0)/12000000,0)/100,0)</f>
        <v>0</v>
      </c>
      <c r="AM361" s="24">
        <f>IF(AM360&gt;0,ROUND(AM360+AL361-AK361,2),0)</f>
        <v>0</v>
      </c>
      <c r="AN361" s="24">
        <f>IF(AM360&gt;0,ROUND(AN360+ROUND(ROUND(AN360*100,0)*ROUND(AK$7*10000,0)/12000000,0)/100+0.02,2),0)</f>
        <v>0</v>
      </c>
      <c r="AO361" s="24">
        <f>IF(AQ360&gt;0,IF(AND(ROUND(AQ360+AP361-ROUND(AO$6+IF(AO$5=$C361,$E$5+$E361,0),2),2)&gt;0,ROUND(AQ360+AP361-ROUND(AO$6+IF(AO$5=$C361,$E$5+$E361,0),2),2)&lt;=AR361,ROUND(AQ360+AP361-ROUND(AO$6+IF(AO$5=$C361,$E$5+$E361,0),2),2)*10&lt;=ROUND(AO$6+IF(AO$5=$C361,$E$5+$E361,0),2)),ROUND(AQ360+AP361,2),MIN(ROUND(AO$6+IF(AO$5=$C361,$E$5+$E361,0),2),ROUND(AQ360+AP361,2))),0)</f>
        <v>0</v>
      </c>
      <c r="AP361" s="24">
        <f>IF(AQ360&gt;0,ROUND(ROUND(AQ360*100,0)*ROUND(AO$7*10000,0)/12000000,0)/100,0)</f>
        <v>0</v>
      </c>
      <c r="AQ361" s="24">
        <f>IF(AQ360&gt;0,ROUND(AQ360+AP361-AO361,2),0)</f>
        <v>0</v>
      </c>
      <c r="AR361" s="24">
        <f>IF(AQ360&gt;0,ROUND(AR360+ROUND(ROUND(AR360*100,0)*ROUND(AO$7*10000,0)/12000000,0)/100+0.02,2),0)</f>
        <v>0</v>
      </c>
      <c r="AS361" s="24">
        <f>IF(AU360&gt;0,IF(AND(ROUND(AU360+AT361-ROUND(AS$6+IF(AS$5=$C361,$E$5+$E361,0),2),2)&gt;0,ROUND(AU360+AT361-ROUND(AS$6+IF(AS$5=$C361,$E$5+$E361,0),2),2)&lt;=AV361,ROUND(AU360+AT361-ROUND(AS$6+IF(AS$5=$C361,$E$5+$E361,0),2),2)*10&lt;=ROUND(AS$6+IF(AS$5=$C361,$E$5+$E361,0),2)),ROUND(AU360+AT361,2),MIN(ROUND(AS$6+IF(AS$5=$C361,$E$5+$E361,0),2),ROUND(AU360+AT361,2))),0)</f>
        <v>0</v>
      </c>
      <c r="AT361" s="24">
        <f>IF(AU360&gt;0,ROUND(ROUND(AU360*100,0)*ROUND(AS$7*10000,0)/12000000,0)/100,0)</f>
        <v>0</v>
      </c>
      <c r="AU361" s="24">
        <f>IF(AU360&gt;0,ROUND(AU360+AT361-AS361,2),0)</f>
        <v>0</v>
      </c>
      <c r="AV361" s="24">
        <f>IF(AU360&gt;0,ROUND(AV360+ROUND(ROUND(AV360*100,0)*ROUND(AS$7*10000,0)/12000000,0)/100+0.02,2),0)</f>
        <v>0</v>
      </c>
    </row>
    <row r="362" spans="1:48" x14ac:dyDescent="0.25">
      <c r="A362" s="17" t="str">
        <f>IF(F362&gt;0,352,"")</f>
        <v/>
      </c>
      <c r="B362" s="18" t="str">
        <f>IF(F362&gt;0,EDATE($E$6,352),"")</f>
        <v/>
      </c>
      <c r="C362" s="21">
        <f>IF(H361&gt;0,MIN(IF(K361&gt;0,I$5,99),IF(O361&gt;0,M$5,99),IF(S361&gt;0,Q$5,99),IF(W361&gt;0,U$5,99),IF(AA361&gt;0,Y$5,99),IF(AE361&gt;0,AC$5,99),IF(AI361&gt;0,AG$5,99),IF(AM361&gt;0,AK$5,99),IF(AQ361&gt;0,AO$5,99),IF(AU361&gt;0,AS$5,99)),0)</f>
        <v>0</v>
      </c>
      <c r="D362" t="str">
        <f>IF(C362&gt;0,INDEX($I$4:$AV$4,1,MATCH(C362,$I$5:$AV$5,0)),"")</f>
        <v/>
      </c>
      <c r="E362" s="24">
        <f>ROUND(IF(AND(I$8&gt;0,K361=0),I$6,0)+IF(AND(M$8&gt;0,O361=0),M$6,0)+IF(AND(Q$8&gt;0,S361=0),Q$6,0)+IF(AND(U$8&gt;0,W361=0),U$6,0)+IF(AND(Y$8&gt;0,AA361=0),Y$6,0)+IF(AND(AC$8&gt;0,AE361=0),AC$6,0)+IF(AND(AG$8&gt;0,AI361=0),AG$6,0)+IF(AND(AK$8&gt;0,AM361=0),AK$6,0)+IF(AND(AO$8&gt;0,AQ361=0),AO$6,0)+IF(AND(AS$8&gt;0,AU361=0),AS$6,0),2)</f>
        <v>325</v>
      </c>
      <c r="F362" s="24">
        <f>ROUND(I362+M362+Q362+U362+Y362+AC362+AG362+AK362+AO362+AS362,2)</f>
        <v>0</v>
      </c>
      <c r="G362" s="24">
        <f>ROUND(J362+N362+R362+V362+Z362+AD362+AH362+AL362+AP362+AT362,2)</f>
        <v>0</v>
      </c>
      <c r="H362" s="24">
        <f>ROUND(K362+O362+S362+W362+AA362+AE362+AI362+AM362+AQ362+AU362,2)</f>
        <v>0</v>
      </c>
      <c r="I362" s="24">
        <f>IF(K361&gt;0,IF(AND(ROUND(K361+J362-ROUND(I$6+IF(I$5=$C362,$E$5+$E362,0),2),2)&gt;0,ROUND(K361+J362-ROUND(I$6+IF(I$5=$C362,$E$5+$E362,0),2),2)&lt;=L362,ROUND(K361+J362-ROUND(I$6+IF(I$5=$C362,$E$5+$E362,0),2),2)*10&lt;=ROUND(I$6+IF(I$5=$C362,$E$5+$E362,0),2)),ROUND(K361+J362,2),MIN(ROUND(I$6+IF(I$5=$C362,$E$5+$E362,0),2),ROUND(K361+J362,2))),0)</f>
        <v>0</v>
      </c>
      <c r="J362" s="24">
        <f>IF(K361&gt;0,ROUND(ROUND(K361*100,0)*ROUND(I$7*10000,0)/12000000,0)/100,0)</f>
        <v>0</v>
      </c>
      <c r="K362" s="24">
        <f>IF(K361&gt;0,ROUND(K361+J362-I362,2),0)</f>
        <v>0</v>
      </c>
      <c r="L362" s="24">
        <f>IF(K361&gt;0,ROUND(L361+ROUND(ROUND(L361*100,0)*ROUND(I$7*10000,0)/12000000,0)/100+0.02,2),0)</f>
        <v>0</v>
      </c>
      <c r="M362" s="24">
        <f>IF(O361&gt;0,IF(AND(ROUND(O361+N362-ROUND(M$6+IF(M$5=$C362,$E$5+$E362,0),2),2)&gt;0,ROUND(O361+N362-ROUND(M$6+IF(M$5=$C362,$E$5+$E362,0),2),2)&lt;=P362,ROUND(O361+N362-ROUND(M$6+IF(M$5=$C362,$E$5+$E362,0),2),2)*10&lt;=ROUND(M$6+IF(M$5=$C362,$E$5+$E362,0),2)),ROUND(O361+N362,2),MIN(ROUND(M$6+IF(M$5=$C362,$E$5+$E362,0),2),ROUND(O361+N362,2))),0)</f>
        <v>0</v>
      </c>
      <c r="N362" s="24">
        <f>IF(O361&gt;0,ROUND(ROUND(O361*100,0)*ROUND(M$7*10000,0)/12000000,0)/100,0)</f>
        <v>0</v>
      </c>
      <c r="O362" s="24">
        <f>IF(O361&gt;0,ROUND(O361+N362-M362,2),0)</f>
        <v>0</v>
      </c>
      <c r="P362" s="24">
        <f>IF(O361&gt;0,ROUND(P361+ROUND(ROUND(P361*100,0)*ROUND(M$7*10000,0)/12000000,0)/100+0.02,2),0)</f>
        <v>0</v>
      </c>
      <c r="Q362" s="24">
        <f>IF(S361&gt;0,IF(AND(ROUND(S361+R362-ROUND(Q$6+IF(Q$5=$C362,$E$5+$E362,0),2),2)&gt;0,ROUND(S361+R362-ROUND(Q$6+IF(Q$5=$C362,$E$5+$E362,0),2),2)&lt;=T362,ROUND(S361+R362-ROUND(Q$6+IF(Q$5=$C362,$E$5+$E362,0),2),2)*10&lt;=ROUND(Q$6+IF(Q$5=$C362,$E$5+$E362,0),2)),ROUND(S361+R362,2),MIN(ROUND(Q$6+IF(Q$5=$C362,$E$5+$E362,0),2),ROUND(S361+R362,2))),0)</f>
        <v>0</v>
      </c>
      <c r="R362" s="24">
        <f>IF(S361&gt;0,ROUND(ROUND(S361*100,0)*ROUND(Q$7*10000,0)/12000000,0)/100,0)</f>
        <v>0</v>
      </c>
      <c r="S362" s="24">
        <f>IF(S361&gt;0,ROUND(S361+R362-Q362,2),0)</f>
        <v>0</v>
      </c>
      <c r="T362" s="24">
        <f>IF(S361&gt;0,ROUND(T361+ROUND(ROUND(T361*100,0)*ROUND(Q$7*10000,0)/12000000,0)/100+0.02,2),0)</f>
        <v>0</v>
      </c>
      <c r="U362" s="24">
        <f>IF(W361&gt;0,IF(AND(ROUND(W361+V362-ROUND(U$6+IF(U$5=$C362,$E$5+$E362,0),2),2)&gt;0,ROUND(W361+V362-ROUND(U$6+IF(U$5=$C362,$E$5+$E362,0),2),2)&lt;=X362,ROUND(W361+V362-ROUND(U$6+IF(U$5=$C362,$E$5+$E362,0),2),2)*10&lt;=ROUND(U$6+IF(U$5=$C362,$E$5+$E362,0),2)),ROUND(W361+V362,2),MIN(ROUND(U$6+IF(U$5=$C362,$E$5+$E362,0),2),ROUND(W361+V362,2))),0)</f>
        <v>0</v>
      </c>
      <c r="V362" s="24">
        <f>IF(W361&gt;0,ROUND(ROUND(W361*100,0)*ROUND(U$7*10000,0)/12000000,0)/100,0)</f>
        <v>0</v>
      </c>
      <c r="W362" s="24">
        <f>IF(W361&gt;0,ROUND(W361+V362-U362,2),0)</f>
        <v>0</v>
      </c>
      <c r="X362" s="24">
        <f>IF(W361&gt;0,ROUND(X361+ROUND(ROUND(X361*100,0)*ROUND(U$7*10000,0)/12000000,0)/100+0.02,2),0)</f>
        <v>0</v>
      </c>
      <c r="Y362" s="24">
        <f>IF(AA361&gt;0,IF(AND(ROUND(AA361+Z362-ROUND(Y$6+IF(Y$5=$C362,$E$5+$E362,0),2),2)&gt;0,ROUND(AA361+Z362-ROUND(Y$6+IF(Y$5=$C362,$E$5+$E362,0),2),2)&lt;=AB362,ROUND(AA361+Z362-ROUND(Y$6+IF(Y$5=$C362,$E$5+$E362,0),2),2)*10&lt;=ROUND(Y$6+IF(Y$5=$C362,$E$5+$E362,0),2)),ROUND(AA361+Z362,2),MIN(ROUND(Y$6+IF(Y$5=$C362,$E$5+$E362,0),2),ROUND(AA361+Z362,2))),0)</f>
        <v>0</v>
      </c>
      <c r="Z362" s="24">
        <f>IF(AA361&gt;0,ROUND(ROUND(AA361*100,0)*ROUND(Y$7*10000,0)/12000000,0)/100,0)</f>
        <v>0</v>
      </c>
      <c r="AA362" s="24">
        <f>IF(AA361&gt;0,ROUND(AA361+Z362-Y362,2),0)</f>
        <v>0</v>
      </c>
      <c r="AB362" s="24">
        <f>IF(AA361&gt;0,ROUND(AB361+ROUND(ROUND(AB361*100,0)*ROUND(Y$7*10000,0)/12000000,0)/100+0.02,2),0)</f>
        <v>0</v>
      </c>
      <c r="AC362" s="24">
        <f>IF(AE361&gt;0,IF(AND(ROUND(AE361+AD362-ROUND(AC$6+IF(AC$5=$C362,$E$5+$E362,0),2),2)&gt;0,ROUND(AE361+AD362-ROUND(AC$6+IF(AC$5=$C362,$E$5+$E362,0),2),2)&lt;=AF362,ROUND(AE361+AD362-ROUND(AC$6+IF(AC$5=$C362,$E$5+$E362,0),2),2)*10&lt;=ROUND(AC$6+IF(AC$5=$C362,$E$5+$E362,0),2)),ROUND(AE361+AD362,2),MIN(ROUND(AC$6+IF(AC$5=$C362,$E$5+$E362,0),2),ROUND(AE361+AD362,2))),0)</f>
        <v>0</v>
      </c>
      <c r="AD362" s="24">
        <f>IF(AE361&gt;0,ROUND(ROUND(AE361*100,0)*ROUND(AC$7*10000,0)/12000000,0)/100,0)</f>
        <v>0</v>
      </c>
      <c r="AE362" s="24">
        <f>IF(AE361&gt;0,ROUND(AE361+AD362-AC362,2),0)</f>
        <v>0</v>
      </c>
      <c r="AF362" s="24">
        <f>IF(AE361&gt;0,ROUND(AF361+ROUND(ROUND(AF361*100,0)*ROUND(AC$7*10000,0)/12000000,0)/100+0.02,2),0)</f>
        <v>0</v>
      </c>
      <c r="AG362" s="24">
        <f>IF(AI361&gt;0,IF(AND(ROUND(AI361+AH362-ROUND(AG$6+IF(AG$5=$C362,$E$5+$E362,0),2),2)&gt;0,ROUND(AI361+AH362-ROUND(AG$6+IF(AG$5=$C362,$E$5+$E362,0),2),2)&lt;=AJ362,ROUND(AI361+AH362-ROUND(AG$6+IF(AG$5=$C362,$E$5+$E362,0),2),2)*10&lt;=ROUND(AG$6+IF(AG$5=$C362,$E$5+$E362,0),2)),ROUND(AI361+AH362,2),MIN(ROUND(AG$6+IF(AG$5=$C362,$E$5+$E362,0),2),ROUND(AI361+AH362,2))),0)</f>
        <v>0</v>
      </c>
      <c r="AH362" s="24">
        <f>IF(AI361&gt;0,ROUND(ROUND(AI361*100,0)*ROUND(AG$7*10000,0)/12000000,0)/100,0)</f>
        <v>0</v>
      </c>
      <c r="AI362" s="24">
        <f>IF(AI361&gt;0,ROUND(AI361+AH362-AG362,2),0)</f>
        <v>0</v>
      </c>
      <c r="AJ362" s="24">
        <f>IF(AI361&gt;0,ROUND(AJ361+ROUND(ROUND(AJ361*100,0)*ROUND(AG$7*10000,0)/12000000,0)/100+0.02,2),0)</f>
        <v>0</v>
      </c>
      <c r="AK362" s="24">
        <f>IF(AM361&gt;0,IF(AND(ROUND(AM361+AL362-ROUND(AK$6+IF(AK$5=$C362,$E$5+$E362,0),2),2)&gt;0,ROUND(AM361+AL362-ROUND(AK$6+IF(AK$5=$C362,$E$5+$E362,0),2),2)&lt;=AN362,ROUND(AM361+AL362-ROUND(AK$6+IF(AK$5=$C362,$E$5+$E362,0),2),2)*10&lt;=ROUND(AK$6+IF(AK$5=$C362,$E$5+$E362,0),2)),ROUND(AM361+AL362,2),MIN(ROUND(AK$6+IF(AK$5=$C362,$E$5+$E362,0),2),ROUND(AM361+AL362,2))),0)</f>
        <v>0</v>
      </c>
      <c r="AL362" s="24">
        <f>IF(AM361&gt;0,ROUND(ROUND(AM361*100,0)*ROUND(AK$7*10000,0)/12000000,0)/100,0)</f>
        <v>0</v>
      </c>
      <c r="AM362" s="24">
        <f>IF(AM361&gt;0,ROUND(AM361+AL362-AK362,2),0)</f>
        <v>0</v>
      </c>
      <c r="AN362" s="24">
        <f>IF(AM361&gt;0,ROUND(AN361+ROUND(ROUND(AN361*100,0)*ROUND(AK$7*10000,0)/12000000,0)/100+0.02,2),0)</f>
        <v>0</v>
      </c>
      <c r="AO362" s="24">
        <f>IF(AQ361&gt;0,IF(AND(ROUND(AQ361+AP362-ROUND(AO$6+IF(AO$5=$C362,$E$5+$E362,0),2),2)&gt;0,ROUND(AQ361+AP362-ROUND(AO$6+IF(AO$5=$C362,$E$5+$E362,0),2),2)&lt;=AR362,ROUND(AQ361+AP362-ROUND(AO$6+IF(AO$5=$C362,$E$5+$E362,0),2),2)*10&lt;=ROUND(AO$6+IF(AO$5=$C362,$E$5+$E362,0),2)),ROUND(AQ361+AP362,2),MIN(ROUND(AO$6+IF(AO$5=$C362,$E$5+$E362,0),2),ROUND(AQ361+AP362,2))),0)</f>
        <v>0</v>
      </c>
      <c r="AP362" s="24">
        <f>IF(AQ361&gt;0,ROUND(ROUND(AQ361*100,0)*ROUND(AO$7*10000,0)/12000000,0)/100,0)</f>
        <v>0</v>
      </c>
      <c r="AQ362" s="24">
        <f>IF(AQ361&gt;0,ROUND(AQ361+AP362-AO362,2),0)</f>
        <v>0</v>
      </c>
      <c r="AR362" s="24">
        <f>IF(AQ361&gt;0,ROUND(AR361+ROUND(ROUND(AR361*100,0)*ROUND(AO$7*10000,0)/12000000,0)/100+0.02,2),0)</f>
        <v>0</v>
      </c>
      <c r="AS362" s="24">
        <f>IF(AU361&gt;0,IF(AND(ROUND(AU361+AT362-ROUND(AS$6+IF(AS$5=$C362,$E$5+$E362,0),2),2)&gt;0,ROUND(AU361+AT362-ROUND(AS$6+IF(AS$5=$C362,$E$5+$E362,0),2),2)&lt;=AV362,ROUND(AU361+AT362-ROUND(AS$6+IF(AS$5=$C362,$E$5+$E362,0),2),2)*10&lt;=ROUND(AS$6+IF(AS$5=$C362,$E$5+$E362,0),2)),ROUND(AU361+AT362,2),MIN(ROUND(AS$6+IF(AS$5=$C362,$E$5+$E362,0),2),ROUND(AU361+AT362,2))),0)</f>
        <v>0</v>
      </c>
      <c r="AT362" s="24">
        <f>IF(AU361&gt;0,ROUND(ROUND(AU361*100,0)*ROUND(AS$7*10000,0)/12000000,0)/100,0)</f>
        <v>0</v>
      </c>
      <c r="AU362" s="24">
        <f>IF(AU361&gt;0,ROUND(AU361+AT362-AS362,2),0)</f>
        <v>0</v>
      </c>
      <c r="AV362" s="24">
        <f>IF(AU361&gt;0,ROUND(AV361+ROUND(ROUND(AV361*100,0)*ROUND(AS$7*10000,0)/12000000,0)/100+0.02,2),0)</f>
        <v>0</v>
      </c>
    </row>
    <row r="363" spans="1:48" x14ac:dyDescent="0.25">
      <c r="A363" s="17" t="str">
        <f>IF(F363&gt;0,353,"")</f>
        <v/>
      </c>
      <c r="B363" s="18" t="str">
        <f>IF(F363&gt;0,EDATE($E$6,353),"")</f>
        <v/>
      </c>
      <c r="C363" s="21">
        <f>IF(H362&gt;0,MIN(IF(K362&gt;0,I$5,99),IF(O362&gt;0,M$5,99),IF(S362&gt;0,Q$5,99),IF(W362&gt;0,U$5,99),IF(AA362&gt;0,Y$5,99),IF(AE362&gt;0,AC$5,99),IF(AI362&gt;0,AG$5,99),IF(AM362&gt;0,AK$5,99),IF(AQ362&gt;0,AO$5,99),IF(AU362&gt;0,AS$5,99)),0)</f>
        <v>0</v>
      </c>
      <c r="D363" t="str">
        <f>IF(C363&gt;0,INDEX($I$4:$AV$4,1,MATCH(C363,$I$5:$AV$5,0)),"")</f>
        <v/>
      </c>
      <c r="E363" s="24">
        <f>ROUND(IF(AND(I$8&gt;0,K362=0),I$6,0)+IF(AND(M$8&gt;0,O362=0),M$6,0)+IF(AND(Q$8&gt;0,S362=0),Q$6,0)+IF(AND(U$8&gt;0,W362=0),U$6,0)+IF(AND(Y$8&gt;0,AA362=0),Y$6,0)+IF(AND(AC$8&gt;0,AE362=0),AC$6,0)+IF(AND(AG$8&gt;0,AI362=0),AG$6,0)+IF(AND(AK$8&gt;0,AM362=0),AK$6,0)+IF(AND(AO$8&gt;0,AQ362=0),AO$6,0)+IF(AND(AS$8&gt;0,AU362=0),AS$6,0),2)</f>
        <v>325</v>
      </c>
      <c r="F363" s="24">
        <f>ROUND(I363+M363+Q363+U363+Y363+AC363+AG363+AK363+AO363+AS363,2)</f>
        <v>0</v>
      </c>
      <c r="G363" s="24">
        <f>ROUND(J363+N363+R363+V363+Z363+AD363+AH363+AL363+AP363+AT363,2)</f>
        <v>0</v>
      </c>
      <c r="H363" s="24">
        <f>ROUND(K363+O363+S363+W363+AA363+AE363+AI363+AM363+AQ363+AU363,2)</f>
        <v>0</v>
      </c>
      <c r="I363" s="24">
        <f>IF(K362&gt;0,IF(AND(ROUND(K362+J363-ROUND(I$6+IF(I$5=$C363,$E$5+$E363,0),2),2)&gt;0,ROUND(K362+J363-ROUND(I$6+IF(I$5=$C363,$E$5+$E363,0),2),2)&lt;=L363,ROUND(K362+J363-ROUND(I$6+IF(I$5=$C363,$E$5+$E363,0),2),2)*10&lt;=ROUND(I$6+IF(I$5=$C363,$E$5+$E363,0),2)),ROUND(K362+J363,2),MIN(ROUND(I$6+IF(I$5=$C363,$E$5+$E363,0),2),ROUND(K362+J363,2))),0)</f>
        <v>0</v>
      </c>
      <c r="J363" s="24">
        <f>IF(K362&gt;0,ROUND(ROUND(K362*100,0)*ROUND(I$7*10000,0)/12000000,0)/100,0)</f>
        <v>0</v>
      </c>
      <c r="K363" s="24">
        <f>IF(K362&gt;0,ROUND(K362+J363-I363,2),0)</f>
        <v>0</v>
      </c>
      <c r="L363" s="24">
        <f>IF(K362&gt;0,ROUND(L362+ROUND(ROUND(L362*100,0)*ROUND(I$7*10000,0)/12000000,0)/100+0.02,2),0)</f>
        <v>0</v>
      </c>
      <c r="M363" s="24">
        <f>IF(O362&gt;0,IF(AND(ROUND(O362+N363-ROUND(M$6+IF(M$5=$C363,$E$5+$E363,0),2),2)&gt;0,ROUND(O362+N363-ROUND(M$6+IF(M$5=$C363,$E$5+$E363,0),2),2)&lt;=P363,ROUND(O362+N363-ROUND(M$6+IF(M$5=$C363,$E$5+$E363,0),2),2)*10&lt;=ROUND(M$6+IF(M$5=$C363,$E$5+$E363,0),2)),ROUND(O362+N363,2),MIN(ROUND(M$6+IF(M$5=$C363,$E$5+$E363,0),2),ROUND(O362+N363,2))),0)</f>
        <v>0</v>
      </c>
      <c r="N363" s="24">
        <f>IF(O362&gt;0,ROUND(ROUND(O362*100,0)*ROUND(M$7*10000,0)/12000000,0)/100,0)</f>
        <v>0</v>
      </c>
      <c r="O363" s="24">
        <f>IF(O362&gt;0,ROUND(O362+N363-M363,2),0)</f>
        <v>0</v>
      </c>
      <c r="P363" s="24">
        <f>IF(O362&gt;0,ROUND(P362+ROUND(ROUND(P362*100,0)*ROUND(M$7*10000,0)/12000000,0)/100+0.02,2),0)</f>
        <v>0</v>
      </c>
      <c r="Q363" s="24">
        <f>IF(S362&gt;0,IF(AND(ROUND(S362+R363-ROUND(Q$6+IF(Q$5=$C363,$E$5+$E363,0),2),2)&gt;0,ROUND(S362+R363-ROUND(Q$6+IF(Q$5=$C363,$E$5+$E363,0),2),2)&lt;=T363,ROUND(S362+R363-ROUND(Q$6+IF(Q$5=$C363,$E$5+$E363,0),2),2)*10&lt;=ROUND(Q$6+IF(Q$5=$C363,$E$5+$E363,0),2)),ROUND(S362+R363,2),MIN(ROUND(Q$6+IF(Q$5=$C363,$E$5+$E363,0),2),ROUND(S362+R363,2))),0)</f>
        <v>0</v>
      </c>
      <c r="R363" s="24">
        <f>IF(S362&gt;0,ROUND(ROUND(S362*100,0)*ROUND(Q$7*10000,0)/12000000,0)/100,0)</f>
        <v>0</v>
      </c>
      <c r="S363" s="24">
        <f>IF(S362&gt;0,ROUND(S362+R363-Q363,2),0)</f>
        <v>0</v>
      </c>
      <c r="T363" s="24">
        <f>IF(S362&gt;0,ROUND(T362+ROUND(ROUND(T362*100,0)*ROUND(Q$7*10000,0)/12000000,0)/100+0.02,2),0)</f>
        <v>0</v>
      </c>
      <c r="U363" s="24">
        <f>IF(W362&gt;0,IF(AND(ROUND(W362+V363-ROUND(U$6+IF(U$5=$C363,$E$5+$E363,0),2),2)&gt;0,ROUND(W362+V363-ROUND(U$6+IF(U$5=$C363,$E$5+$E363,0),2),2)&lt;=X363,ROUND(W362+V363-ROUND(U$6+IF(U$5=$C363,$E$5+$E363,0),2),2)*10&lt;=ROUND(U$6+IF(U$5=$C363,$E$5+$E363,0),2)),ROUND(W362+V363,2),MIN(ROUND(U$6+IF(U$5=$C363,$E$5+$E363,0),2),ROUND(W362+V363,2))),0)</f>
        <v>0</v>
      </c>
      <c r="V363" s="24">
        <f>IF(W362&gt;0,ROUND(ROUND(W362*100,0)*ROUND(U$7*10000,0)/12000000,0)/100,0)</f>
        <v>0</v>
      </c>
      <c r="W363" s="24">
        <f>IF(W362&gt;0,ROUND(W362+V363-U363,2),0)</f>
        <v>0</v>
      </c>
      <c r="X363" s="24">
        <f>IF(W362&gt;0,ROUND(X362+ROUND(ROUND(X362*100,0)*ROUND(U$7*10000,0)/12000000,0)/100+0.02,2),0)</f>
        <v>0</v>
      </c>
      <c r="Y363" s="24">
        <f>IF(AA362&gt;0,IF(AND(ROUND(AA362+Z363-ROUND(Y$6+IF(Y$5=$C363,$E$5+$E363,0),2),2)&gt;0,ROUND(AA362+Z363-ROUND(Y$6+IF(Y$5=$C363,$E$5+$E363,0),2),2)&lt;=AB363,ROUND(AA362+Z363-ROUND(Y$6+IF(Y$5=$C363,$E$5+$E363,0),2),2)*10&lt;=ROUND(Y$6+IF(Y$5=$C363,$E$5+$E363,0),2)),ROUND(AA362+Z363,2),MIN(ROUND(Y$6+IF(Y$5=$C363,$E$5+$E363,0),2),ROUND(AA362+Z363,2))),0)</f>
        <v>0</v>
      </c>
      <c r="Z363" s="24">
        <f>IF(AA362&gt;0,ROUND(ROUND(AA362*100,0)*ROUND(Y$7*10000,0)/12000000,0)/100,0)</f>
        <v>0</v>
      </c>
      <c r="AA363" s="24">
        <f>IF(AA362&gt;0,ROUND(AA362+Z363-Y363,2),0)</f>
        <v>0</v>
      </c>
      <c r="AB363" s="24">
        <f>IF(AA362&gt;0,ROUND(AB362+ROUND(ROUND(AB362*100,0)*ROUND(Y$7*10000,0)/12000000,0)/100+0.02,2),0)</f>
        <v>0</v>
      </c>
      <c r="AC363" s="24">
        <f>IF(AE362&gt;0,IF(AND(ROUND(AE362+AD363-ROUND(AC$6+IF(AC$5=$C363,$E$5+$E363,0),2),2)&gt;0,ROUND(AE362+AD363-ROUND(AC$6+IF(AC$5=$C363,$E$5+$E363,0),2),2)&lt;=AF363,ROUND(AE362+AD363-ROUND(AC$6+IF(AC$5=$C363,$E$5+$E363,0),2),2)*10&lt;=ROUND(AC$6+IF(AC$5=$C363,$E$5+$E363,0),2)),ROUND(AE362+AD363,2),MIN(ROUND(AC$6+IF(AC$5=$C363,$E$5+$E363,0),2),ROUND(AE362+AD363,2))),0)</f>
        <v>0</v>
      </c>
      <c r="AD363" s="24">
        <f>IF(AE362&gt;0,ROUND(ROUND(AE362*100,0)*ROUND(AC$7*10000,0)/12000000,0)/100,0)</f>
        <v>0</v>
      </c>
      <c r="AE363" s="24">
        <f>IF(AE362&gt;0,ROUND(AE362+AD363-AC363,2),0)</f>
        <v>0</v>
      </c>
      <c r="AF363" s="24">
        <f>IF(AE362&gt;0,ROUND(AF362+ROUND(ROUND(AF362*100,0)*ROUND(AC$7*10000,0)/12000000,0)/100+0.02,2),0)</f>
        <v>0</v>
      </c>
      <c r="AG363" s="24">
        <f>IF(AI362&gt;0,IF(AND(ROUND(AI362+AH363-ROUND(AG$6+IF(AG$5=$C363,$E$5+$E363,0),2),2)&gt;0,ROUND(AI362+AH363-ROUND(AG$6+IF(AG$5=$C363,$E$5+$E363,0),2),2)&lt;=AJ363,ROUND(AI362+AH363-ROUND(AG$6+IF(AG$5=$C363,$E$5+$E363,0),2),2)*10&lt;=ROUND(AG$6+IF(AG$5=$C363,$E$5+$E363,0),2)),ROUND(AI362+AH363,2),MIN(ROUND(AG$6+IF(AG$5=$C363,$E$5+$E363,0),2),ROUND(AI362+AH363,2))),0)</f>
        <v>0</v>
      </c>
      <c r="AH363" s="24">
        <f>IF(AI362&gt;0,ROUND(ROUND(AI362*100,0)*ROUND(AG$7*10000,0)/12000000,0)/100,0)</f>
        <v>0</v>
      </c>
      <c r="AI363" s="24">
        <f>IF(AI362&gt;0,ROUND(AI362+AH363-AG363,2),0)</f>
        <v>0</v>
      </c>
      <c r="AJ363" s="24">
        <f>IF(AI362&gt;0,ROUND(AJ362+ROUND(ROUND(AJ362*100,0)*ROUND(AG$7*10000,0)/12000000,0)/100+0.02,2),0)</f>
        <v>0</v>
      </c>
      <c r="AK363" s="24">
        <f>IF(AM362&gt;0,IF(AND(ROUND(AM362+AL363-ROUND(AK$6+IF(AK$5=$C363,$E$5+$E363,0),2),2)&gt;0,ROUND(AM362+AL363-ROUND(AK$6+IF(AK$5=$C363,$E$5+$E363,0),2),2)&lt;=AN363,ROUND(AM362+AL363-ROUND(AK$6+IF(AK$5=$C363,$E$5+$E363,0),2),2)*10&lt;=ROUND(AK$6+IF(AK$5=$C363,$E$5+$E363,0),2)),ROUND(AM362+AL363,2),MIN(ROUND(AK$6+IF(AK$5=$C363,$E$5+$E363,0),2),ROUND(AM362+AL363,2))),0)</f>
        <v>0</v>
      </c>
      <c r="AL363" s="24">
        <f>IF(AM362&gt;0,ROUND(ROUND(AM362*100,0)*ROUND(AK$7*10000,0)/12000000,0)/100,0)</f>
        <v>0</v>
      </c>
      <c r="AM363" s="24">
        <f>IF(AM362&gt;0,ROUND(AM362+AL363-AK363,2),0)</f>
        <v>0</v>
      </c>
      <c r="AN363" s="24">
        <f>IF(AM362&gt;0,ROUND(AN362+ROUND(ROUND(AN362*100,0)*ROUND(AK$7*10000,0)/12000000,0)/100+0.02,2),0)</f>
        <v>0</v>
      </c>
      <c r="AO363" s="24">
        <f>IF(AQ362&gt;0,IF(AND(ROUND(AQ362+AP363-ROUND(AO$6+IF(AO$5=$C363,$E$5+$E363,0),2),2)&gt;0,ROUND(AQ362+AP363-ROUND(AO$6+IF(AO$5=$C363,$E$5+$E363,0),2),2)&lt;=AR363,ROUND(AQ362+AP363-ROUND(AO$6+IF(AO$5=$C363,$E$5+$E363,0),2),2)*10&lt;=ROUND(AO$6+IF(AO$5=$C363,$E$5+$E363,0),2)),ROUND(AQ362+AP363,2),MIN(ROUND(AO$6+IF(AO$5=$C363,$E$5+$E363,0),2),ROUND(AQ362+AP363,2))),0)</f>
        <v>0</v>
      </c>
      <c r="AP363" s="24">
        <f>IF(AQ362&gt;0,ROUND(ROUND(AQ362*100,0)*ROUND(AO$7*10000,0)/12000000,0)/100,0)</f>
        <v>0</v>
      </c>
      <c r="AQ363" s="24">
        <f>IF(AQ362&gt;0,ROUND(AQ362+AP363-AO363,2),0)</f>
        <v>0</v>
      </c>
      <c r="AR363" s="24">
        <f>IF(AQ362&gt;0,ROUND(AR362+ROUND(ROUND(AR362*100,0)*ROUND(AO$7*10000,0)/12000000,0)/100+0.02,2),0)</f>
        <v>0</v>
      </c>
      <c r="AS363" s="24">
        <f>IF(AU362&gt;0,IF(AND(ROUND(AU362+AT363-ROUND(AS$6+IF(AS$5=$C363,$E$5+$E363,0),2),2)&gt;0,ROUND(AU362+AT363-ROUND(AS$6+IF(AS$5=$C363,$E$5+$E363,0),2),2)&lt;=AV363,ROUND(AU362+AT363-ROUND(AS$6+IF(AS$5=$C363,$E$5+$E363,0),2),2)*10&lt;=ROUND(AS$6+IF(AS$5=$C363,$E$5+$E363,0),2)),ROUND(AU362+AT363,2),MIN(ROUND(AS$6+IF(AS$5=$C363,$E$5+$E363,0),2),ROUND(AU362+AT363,2))),0)</f>
        <v>0</v>
      </c>
      <c r="AT363" s="24">
        <f>IF(AU362&gt;0,ROUND(ROUND(AU362*100,0)*ROUND(AS$7*10000,0)/12000000,0)/100,0)</f>
        <v>0</v>
      </c>
      <c r="AU363" s="24">
        <f>IF(AU362&gt;0,ROUND(AU362+AT363-AS363,2),0)</f>
        <v>0</v>
      </c>
      <c r="AV363" s="24">
        <f>IF(AU362&gt;0,ROUND(AV362+ROUND(ROUND(AV362*100,0)*ROUND(AS$7*10000,0)/12000000,0)/100+0.02,2),0)</f>
        <v>0</v>
      </c>
    </row>
    <row r="364" spans="1:48" x14ac:dyDescent="0.25">
      <c r="A364" s="17" t="str">
        <f>IF(F364&gt;0,354,"")</f>
        <v/>
      </c>
      <c r="B364" s="18" t="str">
        <f>IF(F364&gt;0,EDATE($E$6,354),"")</f>
        <v/>
      </c>
      <c r="C364" s="21">
        <f>IF(H363&gt;0,MIN(IF(K363&gt;0,I$5,99),IF(O363&gt;0,M$5,99),IF(S363&gt;0,Q$5,99),IF(W363&gt;0,U$5,99),IF(AA363&gt;0,Y$5,99),IF(AE363&gt;0,AC$5,99),IF(AI363&gt;0,AG$5,99),IF(AM363&gt;0,AK$5,99),IF(AQ363&gt;0,AO$5,99),IF(AU363&gt;0,AS$5,99)),0)</f>
        <v>0</v>
      </c>
      <c r="D364" t="str">
        <f>IF(C364&gt;0,INDEX($I$4:$AV$4,1,MATCH(C364,$I$5:$AV$5,0)),"")</f>
        <v/>
      </c>
      <c r="E364" s="24">
        <f>ROUND(IF(AND(I$8&gt;0,K363=0),I$6,0)+IF(AND(M$8&gt;0,O363=0),M$6,0)+IF(AND(Q$8&gt;0,S363=0),Q$6,0)+IF(AND(U$8&gt;0,W363=0),U$6,0)+IF(AND(Y$8&gt;0,AA363=0),Y$6,0)+IF(AND(AC$8&gt;0,AE363=0),AC$6,0)+IF(AND(AG$8&gt;0,AI363=0),AG$6,0)+IF(AND(AK$8&gt;0,AM363=0),AK$6,0)+IF(AND(AO$8&gt;0,AQ363=0),AO$6,0)+IF(AND(AS$8&gt;0,AU363=0),AS$6,0),2)</f>
        <v>325</v>
      </c>
      <c r="F364" s="24">
        <f>ROUND(I364+M364+Q364+U364+Y364+AC364+AG364+AK364+AO364+AS364,2)</f>
        <v>0</v>
      </c>
      <c r="G364" s="24">
        <f>ROUND(J364+N364+R364+V364+Z364+AD364+AH364+AL364+AP364+AT364,2)</f>
        <v>0</v>
      </c>
      <c r="H364" s="24">
        <f>ROUND(K364+O364+S364+W364+AA364+AE364+AI364+AM364+AQ364+AU364,2)</f>
        <v>0</v>
      </c>
      <c r="I364" s="24">
        <f>IF(K363&gt;0,IF(AND(ROUND(K363+J364-ROUND(I$6+IF(I$5=$C364,$E$5+$E364,0),2),2)&gt;0,ROUND(K363+J364-ROUND(I$6+IF(I$5=$C364,$E$5+$E364,0),2),2)&lt;=L364,ROUND(K363+J364-ROUND(I$6+IF(I$5=$C364,$E$5+$E364,0),2),2)*10&lt;=ROUND(I$6+IF(I$5=$C364,$E$5+$E364,0),2)),ROUND(K363+J364,2),MIN(ROUND(I$6+IF(I$5=$C364,$E$5+$E364,0),2),ROUND(K363+J364,2))),0)</f>
        <v>0</v>
      </c>
      <c r="J364" s="24">
        <f>IF(K363&gt;0,ROUND(ROUND(K363*100,0)*ROUND(I$7*10000,0)/12000000,0)/100,0)</f>
        <v>0</v>
      </c>
      <c r="K364" s="24">
        <f>IF(K363&gt;0,ROUND(K363+J364-I364,2),0)</f>
        <v>0</v>
      </c>
      <c r="L364" s="24">
        <f>IF(K363&gt;0,ROUND(L363+ROUND(ROUND(L363*100,0)*ROUND(I$7*10000,0)/12000000,0)/100+0.02,2),0)</f>
        <v>0</v>
      </c>
      <c r="M364" s="24">
        <f>IF(O363&gt;0,IF(AND(ROUND(O363+N364-ROUND(M$6+IF(M$5=$C364,$E$5+$E364,0),2),2)&gt;0,ROUND(O363+N364-ROUND(M$6+IF(M$5=$C364,$E$5+$E364,0),2),2)&lt;=P364,ROUND(O363+N364-ROUND(M$6+IF(M$5=$C364,$E$5+$E364,0),2),2)*10&lt;=ROUND(M$6+IF(M$5=$C364,$E$5+$E364,0),2)),ROUND(O363+N364,2),MIN(ROUND(M$6+IF(M$5=$C364,$E$5+$E364,0),2),ROUND(O363+N364,2))),0)</f>
        <v>0</v>
      </c>
      <c r="N364" s="24">
        <f>IF(O363&gt;0,ROUND(ROUND(O363*100,0)*ROUND(M$7*10000,0)/12000000,0)/100,0)</f>
        <v>0</v>
      </c>
      <c r="O364" s="24">
        <f>IF(O363&gt;0,ROUND(O363+N364-M364,2),0)</f>
        <v>0</v>
      </c>
      <c r="P364" s="24">
        <f>IF(O363&gt;0,ROUND(P363+ROUND(ROUND(P363*100,0)*ROUND(M$7*10000,0)/12000000,0)/100+0.02,2),0)</f>
        <v>0</v>
      </c>
      <c r="Q364" s="24">
        <f>IF(S363&gt;0,IF(AND(ROUND(S363+R364-ROUND(Q$6+IF(Q$5=$C364,$E$5+$E364,0),2),2)&gt;0,ROUND(S363+R364-ROUND(Q$6+IF(Q$5=$C364,$E$5+$E364,0),2),2)&lt;=T364,ROUND(S363+R364-ROUND(Q$6+IF(Q$5=$C364,$E$5+$E364,0),2),2)*10&lt;=ROUND(Q$6+IF(Q$5=$C364,$E$5+$E364,0),2)),ROUND(S363+R364,2),MIN(ROUND(Q$6+IF(Q$5=$C364,$E$5+$E364,0),2),ROUND(S363+R364,2))),0)</f>
        <v>0</v>
      </c>
      <c r="R364" s="24">
        <f>IF(S363&gt;0,ROUND(ROUND(S363*100,0)*ROUND(Q$7*10000,0)/12000000,0)/100,0)</f>
        <v>0</v>
      </c>
      <c r="S364" s="24">
        <f>IF(S363&gt;0,ROUND(S363+R364-Q364,2),0)</f>
        <v>0</v>
      </c>
      <c r="T364" s="24">
        <f>IF(S363&gt;0,ROUND(T363+ROUND(ROUND(T363*100,0)*ROUND(Q$7*10000,0)/12000000,0)/100+0.02,2),0)</f>
        <v>0</v>
      </c>
      <c r="U364" s="24">
        <f>IF(W363&gt;0,IF(AND(ROUND(W363+V364-ROUND(U$6+IF(U$5=$C364,$E$5+$E364,0),2),2)&gt;0,ROUND(W363+V364-ROUND(U$6+IF(U$5=$C364,$E$5+$E364,0),2),2)&lt;=X364,ROUND(W363+V364-ROUND(U$6+IF(U$5=$C364,$E$5+$E364,0),2),2)*10&lt;=ROUND(U$6+IF(U$5=$C364,$E$5+$E364,0),2)),ROUND(W363+V364,2),MIN(ROUND(U$6+IF(U$5=$C364,$E$5+$E364,0),2),ROUND(W363+V364,2))),0)</f>
        <v>0</v>
      </c>
      <c r="V364" s="24">
        <f>IF(W363&gt;0,ROUND(ROUND(W363*100,0)*ROUND(U$7*10000,0)/12000000,0)/100,0)</f>
        <v>0</v>
      </c>
      <c r="W364" s="24">
        <f>IF(W363&gt;0,ROUND(W363+V364-U364,2),0)</f>
        <v>0</v>
      </c>
      <c r="X364" s="24">
        <f>IF(W363&gt;0,ROUND(X363+ROUND(ROUND(X363*100,0)*ROUND(U$7*10000,0)/12000000,0)/100+0.02,2),0)</f>
        <v>0</v>
      </c>
      <c r="Y364" s="24">
        <f>IF(AA363&gt;0,IF(AND(ROUND(AA363+Z364-ROUND(Y$6+IF(Y$5=$C364,$E$5+$E364,0),2),2)&gt;0,ROUND(AA363+Z364-ROUND(Y$6+IF(Y$5=$C364,$E$5+$E364,0),2),2)&lt;=AB364,ROUND(AA363+Z364-ROUND(Y$6+IF(Y$5=$C364,$E$5+$E364,0),2),2)*10&lt;=ROUND(Y$6+IF(Y$5=$C364,$E$5+$E364,0),2)),ROUND(AA363+Z364,2),MIN(ROUND(Y$6+IF(Y$5=$C364,$E$5+$E364,0),2),ROUND(AA363+Z364,2))),0)</f>
        <v>0</v>
      </c>
      <c r="Z364" s="24">
        <f>IF(AA363&gt;0,ROUND(ROUND(AA363*100,0)*ROUND(Y$7*10000,0)/12000000,0)/100,0)</f>
        <v>0</v>
      </c>
      <c r="AA364" s="24">
        <f>IF(AA363&gt;0,ROUND(AA363+Z364-Y364,2),0)</f>
        <v>0</v>
      </c>
      <c r="AB364" s="24">
        <f>IF(AA363&gt;0,ROUND(AB363+ROUND(ROUND(AB363*100,0)*ROUND(Y$7*10000,0)/12000000,0)/100+0.02,2),0)</f>
        <v>0</v>
      </c>
      <c r="AC364" s="24">
        <f>IF(AE363&gt;0,IF(AND(ROUND(AE363+AD364-ROUND(AC$6+IF(AC$5=$C364,$E$5+$E364,0),2),2)&gt;0,ROUND(AE363+AD364-ROUND(AC$6+IF(AC$5=$C364,$E$5+$E364,0),2),2)&lt;=AF364,ROUND(AE363+AD364-ROUND(AC$6+IF(AC$5=$C364,$E$5+$E364,0),2),2)*10&lt;=ROUND(AC$6+IF(AC$5=$C364,$E$5+$E364,0),2)),ROUND(AE363+AD364,2),MIN(ROUND(AC$6+IF(AC$5=$C364,$E$5+$E364,0),2),ROUND(AE363+AD364,2))),0)</f>
        <v>0</v>
      </c>
      <c r="AD364" s="24">
        <f>IF(AE363&gt;0,ROUND(ROUND(AE363*100,0)*ROUND(AC$7*10000,0)/12000000,0)/100,0)</f>
        <v>0</v>
      </c>
      <c r="AE364" s="24">
        <f>IF(AE363&gt;0,ROUND(AE363+AD364-AC364,2),0)</f>
        <v>0</v>
      </c>
      <c r="AF364" s="24">
        <f>IF(AE363&gt;0,ROUND(AF363+ROUND(ROUND(AF363*100,0)*ROUND(AC$7*10000,0)/12000000,0)/100+0.02,2),0)</f>
        <v>0</v>
      </c>
      <c r="AG364" s="24">
        <f>IF(AI363&gt;0,IF(AND(ROUND(AI363+AH364-ROUND(AG$6+IF(AG$5=$C364,$E$5+$E364,0),2),2)&gt;0,ROUND(AI363+AH364-ROUND(AG$6+IF(AG$5=$C364,$E$5+$E364,0),2),2)&lt;=AJ364,ROUND(AI363+AH364-ROUND(AG$6+IF(AG$5=$C364,$E$5+$E364,0),2),2)*10&lt;=ROUND(AG$6+IF(AG$5=$C364,$E$5+$E364,0),2)),ROUND(AI363+AH364,2),MIN(ROUND(AG$6+IF(AG$5=$C364,$E$5+$E364,0),2),ROUND(AI363+AH364,2))),0)</f>
        <v>0</v>
      </c>
      <c r="AH364" s="24">
        <f>IF(AI363&gt;0,ROUND(ROUND(AI363*100,0)*ROUND(AG$7*10000,0)/12000000,0)/100,0)</f>
        <v>0</v>
      </c>
      <c r="AI364" s="24">
        <f>IF(AI363&gt;0,ROUND(AI363+AH364-AG364,2),0)</f>
        <v>0</v>
      </c>
      <c r="AJ364" s="24">
        <f>IF(AI363&gt;0,ROUND(AJ363+ROUND(ROUND(AJ363*100,0)*ROUND(AG$7*10000,0)/12000000,0)/100+0.02,2),0)</f>
        <v>0</v>
      </c>
      <c r="AK364" s="24">
        <f>IF(AM363&gt;0,IF(AND(ROUND(AM363+AL364-ROUND(AK$6+IF(AK$5=$C364,$E$5+$E364,0),2),2)&gt;0,ROUND(AM363+AL364-ROUND(AK$6+IF(AK$5=$C364,$E$5+$E364,0),2),2)&lt;=AN364,ROUND(AM363+AL364-ROUND(AK$6+IF(AK$5=$C364,$E$5+$E364,0),2),2)*10&lt;=ROUND(AK$6+IF(AK$5=$C364,$E$5+$E364,0),2)),ROUND(AM363+AL364,2),MIN(ROUND(AK$6+IF(AK$5=$C364,$E$5+$E364,0),2),ROUND(AM363+AL364,2))),0)</f>
        <v>0</v>
      </c>
      <c r="AL364" s="24">
        <f>IF(AM363&gt;0,ROUND(ROUND(AM363*100,0)*ROUND(AK$7*10000,0)/12000000,0)/100,0)</f>
        <v>0</v>
      </c>
      <c r="AM364" s="24">
        <f>IF(AM363&gt;0,ROUND(AM363+AL364-AK364,2),0)</f>
        <v>0</v>
      </c>
      <c r="AN364" s="24">
        <f>IF(AM363&gt;0,ROUND(AN363+ROUND(ROUND(AN363*100,0)*ROUND(AK$7*10000,0)/12000000,0)/100+0.02,2),0)</f>
        <v>0</v>
      </c>
      <c r="AO364" s="24">
        <f>IF(AQ363&gt;0,IF(AND(ROUND(AQ363+AP364-ROUND(AO$6+IF(AO$5=$C364,$E$5+$E364,0),2),2)&gt;0,ROUND(AQ363+AP364-ROUND(AO$6+IF(AO$5=$C364,$E$5+$E364,0),2),2)&lt;=AR364,ROUND(AQ363+AP364-ROUND(AO$6+IF(AO$5=$C364,$E$5+$E364,0),2),2)*10&lt;=ROUND(AO$6+IF(AO$5=$C364,$E$5+$E364,0),2)),ROUND(AQ363+AP364,2),MIN(ROUND(AO$6+IF(AO$5=$C364,$E$5+$E364,0),2),ROUND(AQ363+AP364,2))),0)</f>
        <v>0</v>
      </c>
      <c r="AP364" s="24">
        <f>IF(AQ363&gt;0,ROUND(ROUND(AQ363*100,0)*ROUND(AO$7*10000,0)/12000000,0)/100,0)</f>
        <v>0</v>
      </c>
      <c r="AQ364" s="24">
        <f>IF(AQ363&gt;0,ROUND(AQ363+AP364-AO364,2),0)</f>
        <v>0</v>
      </c>
      <c r="AR364" s="24">
        <f>IF(AQ363&gt;0,ROUND(AR363+ROUND(ROUND(AR363*100,0)*ROUND(AO$7*10000,0)/12000000,0)/100+0.02,2),0)</f>
        <v>0</v>
      </c>
      <c r="AS364" s="24">
        <f>IF(AU363&gt;0,IF(AND(ROUND(AU363+AT364-ROUND(AS$6+IF(AS$5=$C364,$E$5+$E364,0),2),2)&gt;0,ROUND(AU363+AT364-ROUND(AS$6+IF(AS$5=$C364,$E$5+$E364,0),2),2)&lt;=AV364,ROUND(AU363+AT364-ROUND(AS$6+IF(AS$5=$C364,$E$5+$E364,0),2),2)*10&lt;=ROUND(AS$6+IF(AS$5=$C364,$E$5+$E364,0),2)),ROUND(AU363+AT364,2),MIN(ROUND(AS$6+IF(AS$5=$C364,$E$5+$E364,0),2),ROUND(AU363+AT364,2))),0)</f>
        <v>0</v>
      </c>
      <c r="AT364" s="24">
        <f>IF(AU363&gt;0,ROUND(ROUND(AU363*100,0)*ROUND(AS$7*10000,0)/12000000,0)/100,0)</f>
        <v>0</v>
      </c>
      <c r="AU364" s="24">
        <f>IF(AU363&gt;0,ROUND(AU363+AT364-AS364,2),0)</f>
        <v>0</v>
      </c>
      <c r="AV364" s="24">
        <f>IF(AU363&gt;0,ROUND(AV363+ROUND(ROUND(AV363*100,0)*ROUND(AS$7*10000,0)/12000000,0)/100+0.02,2),0)</f>
        <v>0</v>
      </c>
    </row>
    <row r="365" spans="1:48" x14ac:dyDescent="0.25">
      <c r="A365" s="17" t="str">
        <f>IF(F365&gt;0,355,"")</f>
        <v/>
      </c>
      <c r="B365" s="18" t="str">
        <f>IF(F365&gt;0,EDATE($E$6,355),"")</f>
        <v/>
      </c>
      <c r="C365" s="21">
        <f>IF(H364&gt;0,MIN(IF(K364&gt;0,I$5,99),IF(O364&gt;0,M$5,99),IF(S364&gt;0,Q$5,99),IF(W364&gt;0,U$5,99),IF(AA364&gt;0,Y$5,99),IF(AE364&gt;0,AC$5,99),IF(AI364&gt;0,AG$5,99),IF(AM364&gt;0,AK$5,99),IF(AQ364&gt;0,AO$5,99),IF(AU364&gt;0,AS$5,99)),0)</f>
        <v>0</v>
      </c>
      <c r="D365" t="str">
        <f>IF(C365&gt;0,INDEX($I$4:$AV$4,1,MATCH(C365,$I$5:$AV$5,0)),"")</f>
        <v/>
      </c>
      <c r="E365" s="24">
        <f>ROUND(IF(AND(I$8&gt;0,K364=0),I$6,0)+IF(AND(M$8&gt;0,O364=0),M$6,0)+IF(AND(Q$8&gt;0,S364=0),Q$6,0)+IF(AND(U$8&gt;0,W364=0),U$6,0)+IF(AND(Y$8&gt;0,AA364=0),Y$6,0)+IF(AND(AC$8&gt;0,AE364=0),AC$6,0)+IF(AND(AG$8&gt;0,AI364=0),AG$6,0)+IF(AND(AK$8&gt;0,AM364=0),AK$6,0)+IF(AND(AO$8&gt;0,AQ364=0),AO$6,0)+IF(AND(AS$8&gt;0,AU364=0),AS$6,0),2)</f>
        <v>325</v>
      </c>
      <c r="F365" s="24">
        <f>ROUND(I365+M365+Q365+U365+Y365+AC365+AG365+AK365+AO365+AS365,2)</f>
        <v>0</v>
      </c>
      <c r="G365" s="24">
        <f>ROUND(J365+N365+R365+V365+Z365+AD365+AH365+AL365+AP365+AT365,2)</f>
        <v>0</v>
      </c>
      <c r="H365" s="24">
        <f>ROUND(K365+O365+S365+W365+AA365+AE365+AI365+AM365+AQ365+AU365,2)</f>
        <v>0</v>
      </c>
      <c r="I365" s="24">
        <f>IF(K364&gt;0,IF(AND(ROUND(K364+J365-ROUND(I$6+IF(I$5=$C365,$E$5+$E365,0),2),2)&gt;0,ROUND(K364+J365-ROUND(I$6+IF(I$5=$C365,$E$5+$E365,0),2),2)&lt;=L365,ROUND(K364+J365-ROUND(I$6+IF(I$5=$C365,$E$5+$E365,0),2),2)*10&lt;=ROUND(I$6+IF(I$5=$C365,$E$5+$E365,0),2)),ROUND(K364+J365,2),MIN(ROUND(I$6+IF(I$5=$C365,$E$5+$E365,0),2),ROUND(K364+J365,2))),0)</f>
        <v>0</v>
      </c>
      <c r="J365" s="24">
        <f>IF(K364&gt;0,ROUND(ROUND(K364*100,0)*ROUND(I$7*10000,0)/12000000,0)/100,0)</f>
        <v>0</v>
      </c>
      <c r="K365" s="24">
        <f>IF(K364&gt;0,ROUND(K364+J365-I365,2),0)</f>
        <v>0</v>
      </c>
      <c r="L365" s="24">
        <f>IF(K364&gt;0,ROUND(L364+ROUND(ROUND(L364*100,0)*ROUND(I$7*10000,0)/12000000,0)/100+0.02,2),0)</f>
        <v>0</v>
      </c>
      <c r="M365" s="24">
        <f>IF(O364&gt;0,IF(AND(ROUND(O364+N365-ROUND(M$6+IF(M$5=$C365,$E$5+$E365,0),2),2)&gt;0,ROUND(O364+N365-ROUND(M$6+IF(M$5=$C365,$E$5+$E365,0),2),2)&lt;=P365,ROUND(O364+N365-ROUND(M$6+IF(M$5=$C365,$E$5+$E365,0),2),2)*10&lt;=ROUND(M$6+IF(M$5=$C365,$E$5+$E365,0),2)),ROUND(O364+N365,2),MIN(ROUND(M$6+IF(M$5=$C365,$E$5+$E365,0),2),ROUND(O364+N365,2))),0)</f>
        <v>0</v>
      </c>
      <c r="N365" s="24">
        <f>IF(O364&gt;0,ROUND(ROUND(O364*100,0)*ROUND(M$7*10000,0)/12000000,0)/100,0)</f>
        <v>0</v>
      </c>
      <c r="O365" s="24">
        <f>IF(O364&gt;0,ROUND(O364+N365-M365,2),0)</f>
        <v>0</v>
      </c>
      <c r="P365" s="24">
        <f>IF(O364&gt;0,ROUND(P364+ROUND(ROUND(P364*100,0)*ROUND(M$7*10000,0)/12000000,0)/100+0.02,2),0)</f>
        <v>0</v>
      </c>
      <c r="Q365" s="24">
        <f>IF(S364&gt;0,IF(AND(ROUND(S364+R365-ROUND(Q$6+IF(Q$5=$C365,$E$5+$E365,0),2),2)&gt;0,ROUND(S364+R365-ROUND(Q$6+IF(Q$5=$C365,$E$5+$E365,0),2),2)&lt;=T365,ROUND(S364+R365-ROUND(Q$6+IF(Q$5=$C365,$E$5+$E365,0),2),2)*10&lt;=ROUND(Q$6+IF(Q$5=$C365,$E$5+$E365,0),2)),ROUND(S364+R365,2),MIN(ROUND(Q$6+IF(Q$5=$C365,$E$5+$E365,0),2),ROUND(S364+R365,2))),0)</f>
        <v>0</v>
      </c>
      <c r="R365" s="24">
        <f>IF(S364&gt;0,ROUND(ROUND(S364*100,0)*ROUND(Q$7*10000,0)/12000000,0)/100,0)</f>
        <v>0</v>
      </c>
      <c r="S365" s="24">
        <f>IF(S364&gt;0,ROUND(S364+R365-Q365,2),0)</f>
        <v>0</v>
      </c>
      <c r="T365" s="24">
        <f>IF(S364&gt;0,ROUND(T364+ROUND(ROUND(T364*100,0)*ROUND(Q$7*10000,0)/12000000,0)/100+0.02,2),0)</f>
        <v>0</v>
      </c>
      <c r="U365" s="24">
        <f>IF(W364&gt;0,IF(AND(ROUND(W364+V365-ROUND(U$6+IF(U$5=$C365,$E$5+$E365,0),2),2)&gt;0,ROUND(W364+V365-ROUND(U$6+IF(U$5=$C365,$E$5+$E365,0),2),2)&lt;=X365,ROUND(W364+V365-ROUND(U$6+IF(U$5=$C365,$E$5+$E365,0),2),2)*10&lt;=ROUND(U$6+IF(U$5=$C365,$E$5+$E365,0),2)),ROUND(W364+V365,2),MIN(ROUND(U$6+IF(U$5=$C365,$E$5+$E365,0),2),ROUND(W364+V365,2))),0)</f>
        <v>0</v>
      </c>
      <c r="V365" s="24">
        <f>IF(W364&gt;0,ROUND(ROUND(W364*100,0)*ROUND(U$7*10000,0)/12000000,0)/100,0)</f>
        <v>0</v>
      </c>
      <c r="W365" s="24">
        <f>IF(W364&gt;0,ROUND(W364+V365-U365,2),0)</f>
        <v>0</v>
      </c>
      <c r="X365" s="24">
        <f>IF(W364&gt;0,ROUND(X364+ROUND(ROUND(X364*100,0)*ROUND(U$7*10000,0)/12000000,0)/100+0.02,2),0)</f>
        <v>0</v>
      </c>
      <c r="Y365" s="24">
        <f>IF(AA364&gt;0,IF(AND(ROUND(AA364+Z365-ROUND(Y$6+IF(Y$5=$C365,$E$5+$E365,0),2),2)&gt;0,ROUND(AA364+Z365-ROUND(Y$6+IF(Y$5=$C365,$E$5+$E365,0),2),2)&lt;=AB365,ROUND(AA364+Z365-ROUND(Y$6+IF(Y$5=$C365,$E$5+$E365,0),2),2)*10&lt;=ROUND(Y$6+IF(Y$5=$C365,$E$5+$E365,0),2)),ROUND(AA364+Z365,2),MIN(ROUND(Y$6+IF(Y$5=$C365,$E$5+$E365,0),2),ROUND(AA364+Z365,2))),0)</f>
        <v>0</v>
      </c>
      <c r="Z365" s="24">
        <f>IF(AA364&gt;0,ROUND(ROUND(AA364*100,0)*ROUND(Y$7*10000,0)/12000000,0)/100,0)</f>
        <v>0</v>
      </c>
      <c r="AA365" s="24">
        <f>IF(AA364&gt;0,ROUND(AA364+Z365-Y365,2),0)</f>
        <v>0</v>
      </c>
      <c r="AB365" s="24">
        <f>IF(AA364&gt;0,ROUND(AB364+ROUND(ROUND(AB364*100,0)*ROUND(Y$7*10000,0)/12000000,0)/100+0.02,2),0)</f>
        <v>0</v>
      </c>
      <c r="AC365" s="24">
        <f>IF(AE364&gt;0,IF(AND(ROUND(AE364+AD365-ROUND(AC$6+IF(AC$5=$C365,$E$5+$E365,0),2),2)&gt;0,ROUND(AE364+AD365-ROUND(AC$6+IF(AC$5=$C365,$E$5+$E365,0),2),2)&lt;=AF365,ROUND(AE364+AD365-ROUND(AC$6+IF(AC$5=$C365,$E$5+$E365,0),2),2)*10&lt;=ROUND(AC$6+IF(AC$5=$C365,$E$5+$E365,0),2)),ROUND(AE364+AD365,2),MIN(ROUND(AC$6+IF(AC$5=$C365,$E$5+$E365,0),2),ROUND(AE364+AD365,2))),0)</f>
        <v>0</v>
      </c>
      <c r="AD365" s="24">
        <f>IF(AE364&gt;0,ROUND(ROUND(AE364*100,0)*ROUND(AC$7*10000,0)/12000000,0)/100,0)</f>
        <v>0</v>
      </c>
      <c r="AE365" s="24">
        <f>IF(AE364&gt;0,ROUND(AE364+AD365-AC365,2),0)</f>
        <v>0</v>
      </c>
      <c r="AF365" s="24">
        <f>IF(AE364&gt;0,ROUND(AF364+ROUND(ROUND(AF364*100,0)*ROUND(AC$7*10000,0)/12000000,0)/100+0.02,2),0)</f>
        <v>0</v>
      </c>
      <c r="AG365" s="24">
        <f>IF(AI364&gt;0,IF(AND(ROUND(AI364+AH365-ROUND(AG$6+IF(AG$5=$C365,$E$5+$E365,0),2),2)&gt;0,ROUND(AI364+AH365-ROUND(AG$6+IF(AG$5=$C365,$E$5+$E365,0),2),2)&lt;=AJ365,ROUND(AI364+AH365-ROUND(AG$6+IF(AG$5=$C365,$E$5+$E365,0),2),2)*10&lt;=ROUND(AG$6+IF(AG$5=$C365,$E$5+$E365,0),2)),ROUND(AI364+AH365,2),MIN(ROUND(AG$6+IF(AG$5=$C365,$E$5+$E365,0),2),ROUND(AI364+AH365,2))),0)</f>
        <v>0</v>
      </c>
      <c r="AH365" s="24">
        <f>IF(AI364&gt;0,ROUND(ROUND(AI364*100,0)*ROUND(AG$7*10000,0)/12000000,0)/100,0)</f>
        <v>0</v>
      </c>
      <c r="AI365" s="24">
        <f>IF(AI364&gt;0,ROUND(AI364+AH365-AG365,2),0)</f>
        <v>0</v>
      </c>
      <c r="AJ365" s="24">
        <f>IF(AI364&gt;0,ROUND(AJ364+ROUND(ROUND(AJ364*100,0)*ROUND(AG$7*10000,0)/12000000,0)/100+0.02,2),0)</f>
        <v>0</v>
      </c>
      <c r="AK365" s="24">
        <f>IF(AM364&gt;0,IF(AND(ROUND(AM364+AL365-ROUND(AK$6+IF(AK$5=$C365,$E$5+$E365,0),2),2)&gt;0,ROUND(AM364+AL365-ROUND(AK$6+IF(AK$5=$C365,$E$5+$E365,0),2),2)&lt;=AN365,ROUND(AM364+AL365-ROUND(AK$6+IF(AK$5=$C365,$E$5+$E365,0),2),2)*10&lt;=ROUND(AK$6+IF(AK$5=$C365,$E$5+$E365,0),2)),ROUND(AM364+AL365,2),MIN(ROUND(AK$6+IF(AK$5=$C365,$E$5+$E365,0),2),ROUND(AM364+AL365,2))),0)</f>
        <v>0</v>
      </c>
      <c r="AL365" s="24">
        <f>IF(AM364&gt;0,ROUND(ROUND(AM364*100,0)*ROUND(AK$7*10000,0)/12000000,0)/100,0)</f>
        <v>0</v>
      </c>
      <c r="AM365" s="24">
        <f>IF(AM364&gt;0,ROUND(AM364+AL365-AK365,2),0)</f>
        <v>0</v>
      </c>
      <c r="AN365" s="24">
        <f>IF(AM364&gt;0,ROUND(AN364+ROUND(ROUND(AN364*100,0)*ROUND(AK$7*10000,0)/12000000,0)/100+0.02,2),0)</f>
        <v>0</v>
      </c>
      <c r="AO365" s="24">
        <f>IF(AQ364&gt;0,IF(AND(ROUND(AQ364+AP365-ROUND(AO$6+IF(AO$5=$C365,$E$5+$E365,0),2),2)&gt;0,ROUND(AQ364+AP365-ROUND(AO$6+IF(AO$5=$C365,$E$5+$E365,0),2),2)&lt;=AR365,ROUND(AQ364+AP365-ROUND(AO$6+IF(AO$5=$C365,$E$5+$E365,0),2),2)*10&lt;=ROUND(AO$6+IF(AO$5=$C365,$E$5+$E365,0),2)),ROUND(AQ364+AP365,2),MIN(ROUND(AO$6+IF(AO$5=$C365,$E$5+$E365,0),2),ROUND(AQ364+AP365,2))),0)</f>
        <v>0</v>
      </c>
      <c r="AP365" s="24">
        <f>IF(AQ364&gt;0,ROUND(ROUND(AQ364*100,0)*ROUND(AO$7*10000,0)/12000000,0)/100,0)</f>
        <v>0</v>
      </c>
      <c r="AQ365" s="24">
        <f>IF(AQ364&gt;0,ROUND(AQ364+AP365-AO365,2),0)</f>
        <v>0</v>
      </c>
      <c r="AR365" s="24">
        <f>IF(AQ364&gt;0,ROUND(AR364+ROUND(ROUND(AR364*100,0)*ROUND(AO$7*10000,0)/12000000,0)/100+0.02,2),0)</f>
        <v>0</v>
      </c>
      <c r="AS365" s="24">
        <f>IF(AU364&gt;0,IF(AND(ROUND(AU364+AT365-ROUND(AS$6+IF(AS$5=$C365,$E$5+$E365,0),2),2)&gt;0,ROUND(AU364+AT365-ROUND(AS$6+IF(AS$5=$C365,$E$5+$E365,0),2),2)&lt;=AV365,ROUND(AU364+AT365-ROUND(AS$6+IF(AS$5=$C365,$E$5+$E365,0),2),2)*10&lt;=ROUND(AS$6+IF(AS$5=$C365,$E$5+$E365,0),2)),ROUND(AU364+AT365,2),MIN(ROUND(AS$6+IF(AS$5=$C365,$E$5+$E365,0),2),ROUND(AU364+AT365,2))),0)</f>
        <v>0</v>
      </c>
      <c r="AT365" s="24">
        <f>IF(AU364&gt;0,ROUND(ROUND(AU364*100,0)*ROUND(AS$7*10000,0)/12000000,0)/100,0)</f>
        <v>0</v>
      </c>
      <c r="AU365" s="24">
        <f>IF(AU364&gt;0,ROUND(AU364+AT365-AS365,2),0)</f>
        <v>0</v>
      </c>
      <c r="AV365" s="24">
        <f>IF(AU364&gt;0,ROUND(AV364+ROUND(ROUND(AV364*100,0)*ROUND(AS$7*10000,0)/12000000,0)/100+0.02,2),0)</f>
        <v>0</v>
      </c>
    </row>
    <row r="366" spans="1:48" x14ac:dyDescent="0.25">
      <c r="A366" s="17" t="str">
        <f>IF(F366&gt;0,356,"")</f>
        <v/>
      </c>
      <c r="B366" s="18" t="str">
        <f>IF(F366&gt;0,EDATE($E$6,356),"")</f>
        <v/>
      </c>
      <c r="C366" s="21">
        <f>IF(H365&gt;0,MIN(IF(K365&gt;0,I$5,99),IF(O365&gt;0,M$5,99),IF(S365&gt;0,Q$5,99),IF(W365&gt;0,U$5,99),IF(AA365&gt;0,Y$5,99),IF(AE365&gt;0,AC$5,99),IF(AI365&gt;0,AG$5,99),IF(AM365&gt;0,AK$5,99),IF(AQ365&gt;0,AO$5,99),IF(AU365&gt;0,AS$5,99)),0)</f>
        <v>0</v>
      </c>
      <c r="D366" t="str">
        <f>IF(C366&gt;0,INDEX($I$4:$AV$4,1,MATCH(C366,$I$5:$AV$5,0)),"")</f>
        <v/>
      </c>
      <c r="E366" s="24">
        <f>ROUND(IF(AND(I$8&gt;0,K365=0),I$6,0)+IF(AND(M$8&gt;0,O365=0),M$6,0)+IF(AND(Q$8&gt;0,S365=0),Q$6,0)+IF(AND(U$8&gt;0,W365=0),U$6,0)+IF(AND(Y$8&gt;0,AA365=0),Y$6,0)+IF(AND(AC$8&gt;0,AE365=0),AC$6,0)+IF(AND(AG$8&gt;0,AI365=0),AG$6,0)+IF(AND(AK$8&gt;0,AM365=0),AK$6,0)+IF(AND(AO$8&gt;0,AQ365=0),AO$6,0)+IF(AND(AS$8&gt;0,AU365=0),AS$6,0),2)</f>
        <v>325</v>
      </c>
      <c r="F366" s="24">
        <f>ROUND(I366+M366+Q366+U366+Y366+AC366+AG366+AK366+AO366+AS366,2)</f>
        <v>0</v>
      </c>
      <c r="G366" s="24">
        <f>ROUND(J366+N366+R366+V366+Z366+AD366+AH366+AL366+AP366+AT366,2)</f>
        <v>0</v>
      </c>
      <c r="H366" s="24">
        <f>ROUND(K366+O366+S366+W366+AA366+AE366+AI366+AM366+AQ366+AU366,2)</f>
        <v>0</v>
      </c>
      <c r="I366" s="24">
        <f>IF(K365&gt;0,IF(AND(ROUND(K365+J366-ROUND(I$6+IF(I$5=$C366,$E$5+$E366,0),2),2)&gt;0,ROUND(K365+J366-ROUND(I$6+IF(I$5=$C366,$E$5+$E366,0),2),2)&lt;=L366,ROUND(K365+J366-ROUND(I$6+IF(I$5=$C366,$E$5+$E366,0),2),2)*10&lt;=ROUND(I$6+IF(I$5=$C366,$E$5+$E366,0),2)),ROUND(K365+J366,2),MIN(ROUND(I$6+IF(I$5=$C366,$E$5+$E366,0),2),ROUND(K365+J366,2))),0)</f>
        <v>0</v>
      </c>
      <c r="J366" s="24">
        <f>IF(K365&gt;0,ROUND(ROUND(K365*100,0)*ROUND(I$7*10000,0)/12000000,0)/100,0)</f>
        <v>0</v>
      </c>
      <c r="K366" s="24">
        <f>IF(K365&gt;0,ROUND(K365+J366-I366,2),0)</f>
        <v>0</v>
      </c>
      <c r="L366" s="24">
        <f>IF(K365&gt;0,ROUND(L365+ROUND(ROUND(L365*100,0)*ROUND(I$7*10000,0)/12000000,0)/100+0.02,2),0)</f>
        <v>0</v>
      </c>
      <c r="M366" s="24">
        <f>IF(O365&gt;0,IF(AND(ROUND(O365+N366-ROUND(M$6+IF(M$5=$C366,$E$5+$E366,0),2),2)&gt;0,ROUND(O365+N366-ROUND(M$6+IF(M$5=$C366,$E$5+$E366,0),2),2)&lt;=P366,ROUND(O365+N366-ROUND(M$6+IF(M$5=$C366,$E$5+$E366,0),2),2)*10&lt;=ROUND(M$6+IF(M$5=$C366,$E$5+$E366,0),2)),ROUND(O365+N366,2),MIN(ROUND(M$6+IF(M$5=$C366,$E$5+$E366,0),2),ROUND(O365+N366,2))),0)</f>
        <v>0</v>
      </c>
      <c r="N366" s="24">
        <f>IF(O365&gt;0,ROUND(ROUND(O365*100,0)*ROUND(M$7*10000,0)/12000000,0)/100,0)</f>
        <v>0</v>
      </c>
      <c r="O366" s="24">
        <f>IF(O365&gt;0,ROUND(O365+N366-M366,2),0)</f>
        <v>0</v>
      </c>
      <c r="P366" s="24">
        <f>IF(O365&gt;0,ROUND(P365+ROUND(ROUND(P365*100,0)*ROUND(M$7*10000,0)/12000000,0)/100+0.02,2),0)</f>
        <v>0</v>
      </c>
      <c r="Q366" s="24">
        <f>IF(S365&gt;0,IF(AND(ROUND(S365+R366-ROUND(Q$6+IF(Q$5=$C366,$E$5+$E366,0),2),2)&gt;0,ROUND(S365+R366-ROUND(Q$6+IF(Q$5=$C366,$E$5+$E366,0),2),2)&lt;=T366,ROUND(S365+R366-ROUND(Q$6+IF(Q$5=$C366,$E$5+$E366,0),2),2)*10&lt;=ROUND(Q$6+IF(Q$5=$C366,$E$5+$E366,0),2)),ROUND(S365+R366,2),MIN(ROUND(Q$6+IF(Q$5=$C366,$E$5+$E366,0),2),ROUND(S365+R366,2))),0)</f>
        <v>0</v>
      </c>
      <c r="R366" s="24">
        <f>IF(S365&gt;0,ROUND(ROUND(S365*100,0)*ROUND(Q$7*10000,0)/12000000,0)/100,0)</f>
        <v>0</v>
      </c>
      <c r="S366" s="24">
        <f>IF(S365&gt;0,ROUND(S365+R366-Q366,2),0)</f>
        <v>0</v>
      </c>
      <c r="T366" s="24">
        <f>IF(S365&gt;0,ROUND(T365+ROUND(ROUND(T365*100,0)*ROUND(Q$7*10000,0)/12000000,0)/100+0.02,2),0)</f>
        <v>0</v>
      </c>
      <c r="U366" s="24">
        <f>IF(W365&gt;0,IF(AND(ROUND(W365+V366-ROUND(U$6+IF(U$5=$C366,$E$5+$E366,0),2),2)&gt;0,ROUND(W365+V366-ROUND(U$6+IF(U$5=$C366,$E$5+$E366,0),2),2)&lt;=X366,ROUND(W365+V366-ROUND(U$6+IF(U$5=$C366,$E$5+$E366,0),2),2)*10&lt;=ROUND(U$6+IF(U$5=$C366,$E$5+$E366,0),2)),ROUND(W365+V366,2),MIN(ROUND(U$6+IF(U$5=$C366,$E$5+$E366,0),2),ROUND(W365+V366,2))),0)</f>
        <v>0</v>
      </c>
      <c r="V366" s="24">
        <f>IF(W365&gt;0,ROUND(ROUND(W365*100,0)*ROUND(U$7*10000,0)/12000000,0)/100,0)</f>
        <v>0</v>
      </c>
      <c r="W366" s="24">
        <f>IF(W365&gt;0,ROUND(W365+V366-U366,2),0)</f>
        <v>0</v>
      </c>
      <c r="X366" s="24">
        <f>IF(W365&gt;0,ROUND(X365+ROUND(ROUND(X365*100,0)*ROUND(U$7*10000,0)/12000000,0)/100+0.02,2),0)</f>
        <v>0</v>
      </c>
      <c r="Y366" s="24">
        <f>IF(AA365&gt;0,IF(AND(ROUND(AA365+Z366-ROUND(Y$6+IF(Y$5=$C366,$E$5+$E366,0),2),2)&gt;0,ROUND(AA365+Z366-ROUND(Y$6+IF(Y$5=$C366,$E$5+$E366,0),2),2)&lt;=AB366,ROUND(AA365+Z366-ROUND(Y$6+IF(Y$5=$C366,$E$5+$E366,0),2),2)*10&lt;=ROUND(Y$6+IF(Y$5=$C366,$E$5+$E366,0),2)),ROUND(AA365+Z366,2),MIN(ROUND(Y$6+IF(Y$5=$C366,$E$5+$E366,0),2),ROUND(AA365+Z366,2))),0)</f>
        <v>0</v>
      </c>
      <c r="Z366" s="24">
        <f>IF(AA365&gt;0,ROUND(ROUND(AA365*100,0)*ROUND(Y$7*10000,0)/12000000,0)/100,0)</f>
        <v>0</v>
      </c>
      <c r="AA366" s="24">
        <f>IF(AA365&gt;0,ROUND(AA365+Z366-Y366,2),0)</f>
        <v>0</v>
      </c>
      <c r="AB366" s="24">
        <f>IF(AA365&gt;0,ROUND(AB365+ROUND(ROUND(AB365*100,0)*ROUND(Y$7*10000,0)/12000000,0)/100+0.02,2),0)</f>
        <v>0</v>
      </c>
      <c r="AC366" s="24">
        <f>IF(AE365&gt;0,IF(AND(ROUND(AE365+AD366-ROUND(AC$6+IF(AC$5=$C366,$E$5+$E366,0),2),2)&gt;0,ROUND(AE365+AD366-ROUND(AC$6+IF(AC$5=$C366,$E$5+$E366,0),2),2)&lt;=AF366,ROUND(AE365+AD366-ROUND(AC$6+IF(AC$5=$C366,$E$5+$E366,0),2),2)*10&lt;=ROUND(AC$6+IF(AC$5=$C366,$E$5+$E366,0),2)),ROUND(AE365+AD366,2),MIN(ROUND(AC$6+IF(AC$5=$C366,$E$5+$E366,0),2),ROUND(AE365+AD366,2))),0)</f>
        <v>0</v>
      </c>
      <c r="AD366" s="24">
        <f>IF(AE365&gt;0,ROUND(ROUND(AE365*100,0)*ROUND(AC$7*10000,0)/12000000,0)/100,0)</f>
        <v>0</v>
      </c>
      <c r="AE366" s="24">
        <f>IF(AE365&gt;0,ROUND(AE365+AD366-AC366,2),0)</f>
        <v>0</v>
      </c>
      <c r="AF366" s="24">
        <f>IF(AE365&gt;0,ROUND(AF365+ROUND(ROUND(AF365*100,0)*ROUND(AC$7*10000,0)/12000000,0)/100+0.02,2),0)</f>
        <v>0</v>
      </c>
      <c r="AG366" s="24">
        <f>IF(AI365&gt;0,IF(AND(ROUND(AI365+AH366-ROUND(AG$6+IF(AG$5=$C366,$E$5+$E366,0),2),2)&gt;0,ROUND(AI365+AH366-ROUND(AG$6+IF(AG$5=$C366,$E$5+$E366,0),2),2)&lt;=AJ366,ROUND(AI365+AH366-ROUND(AG$6+IF(AG$5=$C366,$E$5+$E366,0),2),2)*10&lt;=ROUND(AG$6+IF(AG$5=$C366,$E$5+$E366,0),2)),ROUND(AI365+AH366,2),MIN(ROUND(AG$6+IF(AG$5=$C366,$E$5+$E366,0),2),ROUND(AI365+AH366,2))),0)</f>
        <v>0</v>
      </c>
      <c r="AH366" s="24">
        <f>IF(AI365&gt;0,ROUND(ROUND(AI365*100,0)*ROUND(AG$7*10000,0)/12000000,0)/100,0)</f>
        <v>0</v>
      </c>
      <c r="AI366" s="24">
        <f>IF(AI365&gt;0,ROUND(AI365+AH366-AG366,2),0)</f>
        <v>0</v>
      </c>
      <c r="AJ366" s="24">
        <f>IF(AI365&gt;0,ROUND(AJ365+ROUND(ROUND(AJ365*100,0)*ROUND(AG$7*10000,0)/12000000,0)/100+0.02,2),0)</f>
        <v>0</v>
      </c>
      <c r="AK366" s="24">
        <f>IF(AM365&gt;0,IF(AND(ROUND(AM365+AL366-ROUND(AK$6+IF(AK$5=$C366,$E$5+$E366,0),2),2)&gt;0,ROUND(AM365+AL366-ROUND(AK$6+IF(AK$5=$C366,$E$5+$E366,0),2),2)&lt;=AN366,ROUND(AM365+AL366-ROUND(AK$6+IF(AK$5=$C366,$E$5+$E366,0),2),2)*10&lt;=ROUND(AK$6+IF(AK$5=$C366,$E$5+$E366,0),2)),ROUND(AM365+AL366,2),MIN(ROUND(AK$6+IF(AK$5=$C366,$E$5+$E366,0),2),ROUND(AM365+AL366,2))),0)</f>
        <v>0</v>
      </c>
      <c r="AL366" s="24">
        <f>IF(AM365&gt;0,ROUND(ROUND(AM365*100,0)*ROUND(AK$7*10000,0)/12000000,0)/100,0)</f>
        <v>0</v>
      </c>
      <c r="AM366" s="24">
        <f>IF(AM365&gt;0,ROUND(AM365+AL366-AK366,2),0)</f>
        <v>0</v>
      </c>
      <c r="AN366" s="24">
        <f>IF(AM365&gt;0,ROUND(AN365+ROUND(ROUND(AN365*100,0)*ROUND(AK$7*10000,0)/12000000,0)/100+0.02,2),0)</f>
        <v>0</v>
      </c>
      <c r="AO366" s="24">
        <f>IF(AQ365&gt;0,IF(AND(ROUND(AQ365+AP366-ROUND(AO$6+IF(AO$5=$C366,$E$5+$E366,0),2),2)&gt;0,ROUND(AQ365+AP366-ROUND(AO$6+IF(AO$5=$C366,$E$5+$E366,0),2),2)&lt;=AR366,ROUND(AQ365+AP366-ROUND(AO$6+IF(AO$5=$C366,$E$5+$E366,0),2),2)*10&lt;=ROUND(AO$6+IF(AO$5=$C366,$E$5+$E366,0),2)),ROUND(AQ365+AP366,2),MIN(ROUND(AO$6+IF(AO$5=$C366,$E$5+$E366,0),2),ROUND(AQ365+AP366,2))),0)</f>
        <v>0</v>
      </c>
      <c r="AP366" s="24">
        <f>IF(AQ365&gt;0,ROUND(ROUND(AQ365*100,0)*ROUND(AO$7*10000,0)/12000000,0)/100,0)</f>
        <v>0</v>
      </c>
      <c r="AQ366" s="24">
        <f>IF(AQ365&gt;0,ROUND(AQ365+AP366-AO366,2),0)</f>
        <v>0</v>
      </c>
      <c r="AR366" s="24">
        <f>IF(AQ365&gt;0,ROUND(AR365+ROUND(ROUND(AR365*100,0)*ROUND(AO$7*10000,0)/12000000,0)/100+0.02,2),0)</f>
        <v>0</v>
      </c>
      <c r="AS366" s="24">
        <f>IF(AU365&gt;0,IF(AND(ROUND(AU365+AT366-ROUND(AS$6+IF(AS$5=$C366,$E$5+$E366,0),2),2)&gt;0,ROUND(AU365+AT366-ROUND(AS$6+IF(AS$5=$C366,$E$5+$E366,0),2),2)&lt;=AV366,ROUND(AU365+AT366-ROUND(AS$6+IF(AS$5=$C366,$E$5+$E366,0),2),2)*10&lt;=ROUND(AS$6+IF(AS$5=$C366,$E$5+$E366,0),2)),ROUND(AU365+AT366,2),MIN(ROUND(AS$6+IF(AS$5=$C366,$E$5+$E366,0),2),ROUND(AU365+AT366,2))),0)</f>
        <v>0</v>
      </c>
      <c r="AT366" s="24">
        <f>IF(AU365&gt;0,ROUND(ROUND(AU365*100,0)*ROUND(AS$7*10000,0)/12000000,0)/100,0)</f>
        <v>0</v>
      </c>
      <c r="AU366" s="24">
        <f>IF(AU365&gt;0,ROUND(AU365+AT366-AS366,2),0)</f>
        <v>0</v>
      </c>
      <c r="AV366" s="24">
        <f>IF(AU365&gt;0,ROUND(AV365+ROUND(ROUND(AV365*100,0)*ROUND(AS$7*10000,0)/12000000,0)/100+0.02,2),0)</f>
        <v>0</v>
      </c>
    </row>
    <row r="367" spans="1:48" x14ac:dyDescent="0.25">
      <c r="A367" s="17" t="str">
        <f>IF(F367&gt;0,357,"")</f>
        <v/>
      </c>
      <c r="B367" s="18" t="str">
        <f>IF(F367&gt;0,EDATE($E$6,357),"")</f>
        <v/>
      </c>
      <c r="C367" s="21">
        <f>IF(H366&gt;0,MIN(IF(K366&gt;0,I$5,99),IF(O366&gt;0,M$5,99),IF(S366&gt;0,Q$5,99),IF(W366&gt;0,U$5,99),IF(AA366&gt;0,Y$5,99),IF(AE366&gt;0,AC$5,99),IF(AI366&gt;0,AG$5,99),IF(AM366&gt;0,AK$5,99),IF(AQ366&gt;0,AO$5,99),IF(AU366&gt;0,AS$5,99)),0)</f>
        <v>0</v>
      </c>
      <c r="D367" t="str">
        <f>IF(C367&gt;0,INDEX($I$4:$AV$4,1,MATCH(C367,$I$5:$AV$5,0)),"")</f>
        <v/>
      </c>
      <c r="E367" s="24">
        <f>ROUND(IF(AND(I$8&gt;0,K366=0),I$6,0)+IF(AND(M$8&gt;0,O366=0),M$6,0)+IF(AND(Q$8&gt;0,S366=0),Q$6,0)+IF(AND(U$8&gt;0,W366=0),U$6,0)+IF(AND(Y$8&gt;0,AA366=0),Y$6,0)+IF(AND(AC$8&gt;0,AE366=0),AC$6,0)+IF(AND(AG$8&gt;0,AI366=0),AG$6,0)+IF(AND(AK$8&gt;0,AM366=0),AK$6,0)+IF(AND(AO$8&gt;0,AQ366=0),AO$6,0)+IF(AND(AS$8&gt;0,AU366=0),AS$6,0),2)</f>
        <v>325</v>
      </c>
      <c r="F367" s="24">
        <f>ROUND(I367+M367+Q367+U367+Y367+AC367+AG367+AK367+AO367+AS367,2)</f>
        <v>0</v>
      </c>
      <c r="G367" s="24">
        <f>ROUND(J367+N367+R367+V367+Z367+AD367+AH367+AL367+AP367+AT367,2)</f>
        <v>0</v>
      </c>
      <c r="H367" s="24">
        <f>ROUND(K367+O367+S367+W367+AA367+AE367+AI367+AM367+AQ367+AU367,2)</f>
        <v>0</v>
      </c>
      <c r="I367" s="24">
        <f>IF(K366&gt;0,IF(AND(ROUND(K366+J367-ROUND(I$6+IF(I$5=$C367,$E$5+$E367,0),2),2)&gt;0,ROUND(K366+J367-ROUND(I$6+IF(I$5=$C367,$E$5+$E367,0),2),2)&lt;=L367,ROUND(K366+J367-ROUND(I$6+IF(I$5=$C367,$E$5+$E367,0),2),2)*10&lt;=ROUND(I$6+IF(I$5=$C367,$E$5+$E367,0),2)),ROUND(K366+J367,2),MIN(ROUND(I$6+IF(I$5=$C367,$E$5+$E367,0),2),ROUND(K366+J367,2))),0)</f>
        <v>0</v>
      </c>
      <c r="J367" s="24">
        <f>IF(K366&gt;0,ROUND(ROUND(K366*100,0)*ROUND(I$7*10000,0)/12000000,0)/100,0)</f>
        <v>0</v>
      </c>
      <c r="K367" s="24">
        <f>IF(K366&gt;0,ROUND(K366+J367-I367,2),0)</f>
        <v>0</v>
      </c>
      <c r="L367" s="24">
        <f>IF(K366&gt;0,ROUND(L366+ROUND(ROUND(L366*100,0)*ROUND(I$7*10000,0)/12000000,0)/100+0.02,2),0)</f>
        <v>0</v>
      </c>
      <c r="M367" s="24">
        <f>IF(O366&gt;0,IF(AND(ROUND(O366+N367-ROUND(M$6+IF(M$5=$C367,$E$5+$E367,0),2),2)&gt;0,ROUND(O366+N367-ROUND(M$6+IF(M$5=$C367,$E$5+$E367,0),2),2)&lt;=P367,ROUND(O366+N367-ROUND(M$6+IF(M$5=$C367,$E$5+$E367,0),2),2)*10&lt;=ROUND(M$6+IF(M$5=$C367,$E$5+$E367,0),2)),ROUND(O366+N367,2),MIN(ROUND(M$6+IF(M$5=$C367,$E$5+$E367,0),2),ROUND(O366+N367,2))),0)</f>
        <v>0</v>
      </c>
      <c r="N367" s="24">
        <f>IF(O366&gt;0,ROUND(ROUND(O366*100,0)*ROUND(M$7*10000,0)/12000000,0)/100,0)</f>
        <v>0</v>
      </c>
      <c r="O367" s="24">
        <f>IF(O366&gt;0,ROUND(O366+N367-M367,2),0)</f>
        <v>0</v>
      </c>
      <c r="P367" s="24">
        <f>IF(O366&gt;0,ROUND(P366+ROUND(ROUND(P366*100,0)*ROUND(M$7*10000,0)/12000000,0)/100+0.02,2),0)</f>
        <v>0</v>
      </c>
      <c r="Q367" s="24">
        <f>IF(S366&gt;0,IF(AND(ROUND(S366+R367-ROUND(Q$6+IF(Q$5=$C367,$E$5+$E367,0),2),2)&gt;0,ROUND(S366+R367-ROUND(Q$6+IF(Q$5=$C367,$E$5+$E367,0),2),2)&lt;=T367,ROUND(S366+R367-ROUND(Q$6+IF(Q$5=$C367,$E$5+$E367,0),2),2)*10&lt;=ROUND(Q$6+IF(Q$5=$C367,$E$5+$E367,0),2)),ROUND(S366+R367,2),MIN(ROUND(Q$6+IF(Q$5=$C367,$E$5+$E367,0),2),ROUND(S366+R367,2))),0)</f>
        <v>0</v>
      </c>
      <c r="R367" s="24">
        <f>IF(S366&gt;0,ROUND(ROUND(S366*100,0)*ROUND(Q$7*10000,0)/12000000,0)/100,0)</f>
        <v>0</v>
      </c>
      <c r="S367" s="24">
        <f>IF(S366&gt;0,ROUND(S366+R367-Q367,2),0)</f>
        <v>0</v>
      </c>
      <c r="T367" s="24">
        <f>IF(S366&gt;0,ROUND(T366+ROUND(ROUND(T366*100,0)*ROUND(Q$7*10000,0)/12000000,0)/100+0.02,2),0)</f>
        <v>0</v>
      </c>
      <c r="U367" s="24">
        <f>IF(W366&gt;0,IF(AND(ROUND(W366+V367-ROUND(U$6+IF(U$5=$C367,$E$5+$E367,0),2),2)&gt;0,ROUND(W366+V367-ROUND(U$6+IF(U$5=$C367,$E$5+$E367,0),2),2)&lt;=X367,ROUND(W366+V367-ROUND(U$6+IF(U$5=$C367,$E$5+$E367,0),2),2)*10&lt;=ROUND(U$6+IF(U$5=$C367,$E$5+$E367,0),2)),ROUND(W366+V367,2),MIN(ROUND(U$6+IF(U$5=$C367,$E$5+$E367,0),2),ROUND(W366+V367,2))),0)</f>
        <v>0</v>
      </c>
      <c r="V367" s="24">
        <f>IF(W366&gt;0,ROUND(ROUND(W366*100,0)*ROUND(U$7*10000,0)/12000000,0)/100,0)</f>
        <v>0</v>
      </c>
      <c r="W367" s="24">
        <f>IF(W366&gt;0,ROUND(W366+V367-U367,2),0)</f>
        <v>0</v>
      </c>
      <c r="X367" s="24">
        <f>IF(W366&gt;0,ROUND(X366+ROUND(ROUND(X366*100,0)*ROUND(U$7*10000,0)/12000000,0)/100+0.02,2),0)</f>
        <v>0</v>
      </c>
      <c r="Y367" s="24">
        <f>IF(AA366&gt;0,IF(AND(ROUND(AA366+Z367-ROUND(Y$6+IF(Y$5=$C367,$E$5+$E367,0),2),2)&gt;0,ROUND(AA366+Z367-ROUND(Y$6+IF(Y$5=$C367,$E$5+$E367,0),2),2)&lt;=AB367,ROUND(AA366+Z367-ROUND(Y$6+IF(Y$5=$C367,$E$5+$E367,0),2),2)*10&lt;=ROUND(Y$6+IF(Y$5=$C367,$E$5+$E367,0),2)),ROUND(AA366+Z367,2),MIN(ROUND(Y$6+IF(Y$5=$C367,$E$5+$E367,0),2),ROUND(AA366+Z367,2))),0)</f>
        <v>0</v>
      </c>
      <c r="Z367" s="24">
        <f>IF(AA366&gt;0,ROUND(ROUND(AA366*100,0)*ROUND(Y$7*10000,0)/12000000,0)/100,0)</f>
        <v>0</v>
      </c>
      <c r="AA367" s="24">
        <f>IF(AA366&gt;0,ROUND(AA366+Z367-Y367,2),0)</f>
        <v>0</v>
      </c>
      <c r="AB367" s="24">
        <f>IF(AA366&gt;0,ROUND(AB366+ROUND(ROUND(AB366*100,0)*ROUND(Y$7*10000,0)/12000000,0)/100+0.02,2),0)</f>
        <v>0</v>
      </c>
      <c r="AC367" s="24">
        <f>IF(AE366&gt;0,IF(AND(ROUND(AE366+AD367-ROUND(AC$6+IF(AC$5=$C367,$E$5+$E367,0),2),2)&gt;0,ROUND(AE366+AD367-ROUND(AC$6+IF(AC$5=$C367,$E$5+$E367,0),2),2)&lt;=AF367,ROUND(AE366+AD367-ROUND(AC$6+IF(AC$5=$C367,$E$5+$E367,0),2),2)*10&lt;=ROUND(AC$6+IF(AC$5=$C367,$E$5+$E367,0),2)),ROUND(AE366+AD367,2),MIN(ROUND(AC$6+IF(AC$5=$C367,$E$5+$E367,0),2),ROUND(AE366+AD367,2))),0)</f>
        <v>0</v>
      </c>
      <c r="AD367" s="24">
        <f>IF(AE366&gt;0,ROUND(ROUND(AE366*100,0)*ROUND(AC$7*10000,0)/12000000,0)/100,0)</f>
        <v>0</v>
      </c>
      <c r="AE367" s="24">
        <f>IF(AE366&gt;0,ROUND(AE366+AD367-AC367,2),0)</f>
        <v>0</v>
      </c>
      <c r="AF367" s="24">
        <f>IF(AE366&gt;0,ROUND(AF366+ROUND(ROUND(AF366*100,0)*ROUND(AC$7*10000,0)/12000000,0)/100+0.02,2),0)</f>
        <v>0</v>
      </c>
      <c r="AG367" s="24">
        <f>IF(AI366&gt;0,IF(AND(ROUND(AI366+AH367-ROUND(AG$6+IF(AG$5=$C367,$E$5+$E367,0),2),2)&gt;0,ROUND(AI366+AH367-ROUND(AG$6+IF(AG$5=$C367,$E$5+$E367,0),2),2)&lt;=AJ367,ROUND(AI366+AH367-ROUND(AG$6+IF(AG$5=$C367,$E$5+$E367,0),2),2)*10&lt;=ROUND(AG$6+IF(AG$5=$C367,$E$5+$E367,0),2)),ROUND(AI366+AH367,2),MIN(ROUND(AG$6+IF(AG$5=$C367,$E$5+$E367,0),2),ROUND(AI366+AH367,2))),0)</f>
        <v>0</v>
      </c>
      <c r="AH367" s="24">
        <f>IF(AI366&gt;0,ROUND(ROUND(AI366*100,0)*ROUND(AG$7*10000,0)/12000000,0)/100,0)</f>
        <v>0</v>
      </c>
      <c r="AI367" s="24">
        <f>IF(AI366&gt;0,ROUND(AI366+AH367-AG367,2),0)</f>
        <v>0</v>
      </c>
      <c r="AJ367" s="24">
        <f>IF(AI366&gt;0,ROUND(AJ366+ROUND(ROUND(AJ366*100,0)*ROUND(AG$7*10000,0)/12000000,0)/100+0.02,2),0)</f>
        <v>0</v>
      </c>
      <c r="AK367" s="24">
        <f>IF(AM366&gt;0,IF(AND(ROUND(AM366+AL367-ROUND(AK$6+IF(AK$5=$C367,$E$5+$E367,0),2),2)&gt;0,ROUND(AM366+AL367-ROUND(AK$6+IF(AK$5=$C367,$E$5+$E367,0),2),2)&lt;=AN367,ROUND(AM366+AL367-ROUND(AK$6+IF(AK$5=$C367,$E$5+$E367,0),2),2)*10&lt;=ROUND(AK$6+IF(AK$5=$C367,$E$5+$E367,0),2)),ROUND(AM366+AL367,2),MIN(ROUND(AK$6+IF(AK$5=$C367,$E$5+$E367,0),2),ROUND(AM366+AL367,2))),0)</f>
        <v>0</v>
      </c>
      <c r="AL367" s="24">
        <f>IF(AM366&gt;0,ROUND(ROUND(AM366*100,0)*ROUND(AK$7*10000,0)/12000000,0)/100,0)</f>
        <v>0</v>
      </c>
      <c r="AM367" s="24">
        <f>IF(AM366&gt;0,ROUND(AM366+AL367-AK367,2),0)</f>
        <v>0</v>
      </c>
      <c r="AN367" s="24">
        <f>IF(AM366&gt;0,ROUND(AN366+ROUND(ROUND(AN366*100,0)*ROUND(AK$7*10000,0)/12000000,0)/100+0.02,2),0)</f>
        <v>0</v>
      </c>
      <c r="AO367" s="24">
        <f>IF(AQ366&gt;0,IF(AND(ROUND(AQ366+AP367-ROUND(AO$6+IF(AO$5=$C367,$E$5+$E367,0),2),2)&gt;0,ROUND(AQ366+AP367-ROUND(AO$6+IF(AO$5=$C367,$E$5+$E367,0),2),2)&lt;=AR367,ROUND(AQ366+AP367-ROUND(AO$6+IF(AO$5=$C367,$E$5+$E367,0),2),2)*10&lt;=ROUND(AO$6+IF(AO$5=$C367,$E$5+$E367,0),2)),ROUND(AQ366+AP367,2),MIN(ROUND(AO$6+IF(AO$5=$C367,$E$5+$E367,0),2),ROUND(AQ366+AP367,2))),0)</f>
        <v>0</v>
      </c>
      <c r="AP367" s="24">
        <f>IF(AQ366&gt;0,ROUND(ROUND(AQ366*100,0)*ROUND(AO$7*10000,0)/12000000,0)/100,0)</f>
        <v>0</v>
      </c>
      <c r="AQ367" s="24">
        <f>IF(AQ366&gt;0,ROUND(AQ366+AP367-AO367,2),0)</f>
        <v>0</v>
      </c>
      <c r="AR367" s="24">
        <f>IF(AQ366&gt;0,ROUND(AR366+ROUND(ROUND(AR366*100,0)*ROUND(AO$7*10000,0)/12000000,0)/100+0.02,2),0)</f>
        <v>0</v>
      </c>
      <c r="AS367" s="24">
        <f>IF(AU366&gt;0,IF(AND(ROUND(AU366+AT367-ROUND(AS$6+IF(AS$5=$C367,$E$5+$E367,0),2),2)&gt;0,ROUND(AU366+AT367-ROUND(AS$6+IF(AS$5=$C367,$E$5+$E367,0),2),2)&lt;=AV367,ROUND(AU366+AT367-ROUND(AS$6+IF(AS$5=$C367,$E$5+$E367,0),2),2)*10&lt;=ROUND(AS$6+IF(AS$5=$C367,$E$5+$E367,0),2)),ROUND(AU366+AT367,2),MIN(ROUND(AS$6+IF(AS$5=$C367,$E$5+$E367,0),2),ROUND(AU366+AT367,2))),0)</f>
        <v>0</v>
      </c>
      <c r="AT367" s="24">
        <f>IF(AU366&gt;0,ROUND(ROUND(AU366*100,0)*ROUND(AS$7*10000,0)/12000000,0)/100,0)</f>
        <v>0</v>
      </c>
      <c r="AU367" s="24">
        <f>IF(AU366&gt;0,ROUND(AU366+AT367-AS367,2),0)</f>
        <v>0</v>
      </c>
      <c r="AV367" s="24">
        <f>IF(AU366&gt;0,ROUND(AV366+ROUND(ROUND(AV366*100,0)*ROUND(AS$7*10000,0)/12000000,0)/100+0.02,2),0)</f>
        <v>0</v>
      </c>
    </row>
    <row r="368" spans="1:48" x14ac:dyDescent="0.25">
      <c r="A368" s="17" t="str">
        <f>IF(F368&gt;0,358,"")</f>
        <v/>
      </c>
      <c r="B368" s="18" t="str">
        <f>IF(F368&gt;0,EDATE($E$6,358),"")</f>
        <v/>
      </c>
      <c r="C368" s="21">
        <f>IF(H367&gt;0,MIN(IF(K367&gt;0,I$5,99),IF(O367&gt;0,M$5,99),IF(S367&gt;0,Q$5,99),IF(W367&gt;0,U$5,99),IF(AA367&gt;0,Y$5,99),IF(AE367&gt;0,AC$5,99),IF(AI367&gt;0,AG$5,99),IF(AM367&gt;0,AK$5,99),IF(AQ367&gt;0,AO$5,99),IF(AU367&gt;0,AS$5,99)),0)</f>
        <v>0</v>
      </c>
      <c r="D368" t="str">
        <f>IF(C368&gt;0,INDEX($I$4:$AV$4,1,MATCH(C368,$I$5:$AV$5,0)),"")</f>
        <v/>
      </c>
      <c r="E368" s="24">
        <f>ROUND(IF(AND(I$8&gt;0,K367=0),I$6,0)+IF(AND(M$8&gt;0,O367=0),M$6,0)+IF(AND(Q$8&gt;0,S367=0),Q$6,0)+IF(AND(U$8&gt;0,W367=0),U$6,0)+IF(AND(Y$8&gt;0,AA367=0),Y$6,0)+IF(AND(AC$8&gt;0,AE367=0),AC$6,0)+IF(AND(AG$8&gt;0,AI367=0),AG$6,0)+IF(AND(AK$8&gt;0,AM367=0),AK$6,0)+IF(AND(AO$8&gt;0,AQ367=0),AO$6,0)+IF(AND(AS$8&gt;0,AU367=0),AS$6,0),2)</f>
        <v>325</v>
      </c>
      <c r="F368" s="24">
        <f>ROUND(I368+M368+Q368+U368+Y368+AC368+AG368+AK368+AO368+AS368,2)</f>
        <v>0</v>
      </c>
      <c r="G368" s="24">
        <f>ROUND(J368+N368+R368+V368+Z368+AD368+AH368+AL368+AP368+AT368,2)</f>
        <v>0</v>
      </c>
      <c r="H368" s="24">
        <f>ROUND(K368+O368+S368+W368+AA368+AE368+AI368+AM368+AQ368+AU368,2)</f>
        <v>0</v>
      </c>
      <c r="I368" s="24">
        <f>IF(K367&gt;0,IF(AND(ROUND(K367+J368-ROUND(I$6+IF(I$5=$C368,$E$5+$E368,0),2),2)&gt;0,ROUND(K367+J368-ROUND(I$6+IF(I$5=$C368,$E$5+$E368,0),2),2)&lt;=L368,ROUND(K367+J368-ROUND(I$6+IF(I$5=$C368,$E$5+$E368,0),2),2)*10&lt;=ROUND(I$6+IF(I$5=$C368,$E$5+$E368,0),2)),ROUND(K367+J368,2),MIN(ROUND(I$6+IF(I$5=$C368,$E$5+$E368,0),2),ROUND(K367+J368,2))),0)</f>
        <v>0</v>
      </c>
      <c r="J368" s="24">
        <f>IF(K367&gt;0,ROUND(ROUND(K367*100,0)*ROUND(I$7*10000,0)/12000000,0)/100,0)</f>
        <v>0</v>
      </c>
      <c r="K368" s="24">
        <f>IF(K367&gt;0,ROUND(K367+J368-I368,2),0)</f>
        <v>0</v>
      </c>
      <c r="L368" s="24">
        <f>IF(K367&gt;0,ROUND(L367+ROUND(ROUND(L367*100,0)*ROUND(I$7*10000,0)/12000000,0)/100+0.02,2),0)</f>
        <v>0</v>
      </c>
      <c r="M368" s="24">
        <f>IF(O367&gt;0,IF(AND(ROUND(O367+N368-ROUND(M$6+IF(M$5=$C368,$E$5+$E368,0),2),2)&gt;0,ROUND(O367+N368-ROUND(M$6+IF(M$5=$C368,$E$5+$E368,0),2),2)&lt;=P368,ROUND(O367+N368-ROUND(M$6+IF(M$5=$C368,$E$5+$E368,0),2),2)*10&lt;=ROUND(M$6+IF(M$5=$C368,$E$5+$E368,0),2)),ROUND(O367+N368,2),MIN(ROUND(M$6+IF(M$5=$C368,$E$5+$E368,0),2),ROUND(O367+N368,2))),0)</f>
        <v>0</v>
      </c>
      <c r="N368" s="24">
        <f>IF(O367&gt;0,ROUND(ROUND(O367*100,0)*ROUND(M$7*10000,0)/12000000,0)/100,0)</f>
        <v>0</v>
      </c>
      <c r="O368" s="24">
        <f>IF(O367&gt;0,ROUND(O367+N368-M368,2),0)</f>
        <v>0</v>
      </c>
      <c r="P368" s="24">
        <f>IF(O367&gt;0,ROUND(P367+ROUND(ROUND(P367*100,0)*ROUND(M$7*10000,0)/12000000,0)/100+0.02,2),0)</f>
        <v>0</v>
      </c>
      <c r="Q368" s="24">
        <f>IF(S367&gt;0,IF(AND(ROUND(S367+R368-ROUND(Q$6+IF(Q$5=$C368,$E$5+$E368,0),2),2)&gt;0,ROUND(S367+R368-ROUND(Q$6+IF(Q$5=$C368,$E$5+$E368,0),2),2)&lt;=T368,ROUND(S367+R368-ROUND(Q$6+IF(Q$5=$C368,$E$5+$E368,0),2),2)*10&lt;=ROUND(Q$6+IF(Q$5=$C368,$E$5+$E368,0),2)),ROUND(S367+R368,2),MIN(ROUND(Q$6+IF(Q$5=$C368,$E$5+$E368,0),2),ROUND(S367+R368,2))),0)</f>
        <v>0</v>
      </c>
      <c r="R368" s="24">
        <f>IF(S367&gt;0,ROUND(ROUND(S367*100,0)*ROUND(Q$7*10000,0)/12000000,0)/100,0)</f>
        <v>0</v>
      </c>
      <c r="S368" s="24">
        <f>IF(S367&gt;0,ROUND(S367+R368-Q368,2),0)</f>
        <v>0</v>
      </c>
      <c r="T368" s="24">
        <f>IF(S367&gt;0,ROUND(T367+ROUND(ROUND(T367*100,0)*ROUND(Q$7*10000,0)/12000000,0)/100+0.02,2),0)</f>
        <v>0</v>
      </c>
      <c r="U368" s="24">
        <f>IF(W367&gt;0,IF(AND(ROUND(W367+V368-ROUND(U$6+IF(U$5=$C368,$E$5+$E368,0),2),2)&gt;0,ROUND(W367+V368-ROUND(U$6+IF(U$5=$C368,$E$5+$E368,0),2),2)&lt;=X368,ROUND(W367+V368-ROUND(U$6+IF(U$5=$C368,$E$5+$E368,0),2),2)*10&lt;=ROUND(U$6+IF(U$5=$C368,$E$5+$E368,0),2)),ROUND(W367+V368,2),MIN(ROUND(U$6+IF(U$5=$C368,$E$5+$E368,0),2),ROUND(W367+V368,2))),0)</f>
        <v>0</v>
      </c>
      <c r="V368" s="24">
        <f>IF(W367&gt;0,ROUND(ROUND(W367*100,0)*ROUND(U$7*10000,0)/12000000,0)/100,0)</f>
        <v>0</v>
      </c>
      <c r="W368" s="24">
        <f>IF(W367&gt;0,ROUND(W367+V368-U368,2),0)</f>
        <v>0</v>
      </c>
      <c r="X368" s="24">
        <f>IF(W367&gt;0,ROUND(X367+ROUND(ROUND(X367*100,0)*ROUND(U$7*10000,0)/12000000,0)/100+0.02,2),0)</f>
        <v>0</v>
      </c>
      <c r="Y368" s="24">
        <f>IF(AA367&gt;0,IF(AND(ROUND(AA367+Z368-ROUND(Y$6+IF(Y$5=$C368,$E$5+$E368,0),2),2)&gt;0,ROUND(AA367+Z368-ROUND(Y$6+IF(Y$5=$C368,$E$5+$E368,0),2),2)&lt;=AB368,ROUND(AA367+Z368-ROUND(Y$6+IF(Y$5=$C368,$E$5+$E368,0),2),2)*10&lt;=ROUND(Y$6+IF(Y$5=$C368,$E$5+$E368,0),2)),ROUND(AA367+Z368,2),MIN(ROUND(Y$6+IF(Y$5=$C368,$E$5+$E368,0),2),ROUND(AA367+Z368,2))),0)</f>
        <v>0</v>
      </c>
      <c r="Z368" s="24">
        <f>IF(AA367&gt;0,ROUND(ROUND(AA367*100,0)*ROUND(Y$7*10000,0)/12000000,0)/100,0)</f>
        <v>0</v>
      </c>
      <c r="AA368" s="24">
        <f>IF(AA367&gt;0,ROUND(AA367+Z368-Y368,2),0)</f>
        <v>0</v>
      </c>
      <c r="AB368" s="24">
        <f>IF(AA367&gt;0,ROUND(AB367+ROUND(ROUND(AB367*100,0)*ROUND(Y$7*10000,0)/12000000,0)/100+0.02,2),0)</f>
        <v>0</v>
      </c>
      <c r="AC368" s="24">
        <f>IF(AE367&gt;0,IF(AND(ROUND(AE367+AD368-ROUND(AC$6+IF(AC$5=$C368,$E$5+$E368,0),2),2)&gt;0,ROUND(AE367+AD368-ROUND(AC$6+IF(AC$5=$C368,$E$5+$E368,0),2),2)&lt;=AF368,ROUND(AE367+AD368-ROUND(AC$6+IF(AC$5=$C368,$E$5+$E368,0),2),2)*10&lt;=ROUND(AC$6+IF(AC$5=$C368,$E$5+$E368,0),2)),ROUND(AE367+AD368,2),MIN(ROUND(AC$6+IF(AC$5=$C368,$E$5+$E368,0),2),ROUND(AE367+AD368,2))),0)</f>
        <v>0</v>
      </c>
      <c r="AD368" s="24">
        <f>IF(AE367&gt;0,ROUND(ROUND(AE367*100,0)*ROUND(AC$7*10000,0)/12000000,0)/100,0)</f>
        <v>0</v>
      </c>
      <c r="AE368" s="24">
        <f>IF(AE367&gt;0,ROUND(AE367+AD368-AC368,2),0)</f>
        <v>0</v>
      </c>
      <c r="AF368" s="24">
        <f>IF(AE367&gt;0,ROUND(AF367+ROUND(ROUND(AF367*100,0)*ROUND(AC$7*10000,0)/12000000,0)/100+0.02,2),0)</f>
        <v>0</v>
      </c>
      <c r="AG368" s="24">
        <f>IF(AI367&gt;0,IF(AND(ROUND(AI367+AH368-ROUND(AG$6+IF(AG$5=$C368,$E$5+$E368,0),2),2)&gt;0,ROUND(AI367+AH368-ROUND(AG$6+IF(AG$5=$C368,$E$5+$E368,0),2),2)&lt;=AJ368,ROUND(AI367+AH368-ROUND(AG$6+IF(AG$5=$C368,$E$5+$E368,0),2),2)*10&lt;=ROUND(AG$6+IF(AG$5=$C368,$E$5+$E368,0),2)),ROUND(AI367+AH368,2),MIN(ROUND(AG$6+IF(AG$5=$C368,$E$5+$E368,0),2),ROUND(AI367+AH368,2))),0)</f>
        <v>0</v>
      </c>
      <c r="AH368" s="24">
        <f>IF(AI367&gt;0,ROUND(ROUND(AI367*100,0)*ROUND(AG$7*10000,0)/12000000,0)/100,0)</f>
        <v>0</v>
      </c>
      <c r="AI368" s="24">
        <f>IF(AI367&gt;0,ROUND(AI367+AH368-AG368,2),0)</f>
        <v>0</v>
      </c>
      <c r="AJ368" s="24">
        <f>IF(AI367&gt;0,ROUND(AJ367+ROUND(ROUND(AJ367*100,0)*ROUND(AG$7*10000,0)/12000000,0)/100+0.02,2),0)</f>
        <v>0</v>
      </c>
      <c r="AK368" s="24">
        <f>IF(AM367&gt;0,IF(AND(ROUND(AM367+AL368-ROUND(AK$6+IF(AK$5=$C368,$E$5+$E368,0),2),2)&gt;0,ROUND(AM367+AL368-ROUND(AK$6+IF(AK$5=$C368,$E$5+$E368,0),2),2)&lt;=AN368,ROUND(AM367+AL368-ROUND(AK$6+IF(AK$5=$C368,$E$5+$E368,0),2),2)*10&lt;=ROUND(AK$6+IF(AK$5=$C368,$E$5+$E368,0),2)),ROUND(AM367+AL368,2),MIN(ROUND(AK$6+IF(AK$5=$C368,$E$5+$E368,0),2),ROUND(AM367+AL368,2))),0)</f>
        <v>0</v>
      </c>
      <c r="AL368" s="24">
        <f>IF(AM367&gt;0,ROUND(ROUND(AM367*100,0)*ROUND(AK$7*10000,0)/12000000,0)/100,0)</f>
        <v>0</v>
      </c>
      <c r="AM368" s="24">
        <f>IF(AM367&gt;0,ROUND(AM367+AL368-AK368,2),0)</f>
        <v>0</v>
      </c>
      <c r="AN368" s="24">
        <f>IF(AM367&gt;0,ROUND(AN367+ROUND(ROUND(AN367*100,0)*ROUND(AK$7*10000,0)/12000000,0)/100+0.02,2),0)</f>
        <v>0</v>
      </c>
      <c r="AO368" s="24">
        <f>IF(AQ367&gt;0,IF(AND(ROUND(AQ367+AP368-ROUND(AO$6+IF(AO$5=$C368,$E$5+$E368,0),2),2)&gt;0,ROUND(AQ367+AP368-ROUND(AO$6+IF(AO$5=$C368,$E$5+$E368,0),2),2)&lt;=AR368,ROUND(AQ367+AP368-ROUND(AO$6+IF(AO$5=$C368,$E$5+$E368,0),2),2)*10&lt;=ROUND(AO$6+IF(AO$5=$C368,$E$5+$E368,0),2)),ROUND(AQ367+AP368,2),MIN(ROUND(AO$6+IF(AO$5=$C368,$E$5+$E368,0),2),ROUND(AQ367+AP368,2))),0)</f>
        <v>0</v>
      </c>
      <c r="AP368" s="24">
        <f>IF(AQ367&gt;0,ROUND(ROUND(AQ367*100,0)*ROUND(AO$7*10000,0)/12000000,0)/100,0)</f>
        <v>0</v>
      </c>
      <c r="AQ368" s="24">
        <f>IF(AQ367&gt;0,ROUND(AQ367+AP368-AO368,2),0)</f>
        <v>0</v>
      </c>
      <c r="AR368" s="24">
        <f>IF(AQ367&gt;0,ROUND(AR367+ROUND(ROUND(AR367*100,0)*ROUND(AO$7*10000,0)/12000000,0)/100+0.02,2),0)</f>
        <v>0</v>
      </c>
      <c r="AS368" s="24">
        <f>IF(AU367&gt;0,IF(AND(ROUND(AU367+AT368-ROUND(AS$6+IF(AS$5=$C368,$E$5+$E368,0),2),2)&gt;0,ROUND(AU367+AT368-ROUND(AS$6+IF(AS$5=$C368,$E$5+$E368,0),2),2)&lt;=AV368,ROUND(AU367+AT368-ROUND(AS$6+IF(AS$5=$C368,$E$5+$E368,0),2),2)*10&lt;=ROUND(AS$6+IF(AS$5=$C368,$E$5+$E368,0),2)),ROUND(AU367+AT368,2),MIN(ROUND(AS$6+IF(AS$5=$C368,$E$5+$E368,0),2),ROUND(AU367+AT368,2))),0)</f>
        <v>0</v>
      </c>
      <c r="AT368" s="24">
        <f>IF(AU367&gt;0,ROUND(ROUND(AU367*100,0)*ROUND(AS$7*10000,0)/12000000,0)/100,0)</f>
        <v>0</v>
      </c>
      <c r="AU368" s="24">
        <f>IF(AU367&gt;0,ROUND(AU367+AT368-AS368,2),0)</f>
        <v>0</v>
      </c>
      <c r="AV368" s="24">
        <f>IF(AU367&gt;0,ROUND(AV367+ROUND(ROUND(AV367*100,0)*ROUND(AS$7*10000,0)/12000000,0)/100+0.02,2),0)</f>
        <v>0</v>
      </c>
    </row>
    <row r="369" spans="1:48" x14ac:dyDescent="0.25">
      <c r="A369" s="17" t="str">
        <f>IF(F369&gt;0,359,"")</f>
        <v/>
      </c>
      <c r="B369" s="18" t="str">
        <f>IF(F369&gt;0,EDATE($E$6,359),"")</f>
        <v/>
      </c>
      <c r="C369" s="21">
        <f>IF(H368&gt;0,MIN(IF(K368&gt;0,I$5,99),IF(O368&gt;0,M$5,99),IF(S368&gt;0,Q$5,99),IF(W368&gt;0,U$5,99),IF(AA368&gt;0,Y$5,99),IF(AE368&gt;0,AC$5,99),IF(AI368&gt;0,AG$5,99),IF(AM368&gt;0,AK$5,99),IF(AQ368&gt;0,AO$5,99),IF(AU368&gt;0,AS$5,99)),0)</f>
        <v>0</v>
      </c>
      <c r="D369" t="str">
        <f>IF(C369&gt;0,INDEX($I$4:$AV$4,1,MATCH(C369,$I$5:$AV$5,0)),"")</f>
        <v/>
      </c>
      <c r="E369" s="24">
        <f>ROUND(IF(AND(I$8&gt;0,K368=0),I$6,0)+IF(AND(M$8&gt;0,O368=0),M$6,0)+IF(AND(Q$8&gt;0,S368=0),Q$6,0)+IF(AND(U$8&gt;0,W368=0),U$6,0)+IF(AND(Y$8&gt;0,AA368=0),Y$6,0)+IF(AND(AC$8&gt;0,AE368=0),AC$6,0)+IF(AND(AG$8&gt;0,AI368=0),AG$6,0)+IF(AND(AK$8&gt;0,AM368=0),AK$6,0)+IF(AND(AO$8&gt;0,AQ368=0),AO$6,0)+IF(AND(AS$8&gt;0,AU368=0),AS$6,0),2)</f>
        <v>325</v>
      </c>
      <c r="F369" s="24">
        <f>ROUND(I369+M369+Q369+U369+Y369+AC369+AG369+AK369+AO369+AS369,2)</f>
        <v>0</v>
      </c>
      <c r="G369" s="24">
        <f>ROUND(J369+N369+R369+V369+Z369+AD369+AH369+AL369+AP369+AT369,2)</f>
        <v>0</v>
      </c>
      <c r="H369" s="24">
        <f>ROUND(K369+O369+S369+W369+AA369+AE369+AI369+AM369+AQ369+AU369,2)</f>
        <v>0</v>
      </c>
      <c r="I369" s="24">
        <f>IF(K368&gt;0,IF(AND(ROUND(K368+J369-ROUND(I$6+IF(I$5=$C369,$E$5+$E369,0),2),2)&gt;0,ROUND(K368+J369-ROUND(I$6+IF(I$5=$C369,$E$5+$E369,0),2),2)&lt;=L369,ROUND(K368+J369-ROUND(I$6+IF(I$5=$C369,$E$5+$E369,0),2),2)*10&lt;=ROUND(I$6+IF(I$5=$C369,$E$5+$E369,0),2)),ROUND(K368+J369,2),MIN(ROUND(I$6+IF(I$5=$C369,$E$5+$E369,0),2),ROUND(K368+J369,2))),0)</f>
        <v>0</v>
      </c>
      <c r="J369" s="24">
        <f>IF(K368&gt;0,ROUND(ROUND(K368*100,0)*ROUND(I$7*10000,0)/12000000,0)/100,0)</f>
        <v>0</v>
      </c>
      <c r="K369" s="24">
        <f>IF(K368&gt;0,ROUND(K368+J369-I369,2),0)</f>
        <v>0</v>
      </c>
      <c r="L369" s="24">
        <f>IF(K368&gt;0,ROUND(L368+ROUND(ROUND(L368*100,0)*ROUND(I$7*10000,0)/12000000,0)/100+0.02,2),0)</f>
        <v>0</v>
      </c>
      <c r="M369" s="24">
        <f>IF(O368&gt;0,IF(AND(ROUND(O368+N369-ROUND(M$6+IF(M$5=$C369,$E$5+$E369,0),2),2)&gt;0,ROUND(O368+N369-ROUND(M$6+IF(M$5=$C369,$E$5+$E369,0),2),2)&lt;=P369,ROUND(O368+N369-ROUND(M$6+IF(M$5=$C369,$E$5+$E369,0),2),2)*10&lt;=ROUND(M$6+IF(M$5=$C369,$E$5+$E369,0),2)),ROUND(O368+N369,2),MIN(ROUND(M$6+IF(M$5=$C369,$E$5+$E369,0),2),ROUND(O368+N369,2))),0)</f>
        <v>0</v>
      </c>
      <c r="N369" s="24">
        <f>IF(O368&gt;0,ROUND(ROUND(O368*100,0)*ROUND(M$7*10000,0)/12000000,0)/100,0)</f>
        <v>0</v>
      </c>
      <c r="O369" s="24">
        <f>IF(O368&gt;0,ROUND(O368+N369-M369,2),0)</f>
        <v>0</v>
      </c>
      <c r="P369" s="24">
        <f>IF(O368&gt;0,ROUND(P368+ROUND(ROUND(P368*100,0)*ROUND(M$7*10000,0)/12000000,0)/100+0.02,2),0)</f>
        <v>0</v>
      </c>
      <c r="Q369" s="24">
        <f>IF(S368&gt;0,IF(AND(ROUND(S368+R369-ROUND(Q$6+IF(Q$5=$C369,$E$5+$E369,0),2),2)&gt;0,ROUND(S368+R369-ROUND(Q$6+IF(Q$5=$C369,$E$5+$E369,0),2),2)&lt;=T369,ROUND(S368+R369-ROUND(Q$6+IF(Q$5=$C369,$E$5+$E369,0),2),2)*10&lt;=ROUND(Q$6+IF(Q$5=$C369,$E$5+$E369,0),2)),ROUND(S368+R369,2),MIN(ROUND(Q$6+IF(Q$5=$C369,$E$5+$E369,0),2),ROUND(S368+R369,2))),0)</f>
        <v>0</v>
      </c>
      <c r="R369" s="24">
        <f>IF(S368&gt;0,ROUND(ROUND(S368*100,0)*ROUND(Q$7*10000,0)/12000000,0)/100,0)</f>
        <v>0</v>
      </c>
      <c r="S369" s="24">
        <f>IF(S368&gt;0,ROUND(S368+R369-Q369,2),0)</f>
        <v>0</v>
      </c>
      <c r="T369" s="24">
        <f>IF(S368&gt;0,ROUND(T368+ROUND(ROUND(T368*100,0)*ROUND(Q$7*10000,0)/12000000,0)/100+0.02,2),0)</f>
        <v>0</v>
      </c>
      <c r="U369" s="24">
        <f>IF(W368&gt;0,IF(AND(ROUND(W368+V369-ROUND(U$6+IF(U$5=$C369,$E$5+$E369,0),2),2)&gt;0,ROUND(W368+V369-ROUND(U$6+IF(U$5=$C369,$E$5+$E369,0),2),2)&lt;=X369,ROUND(W368+V369-ROUND(U$6+IF(U$5=$C369,$E$5+$E369,0),2),2)*10&lt;=ROUND(U$6+IF(U$5=$C369,$E$5+$E369,0),2)),ROUND(W368+V369,2),MIN(ROUND(U$6+IF(U$5=$C369,$E$5+$E369,0),2),ROUND(W368+V369,2))),0)</f>
        <v>0</v>
      </c>
      <c r="V369" s="24">
        <f>IF(W368&gt;0,ROUND(ROUND(W368*100,0)*ROUND(U$7*10000,0)/12000000,0)/100,0)</f>
        <v>0</v>
      </c>
      <c r="W369" s="24">
        <f>IF(W368&gt;0,ROUND(W368+V369-U369,2),0)</f>
        <v>0</v>
      </c>
      <c r="X369" s="24">
        <f>IF(W368&gt;0,ROUND(X368+ROUND(ROUND(X368*100,0)*ROUND(U$7*10000,0)/12000000,0)/100+0.02,2),0)</f>
        <v>0</v>
      </c>
      <c r="Y369" s="24">
        <f>IF(AA368&gt;0,IF(AND(ROUND(AA368+Z369-ROUND(Y$6+IF(Y$5=$C369,$E$5+$E369,0),2),2)&gt;0,ROUND(AA368+Z369-ROUND(Y$6+IF(Y$5=$C369,$E$5+$E369,0),2),2)&lt;=AB369,ROUND(AA368+Z369-ROUND(Y$6+IF(Y$5=$C369,$E$5+$E369,0),2),2)*10&lt;=ROUND(Y$6+IF(Y$5=$C369,$E$5+$E369,0),2)),ROUND(AA368+Z369,2),MIN(ROUND(Y$6+IF(Y$5=$C369,$E$5+$E369,0),2),ROUND(AA368+Z369,2))),0)</f>
        <v>0</v>
      </c>
      <c r="Z369" s="24">
        <f>IF(AA368&gt;0,ROUND(ROUND(AA368*100,0)*ROUND(Y$7*10000,0)/12000000,0)/100,0)</f>
        <v>0</v>
      </c>
      <c r="AA369" s="24">
        <f>IF(AA368&gt;0,ROUND(AA368+Z369-Y369,2),0)</f>
        <v>0</v>
      </c>
      <c r="AB369" s="24">
        <f>IF(AA368&gt;0,ROUND(AB368+ROUND(ROUND(AB368*100,0)*ROUND(Y$7*10000,0)/12000000,0)/100+0.02,2),0)</f>
        <v>0</v>
      </c>
      <c r="AC369" s="24">
        <f>IF(AE368&gt;0,IF(AND(ROUND(AE368+AD369-ROUND(AC$6+IF(AC$5=$C369,$E$5+$E369,0),2),2)&gt;0,ROUND(AE368+AD369-ROUND(AC$6+IF(AC$5=$C369,$E$5+$E369,0),2),2)&lt;=AF369,ROUND(AE368+AD369-ROUND(AC$6+IF(AC$5=$C369,$E$5+$E369,0),2),2)*10&lt;=ROUND(AC$6+IF(AC$5=$C369,$E$5+$E369,0),2)),ROUND(AE368+AD369,2),MIN(ROUND(AC$6+IF(AC$5=$C369,$E$5+$E369,0),2),ROUND(AE368+AD369,2))),0)</f>
        <v>0</v>
      </c>
      <c r="AD369" s="24">
        <f>IF(AE368&gt;0,ROUND(ROUND(AE368*100,0)*ROUND(AC$7*10000,0)/12000000,0)/100,0)</f>
        <v>0</v>
      </c>
      <c r="AE369" s="24">
        <f>IF(AE368&gt;0,ROUND(AE368+AD369-AC369,2),0)</f>
        <v>0</v>
      </c>
      <c r="AF369" s="24">
        <f>IF(AE368&gt;0,ROUND(AF368+ROUND(ROUND(AF368*100,0)*ROUND(AC$7*10000,0)/12000000,0)/100+0.02,2),0)</f>
        <v>0</v>
      </c>
      <c r="AG369" s="24">
        <f>IF(AI368&gt;0,IF(AND(ROUND(AI368+AH369-ROUND(AG$6+IF(AG$5=$C369,$E$5+$E369,0),2),2)&gt;0,ROUND(AI368+AH369-ROUND(AG$6+IF(AG$5=$C369,$E$5+$E369,0),2),2)&lt;=AJ369,ROUND(AI368+AH369-ROUND(AG$6+IF(AG$5=$C369,$E$5+$E369,0),2),2)*10&lt;=ROUND(AG$6+IF(AG$5=$C369,$E$5+$E369,0),2)),ROUND(AI368+AH369,2),MIN(ROUND(AG$6+IF(AG$5=$C369,$E$5+$E369,0),2),ROUND(AI368+AH369,2))),0)</f>
        <v>0</v>
      </c>
      <c r="AH369" s="24">
        <f>IF(AI368&gt;0,ROUND(ROUND(AI368*100,0)*ROUND(AG$7*10000,0)/12000000,0)/100,0)</f>
        <v>0</v>
      </c>
      <c r="AI369" s="24">
        <f>IF(AI368&gt;0,ROUND(AI368+AH369-AG369,2),0)</f>
        <v>0</v>
      </c>
      <c r="AJ369" s="24">
        <f>IF(AI368&gt;0,ROUND(AJ368+ROUND(ROUND(AJ368*100,0)*ROUND(AG$7*10000,0)/12000000,0)/100+0.02,2),0)</f>
        <v>0</v>
      </c>
      <c r="AK369" s="24">
        <f>IF(AM368&gt;0,IF(AND(ROUND(AM368+AL369-ROUND(AK$6+IF(AK$5=$C369,$E$5+$E369,0),2),2)&gt;0,ROUND(AM368+AL369-ROUND(AK$6+IF(AK$5=$C369,$E$5+$E369,0),2),2)&lt;=AN369,ROUND(AM368+AL369-ROUND(AK$6+IF(AK$5=$C369,$E$5+$E369,0),2),2)*10&lt;=ROUND(AK$6+IF(AK$5=$C369,$E$5+$E369,0),2)),ROUND(AM368+AL369,2),MIN(ROUND(AK$6+IF(AK$5=$C369,$E$5+$E369,0),2),ROUND(AM368+AL369,2))),0)</f>
        <v>0</v>
      </c>
      <c r="AL369" s="24">
        <f>IF(AM368&gt;0,ROUND(ROUND(AM368*100,0)*ROUND(AK$7*10000,0)/12000000,0)/100,0)</f>
        <v>0</v>
      </c>
      <c r="AM369" s="24">
        <f>IF(AM368&gt;0,ROUND(AM368+AL369-AK369,2),0)</f>
        <v>0</v>
      </c>
      <c r="AN369" s="24">
        <f>IF(AM368&gt;0,ROUND(AN368+ROUND(ROUND(AN368*100,0)*ROUND(AK$7*10000,0)/12000000,0)/100+0.02,2),0)</f>
        <v>0</v>
      </c>
      <c r="AO369" s="24">
        <f>IF(AQ368&gt;0,IF(AND(ROUND(AQ368+AP369-ROUND(AO$6+IF(AO$5=$C369,$E$5+$E369,0),2),2)&gt;0,ROUND(AQ368+AP369-ROUND(AO$6+IF(AO$5=$C369,$E$5+$E369,0),2),2)&lt;=AR369,ROUND(AQ368+AP369-ROUND(AO$6+IF(AO$5=$C369,$E$5+$E369,0),2),2)*10&lt;=ROUND(AO$6+IF(AO$5=$C369,$E$5+$E369,0),2)),ROUND(AQ368+AP369,2),MIN(ROUND(AO$6+IF(AO$5=$C369,$E$5+$E369,0),2),ROUND(AQ368+AP369,2))),0)</f>
        <v>0</v>
      </c>
      <c r="AP369" s="24">
        <f>IF(AQ368&gt;0,ROUND(ROUND(AQ368*100,0)*ROUND(AO$7*10000,0)/12000000,0)/100,0)</f>
        <v>0</v>
      </c>
      <c r="AQ369" s="24">
        <f>IF(AQ368&gt;0,ROUND(AQ368+AP369-AO369,2),0)</f>
        <v>0</v>
      </c>
      <c r="AR369" s="24">
        <f>IF(AQ368&gt;0,ROUND(AR368+ROUND(ROUND(AR368*100,0)*ROUND(AO$7*10000,0)/12000000,0)/100+0.02,2),0)</f>
        <v>0</v>
      </c>
      <c r="AS369" s="24">
        <f>IF(AU368&gt;0,IF(AND(ROUND(AU368+AT369-ROUND(AS$6+IF(AS$5=$C369,$E$5+$E369,0),2),2)&gt;0,ROUND(AU368+AT369-ROUND(AS$6+IF(AS$5=$C369,$E$5+$E369,0),2),2)&lt;=AV369,ROUND(AU368+AT369-ROUND(AS$6+IF(AS$5=$C369,$E$5+$E369,0),2),2)*10&lt;=ROUND(AS$6+IF(AS$5=$C369,$E$5+$E369,0),2)),ROUND(AU368+AT369,2),MIN(ROUND(AS$6+IF(AS$5=$C369,$E$5+$E369,0),2),ROUND(AU368+AT369,2))),0)</f>
        <v>0</v>
      </c>
      <c r="AT369" s="24">
        <f>IF(AU368&gt;0,ROUND(ROUND(AU368*100,0)*ROUND(AS$7*10000,0)/12000000,0)/100,0)</f>
        <v>0</v>
      </c>
      <c r="AU369" s="24">
        <f>IF(AU368&gt;0,ROUND(AU368+AT369-AS369,2),0)</f>
        <v>0</v>
      </c>
      <c r="AV369" s="24">
        <f>IF(AU368&gt;0,ROUND(AV368+ROUND(ROUND(AV368*100,0)*ROUND(AS$7*10000,0)/12000000,0)/100+0.02,2),0)</f>
        <v>0</v>
      </c>
    </row>
    <row r="370" spans="1:48" x14ac:dyDescent="0.25">
      <c r="A370" s="17" t="str">
        <f>IF(F370&gt;0,360,"")</f>
        <v/>
      </c>
      <c r="B370" s="18" t="str">
        <f>IF(F370&gt;0,EDATE($E$6,360),"")</f>
        <v/>
      </c>
      <c r="C370" s="21">
        <f>IF(H369&gt;0,MIN(IF(K369&gt;0,I$5,99),IF(O369&gt;0,M$5,99),IF(S369&gt;0,Q$5,99),IF(W369&gt;0,U$5,99),IF(AA369&gt;0,Y$5,99),IF(AE369&gt;0,AC$5,99),IF(AI369&gt;0,AG$5,99),IF(AM369&gt;0,AK$5,99),IF(AQ369&gt;0,AO$5,99),IF(AU369&gt;0,AS$5,99)),0)</f>
        <v>0</v>
      </c>
      <c r="D370" t="str">
        <f>IF(C370&gt;0,INDEX($I$4:$AV$4,1,MATCH(C370,$I$5:$AV$5,0)),"")</f>
        <v/>
      </c>
      <c r="E370" s="24">
        <f>ROUND(IF(AND(I$8&gt;0,K369=0),I$6,0)+IF(AND(M$8&gt;0,O369=0),M$6,0)+IF(AND(Q$8&gt;0,S369=0),Q$6,0)+IF(AND(U$8&gt;0,W369=0),U$6,0)+IF(AND(Y$8&gt;0,AA369=0),Y$6,0)+IF(AND(AC$8&gt;0,AE369=0),AC$6,0)+IF(AND(AG$8&gt;0,AI369=0),AG$6,0)+IF(AND(AK$8&gt;0,AM369=0),AK$6,0)+IF(AND(AO$8&gt;0,AQ369=0),AO$6,0)+IF(AND(AS$8&gt;0,AU369=0),AS$6,0),2)</f>
        <v>325</v>
      </c>
      <c r="F370" s="24">
        <f>ROUND(I370+M370+Q370+U370+Y370+AC370+AG370+AK370+AO370+AS370,2)</f>
        <v>0</v>
      </c>
      <c r="G370" s="24">
        <f>ROUND(J370+N370+R370+V370+Z370+AD370+AH370+AL370+AP370+AT370,2)</f>
        <v>0</v>
      </c>
      <c r="H370" s="24">
        <f>ROUND(K370+O370+S370+W370+AA370+AE370+AI370+AM370+AQ370+AU370,2)</f>
        <v>0</v>
      </c>
      <c r="I370" s="24">
        <f>IF(K369&gt;0,IF(AND(ROUND(K369+J370-ROUND(I$6+IF(I$5=$C370,$E$5+$E370,0),2),2)&gt;0,ROUND(K369+J370-ROUND(I$6+IF(I$5=$C370,$E$5+$E370,0),2),2)&lt;=L370,ROUND(K369+J370-ROUND(I$6+IF(I$5=$C370,$E$5+$E370,0),2),2)*10&lt;=ROUND(I$6+IF(I$5=$C370,$E$5+$E370,0),2)),ROUND(K369+J370,2),MIN(ROUND(I$6+IF(I$5=$C370,$E$5+$E370,0),2),ROUND(K369+J370,2))),0)</f>
        <v>0</v>
      </c>
      <c r="J370" s="24">
        <f>IF(K369&gt;0,ROUND(ROUND(K369*100,0)*ROUND(I$7*10000,0)/12000000,0)/100,0)</f>
        <v>0</v>
      </c>
      <c r="K370" s="24">
        <f>IF(K369&gt;0,ROUND(K369+J370-I370,2),0)</f>
        <v>0</v>
      </c>
      <c r="L370" s="24">
        <f>IF(K369&gt;0,ROUND(L369+ROUND(ROUND(L369*100,0)*ROUND(I$7*10000,0)/12000000,0)/100+0.02,2),0)</f>
        <v>0</v>
      </c>
      <c r="M370" s="24">
        <f>IF(O369&gt;0,IF(AND(ROUND(O369+N370-ROUND(M$6+IF(M$5=$C370,$E$5+$E370,0),2),2)&gt;0,ROUND(O369+N370-ROUND(M$6+IF(M$5=$C370,$E$5+$E370,0),2),2)&lt;=P370,ROUND(O369+N370-ROUND(M$6+IF(M$5=$C370,$E$5+$E370,0),2),2)*10&lt;=ROUND(M$6+IF(M$5=$C370,$E$5+$E370,0),2)),ROUND(O369+N370,2),MIN(ROUND(M$6+IF(M$5=$C370,$E$5+$E370,0),2),ROUND(O369+N370,2))),0)</f>
        <v>0</v>
      </c>
      <c r="N370" s="24">
        <f>IF(O369&gt;0,ROUND(ROUND(O369*100,0)*ROUND(M$7*10000,0)/12000000,0)/100,0)</f>
        <v>0</v>
      </c>
      <c r="O370" s="24">
        <f>IF(O369&gt;0,ROUND(O369+N370-M370,2),0)</f>
        <v>0</v>
      </c>
      <c r="P370" s="24">
        <f>IF(O369&gt;0,ROUND(P369+ROUND(ROUND(P369*100,0)*ROUND(M$7*10000,0)/12000000,0)/100+0.02,2),0)</f>
        <v>0</v>
      </c>
      <c r="Q370" s="24">
        <f>IF(S369&gt;0,IF(AND(ROUND(S369+R370-ROUND(Q$6+IF(Q$5=$C370,$E$5+$E370,0),2),2)&gt;0,ROUND(S369+R370-ROUND(Q$6+IF(Q$5=$C370,$E$5+$E370,0),2),2)&lt;=T370,ROUND(S369+R370-ROUND(Q$6+IF(Q$5=$C370,$E$5+$E370,0),2),2)*10&lt;=ROUND(Q$6+IF(Q$5=$C370,$E$5+$E370,0),2)),ROUND(S369+R370,2),MIN(ROUND(Q$6+IF(Q$5=$C370,$E$5+$E370,0),2),ROUND(S369+R370,2))),0)</f>
        <v>0</v>
      </c>
      <c r="R370" s="24">
        <f>IF(S369&gt;0,ROUND(ROUND(S369*100,0)*ROUND(Q$7*10000,0)/12000000,0)/100,0)</f>
        <v>0</v>
      </c>
      <c r="S370" s="24">
        <f>IF(S369&gt;0,ROUND(S369+R370-Q370,2),0)</f>
        <v>0</v>
      </c>
      <c r="T370" s="24">
        <f>IF(S369&gt;0,ROUND(T369+ROUND(ROUND(T369*100,0)*ROUND(Q$7*10000,0)/12000000,0)/100+0.02,2),0)</f>
        <v>0</v>
      </c>
      <c r="U370" s="24">
        <f>IF(W369&gt;0,IF(AND(ROUND(W369+V370-ROUND(U$6+IF(U$5=$C370,$E$5+$E370,0),2),2)&gt;0,ROUND(W369+V370-ROUND(U$6+IF(U$5=$C370,$E$5+$E370,0),2),2)&lt;=X370,ROUND(W369+V370-ROUND(U$6+IF(U$5=$C370,$E$5+$E370,0),2),2)*10&lt;=ROUND(U$6+IF(U$5=$C370,$E$5+$E370,0),2)),ROUND(W369+V370,2),MIN(ROUND(U$6+IF(U$5=$C370,$E$5+$E370,0),2),ROUND(W369+V370,2))),0)</f>
        <v>0</v>
      </c>
      <c r="V370" s="24">
        <f>IF(W369&gt;0,ROUND(ROUND(W369*100,0)*ROUND(U$7*10000,0)/12000000,0)/100,0)</f>
        <v>0</v>
      </c>
      <c r="W370" s="24">
        <f>IF(W369&gt;0,ROUND(W369+V370-U370,2),0)</f>
        <v>0</v>
      </c>
      <c r="X370" s="24">
        <f>IF(W369&gt;0,ROUND(X369+ROUND(ROUND(X369*100,0)*ROUND(U$7*10000,0)/12000000,0)/100+0.02,2),0)</f>
        <v>0</v>
      </c>
      <c r="Y370" s="24">
        <f>IF(AA369&gt;0,IF(AND(ROUND(AA369+Z370-ROUND(Y$6+IF(Y$5=$C370,$E$5+$E370,0),2),2)&gt;0,ROUND(AA369+Z370-ROUND(Y$6+IF(Y$5=$C370,$E$5+$E370,0),2),2)&lt;=AB370,ROUND(AA369+Z370-ROUND(Y$6+IF(Y$5=$C370,$E$5+$E370,0),2),2)*10&lt;=ROUND(Y$6+IF(Y$5=$C370,$E$5+$E370,0),2)),ROUND(AA369+Z370,2),MIN(ROUND(Y$6+IF(Y$5=$C370,$E$5+$E370,0),2),ROUND(AA369+Z370,2))),0)</f>
        <v>0</v>
      </c>
      <c r="Z370" s="24">
        <f>IF(AA369&gt;0,ROUND(ROUND(AA369*100,0)*ROUND(Y$7*10000,0)/12000000,0)/100,0)</f>
        <v>0</v>
      </c>
      <c r="AA370" s="24">
        <f>IF(AA369&gt;0,ROUND(AA369+Z370-Y370,2),0)</f>
        <v>0</v>
      </c>
      <c r="AB370" s="24">
        <f>IF(AA369&gt;0,ROUND(AB369+ROUND(ROUND(AB369*100,0)*ROUND(Y$7*10000,0)/12000000,0)/100+0.02,2),0)</f>
        <v>0</v>
      </c>
      <c r="AC370" s="24">
        <f>IF(AE369&gt;0,IF(AND(ROUND(AE369+AD370-ROUND(AC$6+IF(AC$5=$C370,$E$5+$E370,0),2),2)&gt;0,ROUND(AE369+AD370-ROUND(AC$6+IF(AC$5=$C370,$E$5+$E370,0),2),2)&lt;=AF370,ROUND(AE369+AD370-ROUND(AC$6+IF(AC$5=$C370,$E$5+$E370,0),2),2)*10&lt;=ROUND(AC$6+IF(AC$5=$C370,$E$5+$E370,0),2)),ROUND(AE369+AD370,2),MIN(ROUND(AC$6+IF(AC$5=$C370,$E$5+$E370,0),2),ROUND(AE369+AD370,2))),0)</f>
        <v>0</v>
      </c>
      <c r="AD370" s="24">
        <f>IF(AE369&gt;0,ROUND(ROUND(AE369*100,0)*ROUND(AC$7*10000,0)/12000000,0)/100,0)</f>
        <v>0</v>
      </c>
      <c r="AE370" s="24">
        <f>IF(AE369&gt;0,ROUND(AE369+AD370-AC370,2),0)</f>
        <v>0</v>
      </c>
      <c r="AF370" s="24">
        <f>IF(AE369&gt;0,ROUND(AF369+ROUND(ROUND(AF369*100,0)*ROUND(AC$7*10000,0)/12000000,0)/100+0.02,2),0)</f>
        <v>0</v>
      </c>
      <c r="AG370" s="24">
        <f>IF(AI369&gt;0,IF(AND(ROUND(AI369+AH370-ROUND(AG$6+IF(AG$5=$C370,$E$5+$E370,0),2),2)&gt;0,ROUND(AI369+AH370-ROUND(AG$6+IF(AG$5=$C370,$E$5+$E370,0),2),2)&lt;=AJ370,ROUND(AI369+AH370-ROUND(AG$6+IF(AG$5=$C370,$E$5+$E370,0),2),2)*10&lt;=ROUND(AG$6+IF(AG$5=$C370,$E$5+$E370,0),2)),ROUND(AI369+AH370,2),MIN(ROUND(AG$6+IF(AG$5=$C370,$E$5+$E370,0),2),ROUND(AI369+AH370,2))),0)</f>
        <v>0</v>
      </c>
      <c r="AH370" s="24">
        <f>IF(AI369&gt;0,ROUND(ROUND(AI369*100,0)*ROUND(AG$7*10000,0)/12000000,0)/100,0)</f>
        <v>0</v>
      </c>
      <c r="AI370" s="24">
        <f>IF(AI369&gt;0,ROUND(AI369+AH370-AG370,2),0)</f>
        <v>0</v>
      </c>
      <c r="AJ370" s="24">
        <f>IF(AI369&gt;0,ROUND(AJ369+ROUND(ROUND(AJ369*100,0)*ROUND(AG$7*10000,0)/12000000,0)/100+0.02,2),0)</f>
        <v>0</v>
      </c>
      <c r="AK370" s="24">
        <f>IF(AM369&gt;0,IF(AND(ROUND(AM369+AL370-ROUND(AK$6+IF(AK$5=$C370,$E$5+$E370,0),2),2)&gt;0,ROUND(AM369+AL370-ROUND(AK$6+IF(AK$5=$C370,$E$5+$E370,0),2),2)&lt;=AN370,ROUND(AM369+AL370-ROUND(AK$6+IF(AK$5=$C370,$E$5+$E370,0),2),2)*10&lt;=ROUND(AK$6+IF(AK$5=$C370,$E$5+$E370,0),2)),ROUND(AM369+AL370,2),MIN(ROUND(AK$6+IF(AK$5=$C370,$E$5+$E370,0),2),ROUND(AM369+AL370,2))),0)</f>
        <v>0</v>
      </c>
      <c r="AL370" s="24">
        <f>IF(AM369&gt;0,ROUND(ROUND(AM369*100,0)*ROUND(AK$7*10000,0)/12000000,0)/100,0)</f>
        <v>0</v>
      </c>
      <c r="AM370" s="24">
        <f>IF(AM369&gt;0,ROUND(AM369+AL370-AK370,2),0)</f>
        <v>0</v>
      </c>
      <c r="AN370" s="24">
        <f>IF(AM369&gt;0,ROUND(AN369+ROUND(ROUND(AN369*100,0)*ROUND(AK$7*10000,0)/12000000,0)/100+0.02,2),0)</f>
        <v>0</v>
      </c>
      <c r="AO370" s="24">
        <f>IF(AQ369&gt;0,IF(AND(ROUND(AQ369+AP370-ROUND(AO$6+IF(AO$5=$C370,$E$5+$E370,0),2),2)&gt;0,ROUND(AQ369+AP370-ROUND(AO$6+IF(AO$5=$C370,$E$5+$E370,0),2),2)&lt;=AR370,ROUND(AQ369+AP370-ROUND(AO$6+IF(AO$5=$C370,$E$5+$E370,0),2),2)*10&lt;=ROUND(AO$6+IF(AO$5=$C370,$E$5+$E370,0),2)),ROUND(AQ369+AP370,2),MIN(ROUND(AO$6+IF(AO$5=$C370,$E$5+$E370,0),2),ROUND(AQ369+AP370,2))),0)</f>
        <v>0</v>
      </c>
      <c r="AP370" s="24">
        <f>IF(AQ369&gt;0,ROUND(ROUND(AQ369*100,0)*ROUND(AO$7*10000,0)/12000000,0)/100,0)</f>
        <v>0</v>
      </c>
      <c r="AQ370" s="24">
        <f>IF(AQ369&gt;0,ROUND(AQ369+AP370-AO370,2),0)</f>
        <v>0</v>
      </c>
      <c r="AR370" s="24">
        <f>IF(AQ369&gt;0,ROUND(AR369+ROUND(ROUND(AR369*100,0)*ROUND(AO$7*10000,0)/12000000,0)/100+0.02,2),0)</f>
        <v>0</v>
      </c>
      <c r="AS370" s="24">
        <f>IF(AU369&gt;0,IF(AND(ROUND(AU369+AT370-ROUND(AS$6+IF(AS$5=$C370,$E$5+$E370,0),2),2)&gt;0,ROUND(AU369+AT370-ROUND(AS$6+IF(AS$5=$C370,$E$5+$E370,0),2),2)&lt;=AV370,ROUND(AU369+AT370-ROUND(AS$6+IF(AS$5=$C370,$E$5+$E370,0),2),2)*10&lt;=ROUND(AS$6+IF(AS$5=$C370,$E$5+$E370,0),2)),ROUND(AU369+AT370,2),MIN(ROUND(AS$6+IF(AS$5=$C370,$E$5+$E370,0),2),ROUND(AU369+AT370,2))),0)</f>
        <v>0</v>
      </c>
      <c r="AT370" s="24">
        <f>IF(AU369&gt;0,ROUND(ROUND(AU369*100,0)*ROUND(AS$7*10000,0)/12000000,0)/100,0)</f>
        <v>0</v>
      </c>
      <c r="AU370" s="24">
        <f>IF(AU369&gt;0,ROUND(AU369+AT370-AS370,2),0)</f>
        <v>0</v>
      </c>
      <c r="AV370" s="24">
        <f>IF(AU369&gt;0,ROUND(AV369+ROUND(ROUND(AV369*100,0)*ROUND(AS$7*10000,0)/12000000,0)/100+0.02,2),0)</f>
        <v>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Calendario</vt:lpstr>
    </vt:vector>
  </TitlesOfParts>
  <Company>debtpayoff.app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debtpayoff.app</dc:creator>
  <dc:title>Plan para pagar deudas con bola de nieve o avalancha</dc:title>
  <dc:subject>Plan para pagar deudas con bola de nieve o avalancha</dc:subject>
  <dc:description/>
  <cp:keywords/>
  <cp:category/>
  <cp:lastModifiedBy>debtpayoff.app</cp:lastModifiedBy>
  <dcterms:created xsi:type="dcterms:W3CDTF">2026-11-06T00:00:00Z</dcterms:created>
  <dcterms:modified xsi:type="dcterms:W3CDTF">2026-11-06T00:00:00Z</dcterms:modified>
</cp:coreProperties>
</file>